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Yinfinity\Desktop\nespresso_auto_prs\data\"/>
    </mc:Choice>
  </mc:AlternateContent>
  <xr:revisionPtr revIDLastSave="0" documentId="13_ncr:1_{199E15F8-43D4-488C-BB94-9104EC3D03A9}" xr6:coauthVersionLast="36" xr6:coauthVersionMax="36" xr10:uidLastSave="{00000000-0000-0000-0000-000000000000}"/>
  <bookViews>
    <workbookView xWindow="0" yWindow="500" windowWidth="37300" windowHeight="21100" firstSheet="1" activeTab="1" xr2:uid="{00000000-000D-0000-FFFF-FFFF00000000}"/>
  </bookViews>
  <sheets>
    <sheet name="店铺整体生意" sheetId="1" r:id="rId1"/>
    <sheet name="咖啡机表现" sheetId="2" r:id="rId2"/>
    <sheet name="咖啡市场情况" sheetId="3" r:id="rId3"/>
    <sheet name="calculation" sheetId="19" r:id="rId4"/>
    <sheet name="dat_nespresso_shop_overview" sheetId="4" state="hidden" r:id="rId5"/>
    <sheet name="dat_nespresso_shop_chl" sheetId="5" state="hidden" r:id="rId6"/>
    <sheet name="dat_nespresso_shop_ct_each" sheetId="6" r:id="rId7"/>
    <sheet name="dat_nespresso_shop_ct_chl" sheetId="7" state="hidden" r:id="rId8"/>
    <sheet name="dat_nespresso_shop_ct_rk_item" sheetId="8" state="hidden" r:id="rId9"/>
    <sheet name="dat_nespresso_shop_rk_se" sheetId="9" state="hidden" r:id="rId10"/>
    <sheet name="dat_nespresso_profile_d" sheetId="10" state="hidden" r:id="rId11"/>
    <sheet name="dat_nespresso_profile_s" sheetId="11" state="hidden" r:id="rId12"/>
    <sheet name="dat_nespresso_mkt_overview" sheetId="12" state="hidden" r:id="rId13"/>
    <sheet name="dat_nespresso_mkt_index" sheetId="18" state="hidden" r:id="rId14"/>
    <sheet name="dat_nespresso_mkt_rk_brand" sheetId="13" r:id="rId15"/>
    <sheet name="dat_nespresso_mkt_rk_item" sheetId="14" state="hidden" r:id="rId16"/>
    <sheet name="dat_nespresso_mkt_rk_shop" sheetId="15" state="hidden" r:id="rId17"/>
    <sheet name="dat_nespresso_compet" sheetId="16" state="hidden" r:id="rId18"/>
    <sheet name="dat_nespresso_compet_chl" sheetId="17" state="hidden" r:id="rId19"/>
  </sheets>
  <definedNames>
    <definedName name="_xlnm._FilterDatabase" localSheetId="16" hidden="1">dat_nespresso_mkt_rk_shop!$A$1:$O$601</definedName>
    <definedName name="_xlnm._FilterDatabase" localSheetId="5" hidden="1">dat_nespresso_shop_chl!$A$1:$P$87</definedName>
    <definedName name="_xlnm._FilterDatabase" localSheetId="8" hidden="1">dat_nespresso_shop_ct_rk_item!$A$1:$U$372</definedName>
  </definedNames>
  <calcPr calcId="191029"/>
</workbook>
</file>

<file path=xl/calcChain.xml><?xml version="1.0" encoding="utf-8"?>
<calcChain xmlns="http://schemas.openxmlformats.org/spreadsheetml/2006/main">
  <c r="I73" i="2" l="1"/>
  <c r="I74" i="2"/>
  <c r="I75" i="2"/>
  <c r="I76" i="2"/>
  <c r="I77" i="2"/>
  <c r="I78" i="2"/>
  <c r="I79" i="2"/>
  <c r="I80" i="2"/>
  <c r="I81" i="2"/>
  <c r="I72" i="2"/>
  <c r="E211" i="2"/>
  <c r="B2" i="19"/>
  <c r="G3" i="19"/>
  <c r="G2" i="19"/>
  <c r="F3" i="19"/>
  <c r="F2" i="19"/>
  <c r="C3" i="19"/>
  <c r="C2" i="19"/>
  <c r="B3" i="19"/>
  <c r="S17" i="1"/>
  <c r="X18" i="1"/>
  <c r="X17" i="1"/>
  <c r="W17" i="1"/>
  <c r="W18" i="1"/>
  <c r="T17" i="1"/>
  <c r="T18" i="1"/>
  <c r="S18" i="1"/>
  <c r="AJ2" i="13"/>
  <c r="H302" i="2" l="1"/>
  <c r="H301" i="2"/>
  <c r="H300" i="2"/>
  <c r="AK52" i="13" l="1"/>
  <c r="AK51" i="13"/>
  <c r="AJ52" i="13"/>
  <c r="AI52" i="13"/>
  <c r="AI51" i="13"/>
  <c r="AH52" i="13"/>
  <c r="AG52" i="13"/>
  <c r="AF52" i="13"/>
  <c r="AF51" i="13"/>
  <c r="AE52" i="13"/>
  <c r="AD52" i="13"/>
  <c r="AD51" i="13"/>
  <c r="AK101" i="13"/>
  <c r="AJ101" i="13"/>
  <c r="AJ51" i="13"/>
  <c r="AI101" i="13"/>
  <c r="AH101" i="13"/>
  <c r="AG101" i="13"/>
  <c r="AF101" i="13"/>
  <c r="AE101" i="13"/>
  <c r="AD101" i="13"/>
  <c r="AM2" i="13"/>
  <c r="AL2" i="13"/>
  <c r="AE51" i="13"/>
  <c r="AE2" i="13"/>
  <c r="AK2" i="13"/>
  <c r="AI2" i="13"/>
  <c r="AH51" i="13"/>
  <c r="AH2" i="13"/>
  <c r="AG51" i="13"/>
  <c r="AG2" i="13"/>
  <c r="AF2" i="13"/>
  <c r="AD2" i="13"/>
  <c r="J2" i="13"/>
  <c r="K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2" i="13" l="1"/>
  <c r="O74" i="3"/>
  <c r="O28" i="2"/>
  <c r="O26" i="2"/>
  <c r="P27" i="2" l="1"/>
  <c r="AE50" i="1" l="1"/>
  <c r="P50" i="1"/>
  <c r="E103" i="1"/>
  <c r="O55" i="3" l="1"/>
  <c r="O56" i="3"/>
  <c r="O58" i="3" s="1"/>
  <c r="O57" i="3"/>
  <c r="O27" i="2" l="1"/>
  <c r="M106" i="3" l="1"/>
  <c r="H299" i="2" l="1"/>
  <c r="R314" i="3" l="1"/>
  <c r="R313" i="3"/>
  <c r="R312" i="3"/>
  <c r="R311" i="3"/>
  <c r="R310" i="3"/>
  <c r="R309" i="3"/>
  <c r="R308" i="3"/>
  <c r="R307" i="3"/>
  <c r="R306" i="3"/>
  <c r="R305" i="3"/>
  <c r="L314" i="3"/>
  <c r="L313" i="3"/>
  <c r="L312" i="3"/>
  <c r="L311" i="3"/>
  <c r="L310" i="3"/>
  <c r="L309" i="3"/>
  <c r="L308" i="3"/>
  <c r="L307" i="3"/>
  <c r="L306" i="3"/>
  <c r="L305" i="3"/>
  <c r="F314" i="3"/>
  <c r="F313" i="3"/>
  <c r="F312" i="3"/>
  <c r="F311" i="3"/>
  <c r="F310" i="3"/>
  <c r="F309" i="3"/>
  <c r="F308" i="3"/>
  <c r="F307" i="3"/>
  <c r="F306" i="3"/>
  <c r="F305" i="3"/>
  <c r="D135" i="3"/>
  <c r="D136" i="3"/>
  <c r="D137" i="3"/>
  <c r="D138" i="3"/>
  <c r="D134" i="3"/>
  <c r="D122" i="3"/>
  <c r="D123" i="3"/>
  <c r="D124" i="3"/>
  <c r="D125" i="3"/>
  <c r="D121" i="3"/>
  <c r="E122" i="3"/>
  <c r="E123" i="3"/>
  <c r="E124" i="3"/>
  <c r="E125" i="3"/>
  <c r="E121" i="3"/>
  <c r="C135" i="3"/>
  <c r="C136" i="3"/>
  <c r="C137" i="3"/>
  <c r="C138" i="3"/>
  <c r="C134" i="3"/>
  <c r="C124" i="3"/>
  <c r="C122" i="3"/>
  <c r="C123" i="3"/>
  <c r="C125" i="3"/>
  <c r="C121" i="3"/>
  <c r="G92" i="3"/>
  <c r="G93" i="3"/>
  <c r="G94" i="3"/>
  <c r="G95" i="3"/>
  <c r="G96" i="3"/>
  <c r="G97" i="3"/>
  <c r="G98" i="3"/>
  <c r="G99" i="3"/>
  <c r="G100" i="3"/>
  <c r="G91" i="3"/>
  <c r="AC53" i="13"/>
  <c r="AC54" i="13"/>
  <c r="AC55" i="13"/>
  <c r="AC56" i="13"/>
  <c r="AC57" i="13"/>
  <c r="AC58" i="13"/>
  <c r="AC59" i="13"/>
  <c r="AC60" i="13"/>
  <c r="AC61" i="13"/>
  <c r="AC62" i="13"/>
  <c r="AC63" i="13"/>
  <c r="AC64" i="13"/>
  <c r="AC65" i="13"/>
  <c r="AC66" i="13"/>
  <c r="AC67" i="13"/>
  <c r="AC68" i="13"/>
  <c r="AC69" i="13"/>
  <c r="AC70" i="13"/>
  <c r="AC71" i="13"/>
  <c r="AC72" i="13"/>
  <c r="AC73" i="13"/>
  <c r="AC74" i="13"/>
  <c r="AC75" i="13"/>
  <c r="AC76" i="13"/>
  <c r="AC77" i="13"/>
  <c r="AC78" i="13"/>
  <c r="AC79" i="13"/>
  <c r="AC80" i="13"/>
  <c r="AC81" i="13"/>
  <c r="AC82" i="13"/>
  <c r="AC83" i="13"/>
  <c r="AC84" i="13"/>
  <c r="AC85" i="13"/>
  <c r="AC86" i="13"/>
  <c r="AC87" i="13"/>
  <c r="AC88" i="13"/>
  <c r="AC89" i="13"/>
  <c r="AC90" i="13"/>
  <c r="AC91" i="13"/>
  <c r="AC92" i="13"/>
  <c r="AC93" i="13"/>
  <c r="AC94" i="13"/>
  <c r="AC95" i="13"/>
  <c r="AC96" i="13"/>
  <c r="AC97" i="13"/>
  <c r="AC98" i="13"/>
  <c r="AC99" i="13"/>
  <c r="AC100" i="13"/>
  <c r="AC101" i="13"/>
  <c r="AC52" i="13"/>
  <c r="AC51" i="13"/>
  <c r="AB52" i="13"/>
  <c r="AB53" i="13"/>
  <c r="AB54" i="13"/>
  <c r="AB55" i="13"/>
  <c r="AB56" i="13"/>
  <c r="AB57" i="13"/>
  <c r="AB58" i="13"/>
  <c r="AB59" i="13"/>
  <c r="AB60" i="13"/>
  <c r="AB61" i="13"/>
  <c r="AB62" i="13"/>
  <c r="AB63" i="13"/>
  <c r="AB64" i="13"/>
  <c r="AB65" i="13"/>
  <c r="AB66" i="13"/>
  <c r="AB67" i="13"/>
  <c r="AB68" i="13"/>
  <c r="AB69" i="13"/>
  <c r="AB70" i="13"/>
  <c r="AB71" i="13"/>
  <c r="AB72" i="13"/>
  <c r="AB73" i="13"/>
  <c r="AB74" i="13"/>
  <c r="AB75" i="13"/>
  <c r="AB76" i="13"/>
  <c r="AB77" i="13"/>
  <c r="AB78" i="13"/>
  <c r="AB79" i="13"/>
  <c r="AB80" i="13"/>
  <c r="AB81" i="13"/>
  <c r="AB82" i="13"/>
  <c r="AB83" i="13"/>
  <c r="AB84" i="13"/>
  <c r="AB85" i="13"/>
  <c r="AB86" i="13"/>
  <c r="AB87" i="13"/>
  <c r="AB88" i="13"/>
  <c r="AB89" i="13"/>
  <c r="AB90" i="13"/>
  <c r="AB91" i="13"/>
  <c r="AB92" i="13"/>
  <c r="AB93" i="13"/>
  <c r="AB94" i="13"/>
  <c r="AB95" i="13"/>
  <c r="AB96" i="13"/>
  <c r="AB97" i="13"/>
  <c r="AB98" i="13"/>
  <c r="AB99" i="13"/>
  <c r="AB100" i="13"/>
  <c r="AB101" i="13"/>
  <c r="F93" i="3"/>
  <c r="F94" i="3"/>
  <c r="F95" i="3"/>
  <c r="F96" i="3"/>
  <c r="F97" i="3"/>
  <c r="F98" i="3"/>
  <c r="F99" i="3"/>
  <c r="F100" i="3"/>
  <c r="F92" i="3"/>
  <c r="F91" i="3"/>
  <c r="T205" i="2" l="1"/>
  <c r="S205" i="2"/>
  <c r="S217" i="2"/>
  <c r="S218" i="2"/>
  <c r="S216" i="2"/>
  <c r="T217" i="2"/>
  <c r="T218" i="2"/>
  <c r="T216" i="2"/>
  <c r="U217" i="2"/>
  <c r="U218" i="2"/>
  <c r="U216" i="2"/>
  <c r="T215" i="2"/>
  <c r="S215" i="2"/>
  <c r="T204" i="2"/>
  <c r="S204" i="2"/>
  <c r="T197" i="2"/>
  <c r="S197" i="2"/>
  <c r="U199" i="2"/>
  <c r="U200" i="2"/>
  <c r="U198" i="2"/>
  <c r="T199" i="2"/>
  <c r="T200" i="2"/>
  <c r="T198" i="2"/>
  <c r="S199" i="2"/>
  <c r="S200" i="2"/>
  <c r="S198" i="2"/>
  <c r="G47" i="2"/>
  <c r="G48" i="2"/>
  <c r="G49" i="2"/>
  <c r="G50" i="2"/>
  <c r="G51" i="2"/>
  <c r="G52" i="2"/>
  <c r="G53" i="2"/>
  <c r="G54" i="2"/>
  <c r="G55" i="2"/>
  <c r="G56" i="2"/>
  <c r="G57" i="2"/>
  <c r="G58" i="2"/>
  <c r="G59" i="2"/>
  <c r="G60" i="2"/>
  <c r="G61" i="2"/>
  <c r="G62" i="2"/>
  <c r="G63" i="2"/>
  <c r="G64" i="2"/>
  <c r="G65" i="2"/>
  <c r="G46" i="2"/>
  <c r="F47" i="2"/>
  <c r="F48" i="2"/>
  <c r="F49" i="2"/>
  <c r="F50" i="2"/>
  <c r="F51" i="2"/>
  <c r="F52" i="2"/>
  <c r="F53" i="2"/>
  <c r="F54" i="2"/>
  <c r="F55" i="2"/>
  <c r="F56" i="2"/>
  <c r="F57" i="2"/>
  <c r="F58" i="2"/>
  <c r="F59" i="2"/>
  <c r="F60" i="2"/>
  <c r="F61" i="2"/>
  <c r="F62" i="2"/>
  <c r="F63" i="2"/>
  <c r="F64" i="2"/>
  <c r="F65" i="2"/>
  <c r="F46" i="2"/>
  <c r="AC3" i="13"/>
  <c r="AC4" i="13"/>
  <c r="AC5" i="13"/>
  <c r="AC6" i="13"/>
  <c r="AC7" i="13"/>
  <c r="AC8" i="13"/>
  <c r="AC9" i="13"/>
  <c r="AC10" i="13"/>
  <c r="AC11" i="13"/>
  <c r="AC12" i="13"/>
  <c r="AC13" i="13"/>
  <c r="AC14" i="13"/>
  <c r="AC15" i="13"/>
  <c r="AC16" i="13"/>
  <c r="AC17" i="13"/>
  <c r="AC18" i="13"/>
  <c r="AC19" i="13"/>
  <c r="AC20" i="13"/>
  <c r="AC21" i="13"/>
  <c r="AC22" i="13"/>
  <c r="AC23" i="13"/>
  <c r="AC24" i="13"/>
  <c r="AC25" i="13"/>
  <c r="AC26" i="13"/>
  <c r="AC27" i="13"/>
  <c r="AC28" i="13"/>
  <c r="AC29" i="13"/>
  <c r="AC30" i="13"/>
  <c r="AC31" i="13"/>
  <c r="AC32" i="13"/>
  <c r="AC33" i="13"/>
  <c r="AC34" i="13"/>
  <c r="AC35" i="13"/>
  <c r="AC36" i="13"/>
  <c r="AC37" i="13"/>
  <c r="AC38" i="13"/>
  <c r="AC39" i="13"/>
  <c r="AC40" i="13"/>
  <c r="AC41" i="13"/>
  <c r="AC42" i="13"/>
  <c r="AC43" i="13"/>
  <c r="AC44" i="13"/>
  <c r="AC45" i="13"/>
  <c r="AC46" i="13"/>
  <c r="AC47" i="13"/>
  <c r="AC48" i="13"/>
  <c r="AC49" i="13"/>
  <c r="AC50" i="13"/>
  <c r="AB3" i="13"/>
  <c r="AB4" i="13"/>
  <c r="AB5" i="13"/>
  <c r="AB6" i="13"/>
  <c r="AB7" i="13"/>
  <c r="AB8" i="13"/>
  <c r="AB9" i="13"/>
  <c r="AB10" i="13"/>
  <c r="AB11" i="13"/>
  <c r="AB12" i="13"/>
  <c r="AB13" i="13"/>
  <c r="AB14" i="13"/>
  <c r="AB15" i="13"/>
  <c r="AB16" i="13"/>
  <c r="AB17" i="13"/>
  <c r="AB18" i="13"/>
  <c r="AB19" i="13"/>
  <c r="AB20" i="13"/>
  <c r="AB21" i="13"/>
  <c r="AB22" i="13"/>
  <c r="AB23" i="13"/>
  <c r="AB24" i="13"/>
  <c r="AB25" i="13"/>
  <c r="AB26" i="13"/>
  <c r="AB27" i="13"/>
  <c r="AB28" i="13"/>
  <c r="AB29" i="13"/>
  <c r="AB30" i="13"/>
  <c r="AB31" i="13"/>
  <c r="AB32" i="13"/>
  <c r="AB33" i="13"/>
  <c r="AB34" i="13"/>
  <c r="AB35" i="13"/>
  <c r="AB36" i="13"/>
  <c r="AB37" i="13"/>
  <c r="AB38" i="13"/>
  <c r="AB39" i="13"/>
  <c r="AB40" i="13"/>
  <c r="AB41" i="13"/>
  <c r="AB42" i="13"/>
  <c r="AB43" i="13"/>
  <c r="AB44" i="13"/>
  <c r="AB45" i="13"/>
  <c r="AB46" i="13"/>
  <c r="AB47" i="13"/>
  <c r="AB48" i="13"/>
  <c r="AB49" i="13"/>
  <c r="AB50" i="13"/>
  <c r="AB51" i="13"/>
  <c r="AC2" i="13"/>
  <c r="AB2" i="13"/>
  <c r="C327" i="2" l="1"/>
  <c r="F325" i="2"/>
  <c r="H325" i="2" s="1"/>
  <c r="N201" i="2"/>
  <c r="N200" i="2"/>
  <c r="C89" i="2"/>
  <c r="C90" i="2"/>
  <c r="C91" i="2"/>
  <c r="C92" i="2"/>
  <c r="C88" i="2"/>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52" i="13"/>
  <c r="J51"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4" i="13"/>
  <c r="J5" i="13"/>
  <c r="J6" i="13"/>
  <c r="J7" i="13"/>
  <c r="J3" i="13"/>
  <c r="J425" i="3" l="1"/>
  <c r="I425" i="3"/>
  <c r="H425" i="3"/>
  <c r="G425" i="3"/>
  <c r="F425" i="3"/>
  <c r="E425" i="3"/>
  <c r="J424" i="3"/>
  <c r="I424" i="3"/>
  <c r="H424" i="3"/>
  <c r="G424" i="3"/>
  <c r="F424" i="3"/>
  <c r="E424" i="3"/>
  <c r="J423" i="3"/>
  <c r="I423" i="3"/>
  <c r="H423" i="3"/>
  <c r="G423" i="3"/>
  <c r="F423" i="3"/>
  <c r="E423" i="3"/>
  <c r="J422" i="3"/>
  <c r="I422" i="3"/>
  <c r="H422" i="3"/>
  <c r="G422" i="3"/>
  <c r="F422" i="3"/>
  <c r="E422" i="3"/>
  <c r="J421" i="3"/>
  <c r="I421" i="3"/>
  <c r="H421" i="3"/>
  <c r="G421" i="3"/>
  <c r="F421" i="3"/>
  <c r="E421" i="3"/>
  <c r="J420" i="3"/>
  <c r="I420" i="3"/>
  <c r="H420" i="3"/>
  <c r="G420" i="3"/>
  <c r="F420" i="3"/>
  <c r="E420" i="3"/>
  <c r="J419" i="3"/>
  <c r="I419" i="3"/>
  <c r="H419" i="3"/>
  <c r="G419" i="3"/>
  <c r="F419" i="3"/>
  <c r="E419" i="3"/>
  <c r="J418" i="3"/>
  <c r="I418" i="3"/>
  <c r="H418" i="3"/>
  <c r="G418" i="3"/>
  <c r="F418" i="3"/>
  <c r="E418" i="3"/>
  <c r="J417" i="3"/>
  <c r="I417" i="3"/>
  <c r="H417" i="3"/>
  <c r="G417" i="3"/>
  <c r="F417" i="3"/>
  <c r="E417" i="3"/>
  <c r="J416" i="3"/>
  <c r="I416" i="3"/>
  <c r="H416" i="3"/>
  <c r="G416" i="3"/>
  <c r="F416" i="3"/>
  <c r="E416" i="3"/>
  <c r="J415" i="3"/>
  <c r="I415" i="3"/>
  <c r="H415" i="3"/>
  <c r="G415" i="3"/>
  <c r="F415" i="3"/>
  <c r="E415" i="3"/>
  <c r="J413" i="3"/>
  <c r="I413" i="3"/>
  <c r="H413" i="3"/>
  <c r="G413" i="3"/>
  <c r="F413" i="3"/>
  <c r="E413" i="3"/>
  <c r="J412" i="3"/>
  <c r="I412" i="3"/>
  <c r="H412" i="3"/>
  <c r="G412" i="3"/>
  <c r="F412" i="3"/>
  <c r="E412" i="3"/>
  <c r="J411" i="3"/>
  <c r="I411" i="3"/>
  <c r="H411" i="3"/>
  <c r="G411" i="3"/>
  <c r="F411" i="3"/>
  <c r="E411" i="3"/>
  <c r="J410" i="3"/>
  <c r="I410" i="3"/>
  <c r="H410" i="3"/>
  <c r="G410" i="3"/>
  <c r="F410" i="3"/>
  <c r="E410" i="3"/>
  <c r="J409" i="3"/>
  <c r="I409" i="3"/>
  <c r="H409" i="3"/>
  <c r="G409" i="3"/>
  <c r="F409" i="3"/>
  <c r="E409" i="3"/>
  <c r="J408" i="3"/>
  <c r="I408" i="3"/>
  <c r="H408" i="3"/>
  <c r="G408" i="3"/>
  <c r="F408" i="3"/>
  <c r="E408" i="3"/>
  <c r="J407" i="3"/>
  <c r="I407" i="3"/>
  <c r="H407" i="3"/>
  <c r="G407" i="3"/>
  <c r="F407" i="3"/>
  <c r="E407" i="3"/>
  <c r="J406" i="3"/>
  <c r="I406" i="3"/>
  <c r="H406" i="3"/>
  <c r="G406" i="3"/>
  <c r="F406" i="3"/>
  <c r="E406" i="3"/>
  <c r="J405" i="3"/>
  <c r="I405" i="3"/>
  <c r="H405" i="3"/>
  <c r="G405" i="3"/>
  <c r="F405" i="3"/>
  <c r="E405" i="3"/>
  <c r="J404" i="3"/>
  <c r="I404" i="3"/>
  <c r="H404" i="3"/>
  <c r="G404" i="3"/>
  <c r="F404" i="3"/>
  <c r="E404" i="3"/>
  <c r="J403" i="3"/>
  <c r="I403" i="3"/>
  <c r="H403" i="3"/>
  <c r="G403" i="3"/>
  <c r="F403" i="3"/>
  <c r="E403" i="3"/>
  <c r="J401" i="3"/>
  <c r="I401" i="3"/>
  <c r="H401" i="3"/>
  <c r="G401" i="3"/>
  <c r="F401" i="3"/>
  <c r="E401" i="3"/>
  <c r="J400" i="3"/>
  <c r="I400" i="3"/>
  <c r="H400" i="3"/>
  <c r="G400" i="3"/>
  <c r="F400" i="3"/>
  <c r="E400" i="3"/>
  <c r="J399" i="3"/>
  <c r="I399" i="3"/>
  <c r="H399" i="3"/>
  <c r="G399" i="3"/>
  <c r="F399" i="3"/>
  <c r="E399" i="3"/>
  <c r="J398" i="3"/>
  <c r="I398" i="3"/>
  <c r="H398" i="3"/>
  <c r="G398" i="3"/>
  <c r="F398" i="3"/>
  <c r="E398" i="3"/>
  <c r="J397" i="3"/>
  <c r="I397" i="3"/>
  <c r="H397" i="3"/>
  <c r="G397" i="3"/>
  <c r="F397" i="3"/>
  <c r="E397" i="3"/>
  <c r="J396" i="3"/>
  <c r="I396" i="3"/>
  <c r="H396" i="3"/>
  <c r="G396" i="3"/>
  <c r="F396" i="3"/>
  <c r="E396" i="3"/>
  <c r="J395" i="3"/>
  <c r="I395" i="3"/>
  <c r="H395" i="3"/>
  <c r="G395" i="3"/>
  <c r="F395" i="3"/>
  <c r="E395" i="3"/>
  <c r="J394" i="3"/>
  <c r="I394" i="3"/>
  <c r="H394" i="3"/>
  <c r="G394" i="3"/>
  <c r="F394" i="3"/>
  <c r="E394" i="3"/>
  <c r="J393" i="3"/>
  <c r="I393" i="3"/>
  <c r="H393" i="3"/>
  <c r="G393" i="3"/>
  <c r="F393" i="3"/>
  <c r="E393" i="3"/>
  <c r="J392" i="3"/>
  <c r="I392" i="3"/>
  <c r="H392" i="3"/>
  <c r="G392" i="3"/>
  <c r="F392" i="3"/>
  <c r="E392" i="3"/>
  <c r="J391" i="3"/>
  <c r="I391" i="3"/>
  <c r="H391" i="3"/>
  <c r="G391" i="3"/>
  <c r="F391" i="3"/>
  <c r="E391" i="3"/>
  <c r="D388" i="3"/>
  <c r="I388" i="3" s="1"/>
  <c r="J387" i="3"/>
  <c r="D387" i="3"/>
  <c r="H387" i="3" s="1"/>
  <c r="I386" i="3"/>
  <c r="H386" i="3"/>
  <c r="F386" i="3"/>
  <c r="E386" i="3"/>
  <c r="D386" i="3"/>
  <c r="G386" i="3" s="1"/>
  <c r="D385" i="3"/>
  <c r="F385" i="3" s="1"/>
  <c r="D384" i="3"/>
  <c r="E384" i="3" s="1"/>
  <c r="I383" i="3"/>
  <c r="D383" i="3"/>
  <c r="F383" i="3" s="1"/>
  <c r="H382" i="3"/>
  <c r="G382" i="3"/>
  <c r="D382" i="3"/>
  <c r="E382" i="3" s="1"/>
  <c r="D380" i="3"/>
  <c r="J380" i="3" s="1"/>
  <c r="F379" i="3"/>
  <c r="D379" i="3"/>
  <c r="I379" i="3" s="1"/>
  <c r="D378" i="3"/>
  <c r="H378" i="3" s="1"/>
  <c r="I377" i="3"/>
  <c r="D377" i="3"/>
  <c r="G377" i="3" s="1"/>
  <c r="J376" i="3"/>
  <c r="I376" i="3"/>
  <c r="H376" i="3"/>
  <c r="D376" i="3"/>
  <c r="F376" i="3" s="1"/>
  <c r="D375" i="3"/>
  <c r="E375" i="3" s="1"/>
  <c r="J374" i="3"/>
  <c r="I374" i="3"/>
  <c r="H374" i="3"/>
  <c r="G374" i="3"/>
  <c r="E374" i="3"/>
  <c r="D374" i="3"/>
  <c r="F374" i="3" s="1"/>
  <c r="D372" i="3"/>
  <c r="G372" i="3" s="1"/>
  <c r="I371" i="3"/>
  <c r="H371" i="3"/>
  <c r="G371" i="3"/>
  <c r="D371" i="3"/>
  <c r="J371" i="3" s="1"/>
  <c r="D370" i="3"/>
  <c r="I370" i="3" s="1"/>
  <c r="F369" i="3"/>
  <c r="D369" i="3"/>
  <c r="H369" i="3" s="1"/>
  <c r="D368" i="3"/>
  <c r="G368" i="3" s="1"/>
  <c r="D367" i="3"/>
  <c r="F367" i="3" s="1"/>
  <c r="J366" i="3"/>
  <c r="I366" i="3"/>
  <c r="H366" i="3"/>
  <c r="G366" i="3"/>
  <c r="F366" i="3"/>
  <c r="D366" i="3"/>
  <c r="E366" i="3" s="1"/>
  <c r="J362" i="3"/>
  <c r="I362" i="3"/>
  <c r="H362" i="3"/>
  <c r="G362" i="3"/>
  <c r="F362" i="3"/>
  <c r="E362" i="3"/>
  <c r="J361" i="3"/>
  <c r="I361" i="3"/>
  <c r="H361" i="3"/>
  <c r="G361" i="3"/>
  <c r="F361" i="3"/>
  <c r="E361" i="3"/>
  <c r="J360" i="3"/>
  <c r="I360" i="3"/>
  <c r="H360" i="3"/>
  <c r="G360" i="3"/>
  <c r="F360" i="3"/>
  <c r="E360" i="3"/>
  <c r="J359" i="3"/>
  <c r="I359" i="3"/>
  <c r="H359" i="3"/>
  <c r="G359" i="3"/>
  <c r="F359" i="3"/>
  <c r="E359" i="3"/>
  <c r="J358" i="3"/>
  <c r="I358" i="3"/>
  <c r="H358" i="3"/>
  <c r="G358" i="3"/>
  <c r="F358" i="3"/>
  <c r="E358" i="3"/>
  <c r="J357" i="3"/>
  <c r="I357" i="3"/>
  <c r="H357" i="3"/>
  <c r="G357" i="3"/>
  <c r="F357" i="3"/>
  <c r="E357" i="3"/>
  <c r="J355" i="3"/>
  <c r="I355" i="3"/>
  <c r="H355" i="3"/>
  <c r="G355" i="3"/>
  <c r="F355" i="3"/>
  <c r="E355" i="3"/>
  <c r="M349" i="3"/>
  <c r="H349" i="3"/>
  <c r="N349" i="3" s="1"/>
  <c r="G349" i="3"/>
  <c r="F349" i="3"/>
  <c r="E349" i="3"/>
  <c r="I349" i="3" s="1"/>
  <c r="H348" i="3"/>
  <c r="G348" i="3"/>
  <c r="M348" i="3" s="1"/>
  <c r="F348" i="3"/>
  <c r="E348" i="3"/>
  <c r="I348" i="3" s="1"/>
  <c r="H347" i="3"/>
  <c r="N347" i="3" s="1"/>
  <c r="G347" i="3"/>
  <c r="F347" i="3"/>
  <c r="E347" i="3"/>
  <c r="H346" i="3"/>
  <c r="G346" i="3"/>
  <c r="F346" i="3"/>
  <c r="E346" i="3"/>
  <c r="I346" i="3" s="1"/>
  <c r="H345" i="3"/>
  <c r="N345" i="3" s="1"/>
  <c r="G345" i="3"/>
  <c r="M345" i="3" s="1"/>
  <c r="F345" i="3"/>
  <c r="I345" i="3" s="1"/>
  <c r="E345" i="3"/>
  <c r="H344" i="3"/>
  <c r="G344" i="3"/>
  <c r="M344" i="3" s="1"/>
  <c r="F344" i="3"/>
  <c r="E344" i="3"/>
  <c r="I344" i="3" s="1"/>
  <c r="H343" i="3"/>
  <c r="N343" i="3" s="1"/>
  <c r="G343" i="3"/>
  <c r="F343" i="3"/>
  <c r="E343" i="3"/>
  <c r="M343" i="3" s="1"/>
  <c r="H340" i="3"/>
  <c r="G340" i="3"/>
  <c r="M340" i="3" s="1"/>
  <c r="F340" i="3"/>
  <c r="E340" i="3"/>
  <c r="H339" i="3"/>
  <c r="N339" i="3" s="1"/>
  <c r="G339" i="3"/>
  <c r="J339" i="3" s="1"/>
  <c r="F339" i="3"/>
  <c r="E339" i="3"/>
  <c r="M339" i="3" s="1"/>
  <c r="H338" i="3"/>
  <c r="N338" i="3" s="1"/>
  <c r="G338" i="3"/>
  <c r="F338" i="3"/>
  <c r="E338" i="3"/>
  <c r="H337" i="3"/>
  <c r="N337" i="3" s="1"/>
  <c r="G337" i="3"/>
  <c r="J337" i="3" s="1"/>
  <c r="F337" i="3"/>
  <c r="E337" i="3"/>
  <c r="I337" i="3" s="1"/>
  <c r="H336" i="3"/>
  <c r="G336" i="3"/>
  <c r="J336" i="3" s="1"/>
  <c r="F336" i="3"/>
  <c r="E336" i="3"/>
  <c r="H335" i="3"/>
  <c r="G335" i="3"/>
  <c r="F335" i="3"/>
  <c r="E335" i="3"/>
  <c r="W326" i="3"/>
  <c r="V326" i="3"/>
  <c r="X326" i="3" s="1"/>
  <c r="S326" i="3"/>
  <c r="N326" i="3"/>
  <c r="L326" i="3"/>
  <c r="K326" i="3"/>
  <c r="I326" i="3"/>
  <c r="G326" i="3"/>
  <c r="F326" i="3"/>
  <c r="H326" i="3" s="1"/>
  <c r="J326" i="3" s="1"/>
  <c r="E326" i="3"/>
  <c r="C326" i="3"/>
  <c r="W325" i="3"/>
  <c r="V325" i="3"/>
  <c r="X325" i="3" s="1"/>
  <c r="S325" i="3"/>
  <c r="N325" i="3"/>
  <c r="L325" i="3"/>
  <c r="K325" i="3"/>
  <c r="I325" i="3"/>
  <c r="G325" i="3"/>
  <c r="F325" i="3"/>
  <c r="H325" i="3" s="1"/>
  <c r="J325" i="3" s="1"/>
  <c r="E325" i="3"/>
  <c r="C325" i="3"/>
  <c r="W324" i="3"/>
  <c r="V324" i="3"/>
  <c r="X324" i="3" s="1"/>
  <c r="S324" i="3"/>
  <c r="N324" i="3"/>
  <c r="L324" i="3"/>
  <c r="K324" i="3"/>
  <c r="I324" i="3"/>
  <c r="G324" i="3"/>
  <c r="F324" i="3"/>
  <c r="H324" i="3" s="1"/>
  <c r="E324" i="3"/>
  <c r="C324" i="3"/>
  <c r="W323" i="3"/>
  <c r="V323" i="3"/>
  <c r="X323" i="3" s="1"/>
  <c r="S323" i="3"/>
  <c r="N323" i="3"/>
  <c r="L323" i="3"/>
  <c r="K323" i="3"/>
  <c r="I323" i="3"/>
  <c r="G323" i="3"/>
  <c r="F323" i="3"/>
  <c r="H323" i="3" s="1"/>
  <c r="E323" i="3"/>
  <c r="C323" i="3"/>
  <c r="W322" i="3"/>
  <c r="V322" i="3"/>
  <c r="X322" i="3" s="1"/>
  <c r="U322" i="3"/>
  <c r="S322" i="3"/>
  <c r="N322" i="3"/>
  <c r="L322" i="3"/>
  <c r="K322" i="3"/>
  <c r="I322" i="3"/>
  <c r="G322" i="3"/>
  <c r="F322" i="3"/>
  <c r="H322" i="3" s="1"/>
  <c r="C322" i="3"/>
  <c r="D297" i="3"/>
  <c r="F297" i="3" s="1"/>
  <c r="D295" i="3"/>
  <c r="F295" i="3" s="1"/>
  <c r="D294" i="3"/>
  <c r="F294" i="3" s="1"/>
  <c r="D293" i="3"/>
  <c r="F293" i="3" s="1"/>
  <c r="D292" i="3"/>
  <c r="F292" i="3" s="1"/>
  <c r="D291" i="3"/>
  <c r="F291" i="3" s="1"/>
  <c r="D290" i="3"/>
  <c r="F290" i="3" s="1"/>
  <c r="D289" i="3"/>
  <c r="F289" i="3" s="1"/>
  <c r="D288" i="3"/>
  <c r="F288" i="3" s="1"/>
  <c r="D287" i="3"/>
  <c r="F287" i="3" s="1"/>
  <c r="O281" i="3"/>
  <c r="N281" i="3"/>
  <c r="M281" i="3"/>
  <c r="L281" i="3"/>
  <c r="K281" i="3"/>
  <c r="J281" i="3"/>
  <c r="I281" i="3"/>
  <c r="H281" i="3"/>
  <c r="G281" i="3"/>
  <c r="F281" i="3"/>
  <c r="E281" i="3"/>
  <c r="D281" i="3"/>
  <c r="O280" i="3"/>
  <c r="N280" i="3"/>
  <c r="M280" i="3"/>
  <c r="L280" i="3"/>
  <c r="K280" i="3"/>
  <c r="J280" i="3"/>
  <c r="I280" i="3"/>
  <c r="H280" i="3"/>
  <c r="G280" i="3"/>
  <c r="F280" i="3"/>
  <c r="E280" i="3"/>
  <c r="D280" i="3"/>
  <c r="O279" i="3"/>
  <c r="N279" i="3"/>
  <c r="M279" i="3"/>
  <c r="L279" i="3"/>
  <c r="K279" i="3"/>
  <c r="J279" i="3"/>
  <c r="I279" i="3"/>
  <c r="H279" i="3"/>
  <c r="G279" i="3"/>
  <c r="F279" i="3"/>
  <c r="E279" i="3"/>
  <c r="D279" i="3"/>
  <c r="O278" i="3"/>
  <c r="N278" i="3"/>
  <c r="M278" i="3"/>
  <c r="L278" i="3"/>
  <c r="K278" i="3"/>
  <c r="J278" i="3"/>
  <c r="I278" i="3"/>
  <c r="H278" i="3"/>
  <c r="G278" i="3"/>
  <c r="F278" i="3"/>
  <c r="E278" i="3"/>
  <c r="D278" i="3"/>
  <c r="O277" i="3"/>
  <c r="N277" i="3"/>
  <c r="M277" i="3"/>
  <c r="L277" i="3"/>
  <c r="K277" i="3"/>
  <c r="J277" i="3"/>
  <c r="I277" i="3"/>
  <c r="H277" i="3"/>
  <c r="G277" i="3"/>
  <c r="F277" i="3"/>
  <c r="E277" i="3"/>
  <c r="D277" i="3"/>
  <c r="O271" i="3"/>
  <c r="N271" i="3"/>
  <c r="M271" i="3"/>
  <c r="L271" i="3"/>
  <c r="K271" i="3"/>
  <c r="J271" i="3"/>
  <c r="I271" i="3"/>
  <c r="H271" i="3"/>
  <c r="G271" i="3"/>
  <c r="F271" i="3"/>
  <c r="E271" i="3"/>
  <c r="D271" i="3"/>
  <c r="O270" i="3"/>
  <c r="N270" i="3"/>
  <c r="M270" i="3"/>
  <c r="J270" i="3"/>
  <c r="I270" i="3"/>
  <c r="H270" i="3"/>
  <c r="G270" i="3"/>
  <c r="F270" i="3"/>
  <c r="E270" i="3"/>
  <c r="D270" i="3"/>
  <c r="O269" i="3"/>
  <c r="N269" i="3"/>
  <c r="M269" i="3"/>
  <c r="L269" i="3"/>
  <c r="T262" i="3" s="1"/>
  <c r="K269" i="3"/>
  <c r="J269" i="3"/>
  <c r="I269" i="3"/>
  <c r="H269" i="3"/>
  <c r="G269" i="3"/>
  <c r="F269" i="3"/>
  <c r="E269" i="3"/>
  <c r="D269" i="3"/>
  <c r="O268" i="3"/>
  <c r="N268" i="3"/>
  <c r="M268" i="3"/>
  <c r="L268" i="3"/>
  <c r="K268" i="3"/>
  <c r="J268" i="3"/>
  <c r="I268" i="3"/>
  <c r="H268" i="3"/>
  <c r="G268" i="3"/>
  <c r="F268" i="3"/>
  <c r="E268" i="3"/>
  <c r="D268" i="3"/>
  <c r="O267" i="3"/>
  <c r="N267" i="3"/>
  <c r="M267" i="3"/>
  <c r="L267" i="3"/>
  <c r="K267" i="3"/>
  <c r="J267" i="3"/>
  <c r="I267" i="3"/>
  <c r="H267" i="3"/>
  <c r="G267" i="3"/>
  <c r="F267" i="3"/>
  <c r="E267" i="3"/>
  <c r="D267" i="3"/>
  <c r="O266" i="3"/>
  <c r="N266" i="3"/>
  <c r="M266" i="3"/>
  <c r="L266" i="3"/>
  <c r="S263" i="3" s="1"/>
  <c r="J266" i="3"/>
  <c r="I266" i="3"/>
  <c r="H266" i="3"/>
  <c r="G266" i="3"/>
  <c r="F266" i="3"/>
  <c r="E266" i="3"/>
  <c r="D266" i="3"/>
  <c r="O265" i="3"/>
  <c r="N265" i="3"/>
  <c r="M265" i="3"/>
  <c r="L265" i="3"/>
  <c r="S262" i="3" s="1"/>
  <c r="K265" i="3"/>
  <c r="R262" i="3" s="1"/>
  <c r="J265" i="3"/>
  <c r="I265" i="3"/>
  <c r="H265" i="3"/>
  <c r="G265" i="3"/>
  <c r="F265" i="3"/>
  <c r="E265" i="3"/>
  <c r="D265" i="3"/>
  <c r="K263" i="3"/>
  <c r="L270" i="3" s="1"/>
  <c r="T263" i="3" s="1"/>
  <c r="S261" i="3"/>
  <c r="R261" i="3"/>
  <c r="J255" i="3"/>
  <c r="I255" i="3"/>
  <c r="M253" i="3" s="1"/>
  <c r="E255" i="3"/>
  <c r="D255" i="3"/>
  <c r="J253" i="3"/>
  <c r="I253" i="3"/>
  <c r="M252" i="3" s="1"/>
  <c r="E253" i="3"/>
  <c r="D253" i="3"/>
  <c r="N251" i="3"/>
  <c r="O251" i="3" s="1"/>
  <c r="J251" i="3"/>
  <c r="I251" i="3"/>
  <c r="M251" i="3" s="1"/>
  <c r="E251" i="3"/>
  <c r="D251" i="3"/>
  <c r="N250" i="3"/>
  <c r="M250" i="3"/>
  <c r="J247" i="3"/>
  <c r="I247" i="3"/>
  <c r="N253" i="3" s="1"/>
  <c r="O253" i="3" s="1"/>
  <c r="E247" i="3"/>
  <c r="D247" i="3"/>
  <c r="U246" i="3"/>
  <c r="T246" i="3"/>
  <c r="U245" i="3"/>
  <c r="T245" i="3"/>
  <c r="S245" i="3"/>
  <c r="R245" i="3"/>
  <c r="J245" i="3"/>
  <c r="I245" i="3"/>
  <c r="N252" i="3" s="1"/>
  <c r="E245" i="3"/>
  <c r="D245" i="3"/>
  <c r="U244" i="3"/>
  <c r="T244" i="3"/>
  <c r="S244" i="3"/>
  <c r="R244" i="3"/>
  <c r="U243" i="3"/>
  <c r="T243" i="3"/>
  <c r="S243" i="3" s="1"/>
  <c r="J243" i="3"/>
  <c r="I243" i="3"/>
  <c r="E243" i="3"/>
  <c r="D243" i="3"/>
  <c r="F220" i="3"/>
  <c r="E220" i="3"/>
  <c r="D220" i="3"/>
  <c r="F219" i="3"/>
  <c r="E219" i="3"/>
  <c r="D219" i="3"/>
  <c r="F218" i="3"/>
  <c r="E218" i="3"/>
  <c r="D218" i="3"/>
  <c r="F217" i="3"/>
  <c r="E217" i="3"/>
  <c r="D217" i="3"/>
  <c r="F216" i="3"/>
  <c r="E216" i="3"/>
  <c r="D216" i="3"/>
  <c r="F215" i="3"/>
  <c r="E215" i="3"/>
  <c r="D215" i="3"/>
  <c r="F214" i="3"/>
  <c r="E214" i="3"/>
  <c r="D214" i="3"/>
  <c r="F213" i="3"/>
  <c r="E213" i="3"/>
  <c r="D213" i="3"/>
  <c r="F212" i="3"/>
  <c r="E212" i="3"/>
  <c r="D212" i="3"/>
  <c r="F211" i="3"/>
  <c r="E211" i="3"/>
  <c r="D211" i="3"/>
  <c r="F210" i="3"/>
  <c r="E210" i="3"/>
  <c r="D210" i="3"/>
  <c r="F209" i="3"/>
  <c r="E209" i="3"/>
  <c r="D209" i="3"/>
  <c r="F208" i="3"/>
  <c r="E208" i="3"/>
  <c r="D208" i="3"/>
  <c r="F207" i="3"/>
  <c r="E207" i="3"/>
  <c r="D207" i="3"/>
  <c r="F206" i="3"/>
  <c r="E206" i="3"/>
  <c r="D206" i="3"/>
  <c r="F205" i="3"/>
  <c r="E205" i="3"/>
  <c r="D205" i="3"/>
  <c r="F204" i="3"/>
  <c r="E204" i="3"/>
  <c r="D204" i="3"/>
  <c r="F203" i="3"/>
  <c r="E203" i="3"/>
  <c r="D203" i="3"/>
  <c r="F202" i="3"/>
  <c r="E202" i="3"/>
  <c r="D202" i="3"/>
  <c r="O195" i="3"/>
  <c r="N195" i="3"/>
  <c r="M195" i="3"/>
  <c r="L195" i="3"/>
  <c r="K195" i="3"/>
  <c r="J195" i="3"/>
  <c r="I195" i="3"/>
  <c r="H195" i="3"/>
  <c r="G195" i="3"/>
  <c r="D195" i="3"/>
  <c r="O194" i="3"/>
  <c r="N194" i="3"/>
  <c r="M194" i="3"/>
  <c r="L194" i="3"/>
  <c r="K194" i="3"/>
  <c r="J194" i="3"/>
  <c r="I194" i="3"/>
  <c r="H194" i="3"/>
  <c r="G194" i="3"/>
  <c r="O192" i="3"/>
  <c r="N192" i="3"/>
  <c r="M192" i="3"/>
  <c r="L192" i="3"/>
  <c r="K192" i="3"/>
  <c r="J192" i="3"/>
  <c r="I192" i="3"/>
  <c r="H192" i="3"/>
  <c r="G192" i="3"/>
  <c r="D192" i="3"/>
  <c r="O191" i="3"/>
  <c r="N191" i="3"/>
  <c r="M191" i="3"/>
  <c r="L191" i="3"/>
  <c r="K191" i="3"/>
  <c r="J191" i="3"/>
  <c r="I191" i="3"/>
  <c r="H191" i="3"/>
  <c r="G191" i="3"/>
  <c r="J190" i="3"/>
  <c r="F190" i="3"/>
  <c r="O189" i="3"/>
  <c r="N189" i="3"/>
  <c r="M189" i="3"/>
  <c r="L189" i="3"/>
  <c r="K189" i="3"/>
  <c r="J189" i="3"/>
  <c r="I189" i="3"/>
  <c r="H189" i="3"/>
  <c r="G189" i="3"/>
  <c r="F189" i="3"/>
  <c r="D189" i="3"/>
  <c r="O188" i="3"/>
  <c r="N188" i="3"/>
  <c r="M188" i="3"/>
  <c r="L188" i="3"/>
  <c r="K188" i="3"/>
  <c r="J188" i="3"/>
  <c r="I188" i="3"/>
  <c r="H188" i="3"/>
  <c r="G188" i="3"/>
  <c r="F188" i="3"/>
  <c r="D188" i="3"/>
  <c r="O187" i="3"/>
  <c r="K187" i="3"/>
  <c r="J187" i="3"/>
  <c r="H187" i="3"/>
  <c r="G187" i="3"/>
  <c r="O186" i="3"/>
  <c r="N186" i="3"/>
  <c r="M186" i="3"/>
  <c r="L186" i="3"/>
  <c r="K186" i="3"/>
  <c r="J186" i="3"/>
  <c r="I186" i="3"/>
  <c r="H186" i="3"/>
  <c r="G186" i="3"/>
  <c r="D186" i="3"/>
  <c r="O185" i="3"/>
  <c r="N185" i="3"/>
  <c r="M185" i="3"/>
  <c r="L185" i="3"/>
  <c r="K185" i="3"/>
  <c r="J185" i="3"/>
  <c r="I185" i="3"/>
  <c r="H185" i="3"/>
  <c r="G185" i="3"/>
  <c r="AC184" i="3"/>
  <c r="O190" i="3" s="1"/>
  <c r="AB184" i="3"/>
  <c r="N190" i="3" s="1"/>
  <c r="AA184" i="3"/>
  <c r="M190" i="3" s="1"/>
  <c r="Z184" i="3"/>
  <c r="L190" i="3" s="1"/>
  <c r="Y184" i="3"/>
  <c r="K190" i="3" s="1"/>
  <c r="X184" i="3"/>
  <c r="W184" i="3"/>
  <c r="I190" i="3" s="1"/>
  <c r="V184" i="3"/>
  <c r="H190" i="3" s="1"/>
  <c r="U184" i="3"/>
  <c r="G190" i="3" s="1"/>
  <c r="T184" i="3"/>
  <c r="R184" i="3"/>
  <c r="F184" i="3"/>
  <c r="D184" i="3"/>
  <c r="D190" i="3" s="1"/>
  <c r="AC181" i="3"/>
  <c r="AB181" i="3"/>
  <c r="N187" i="3" s="1"/>
  <c r="AA181" i="3"/>
  <c r="M187" i="3" s="1"/>
  <c r="Z181" i="3"/>
  <c r="L187" i="3" s="1"/>
  <c r="Y181" i="3"/>
  <c r="X181" i="3"/>
  <c r="W181" i="3"/>
  <c r="I187" i="3" s="1"/>
  <c r="V181" i="3"/>
  <c r="U181" i="3"/>
  <c r="R181" i="3"/>
  <c r="T180" i="3"/>
  <c r="T179" i="3"/>
  <c r="T181" i="3" s="1"/>
  <c r="D179" i="3"/>
  <c r="J172" i="3"/>
  <c r="G172" i="3"/>
  <c r="F172" i="3"/>
  <c r="E172" i="3"/>
  <c r="D172" i="3"/>
  <c r="I172" i="3" s="1"/>
  <c r="G171" i="3"/>
  <c r="F171" i="3"/>
  <c r="E171" i="3"/>
  <c r="D171" i="3"/>
  <c r="I171" i="3" s="1"/>
  <c r="G170" i="3"/>
  <c r="F170" i="3"/>
  <c r="J170" i="3" s="1"/>
  <c r="E170" i="3"/>
  <c r="D170" i="3"/>
  <c r="G169" i="3"/>
  <c r="F169" i="3"/>
  <c r="J169" i="3" s="1"/>
  <c r="E169" i="3"/>
  <c r="D169" i="3"/>
  <c r="I169" i="3" s="1"/>
  <c r="J168" i="3"/>
  <c r="G168" i="3"/>
  <c r="F168" i="3"/>
  <c r="E168" i="3"/>
  <c r="D168" i="3"/>
  <c r="I168" i="3" s="1"/>
  <c r="G167" i="3"/>
  <c r="F167" i="3"/>
  <c r="E167" i="3"/>
  <c r="D167" i="3"/>
  <c r="G166" i="3"/>
  <c r="F166" i="3"/>
  <c r="J166" i="3" s="1"/>
  <c r="E166" i="3"/>
  <c r="D166" i="3"/>
  <c r="G165" i="3"/>
  <c r="F165" i="3"/>
  <c r="J165" i="3" s="1"/>
  <c r="E165" i="3"/>
  <c r="D165" i="3"/>
  <c r="I165" i="3" s="1"/>
  <c r="G164" i="3"/>
  <c r="F164" i="3"/>
  <c r="E164" i="3"/>
  <c r="D164" i="3"/>
  <c r="G163" i="3"/>
  <c r="F163" i="3"/>
  <c r="J163" i="3" s="1"/>
  <c r="E163" i="3"/>
  <c r="D163" i="3"/>
  <c r="I162" i="3"/>
  <c r="G162" i="3"/>
  <c r="F162" i="3"/>
  <c r="J162" i="3" s="1"/>
  <c r="E162" i="3"/>
  <c r="D162" i="3"/>
  <c r="G161" i="3"/>
  <c r="F161" i="3"/>
  <c r="J161" i="3" s="1"/>
  <c r="E161" i="3"/>
  <c r="D161" i="3"/>
  <c r="I161" i="3" s="1"/>
  <c r="G160" i="3"/>
  <c r="F160" i="3"/>
  <c r="E160" i="3"/>
  <c r="D160" i="3"/>
  <c r="I160" i="3" s="1"/>
  <c r="G159" i="3"/>
  <c r="F159" i="3"/>
  <c r="J159" i="3" s="1"/>
  <c r="E159" i="3"/>
  <c r="D159" i="3"/>
  <c r="I159" i="3" s="1"/>
  <c r="G158" i="3"/>
  <c r="J158" i="3" s="1"/>
  <c r="F158" i="3"/>
  <c r="E158" i="3"/>
  <c r="D158" i="3"/>
  <c r="I158" i="3" s="1"/>
  <c r="I157" i="3"/>
  <c r="G157" i="3"/>
  <c r="F157" i="3"/>
  <c r="E157" i="3"/>
  <c r="D157" i="3"/>
  <c r="G156" i="3"/>
  <c r="F156" i="3"/>
  <c r="E156" i="3"/>
  <c r="D156" i="3"/>
  <c r="G155" i="3"/>
  <c r="F155" i="3"/>
  <c r="J155" i="3" s="1"/>
  <c r="E155" i="3"/>
  <c r="I155" i="3" s="1"/>
  <c r="D155" i="3"/>
  <c r="G154" i="3"/>
  <c r="F154" i="3"/>
  <c r="J154" i="3" s="1"/>
  <c r="E154" i="3"/>
  <c r="D154" i="3"/>
  <c r="I154" i="3" s="1"/>
  <c r="G153" i="3"/>
  <c r="F153" i="3"/>
  <c r="E153" i="3"/>
  <c r="D153" i="3"/>
  <c r="I153" i="3" s="1"/>
  <c r="P143" i="3"/>
  <c r="R142" i="3"/>
  <c r="N142" i="3"/>
  <c r="J142" i="3"/>
  <c r="H142" i="3"/>
  <c r="S141" i="3"/>
  <c r="R141" i="3"/>
  <c r="Q141" i="3"/>
  <c r="P141" i="3"/>
  <c r="K141" i="3"/>
  <c r="J141" i="3"/>
  <c r="H141" i="3"/>
  <c r="R140" i="3"/>
  <c r="O140" i="3"/>
  <c r="N140" i="3"/>
  <c r="M140" i="3"/>
  <c r="R139" i="3"/>
  <c r="Q139" i="3"/>
  <c r="P139" i="3"/>
  <c r="O139" i="3"/>
  <c r="N139" i="3"/>
  <c r="J139" i="3"/>
  <c r="H139" i="3"/>
  <c r="Q138" i="3"/>
  <c r="Q143" i="3" s="1"/>
  <c r="H138" i="3"/>
  <c r="H143" i="3" s="1"/>
  <c r="R137" i="3"/>
  <c r="P137" i="3"/>
  <c r="P142" i="3" s="1"/>
  <c r="N137" i="3"/>
  <c r="J137" i="3"/>
  <c r="H137" i="3"/>
  <c r="S136" i="3"/>
  <c r="R136" i="3"/>
  <c r="Q136" i="3"/>
  <c r="P136" i="3"/>
  <c r="O136" i="3"/>
  <c r="N136" i="3"/>
  <c r="N141" i="3" s="1"/>
  <c r="M136" i="3"/>
  <c r="M141" i="3" s="1"/>
  <c r="L136" i="3"/>
  <c r="L141" i="3" s="1"/>
  <c r="K136" i="3"/>
  <c r="J136" i="3"/>
  <c r="I136" i="3"/>
  <c r="I141" i="3" s="1"/>
  <c r="H136" i="3"/>
  <c r="S135" i="3"/>
  <c r="S140" i="3" s="1"/>
  <c r="R135" i="3"/>
  <c r="Q135" i="3"/>
  <c r="P135" i="3"/>
  <c r="P140" i="3" s="1"/>
  <c r="O135" i="3"/>
  <c r="N135" i="3"/>
  <c r="M135" i="3"/>
  <c r="M137" i="3" s="1"/>
  <c r="M142" i="3" s="1"/>
  <c r="L135" i="3"/>
  <c r="L137" i="3" s="1"/>
  <c r="L142" i="3" s="1"/>
  <c r="K135" i="3"/>
  <c r="K137" i="3" s="1"/>
  <c r="K142" i="3" s="1"/>
  <c r="J135" i="3"/>
  <c r="J140" i="3" s="1"/>
  <c r="I135" i="3"/>
  <c r="H135" i="3"/>
  <c r="H140" i="3" s="1"/>
  <c r="S134" i="3"/>
  <c r="R134" i="3"/>
  <c r="R138" i="3" s="1"/>
  <c r="R143" i="3" s="1"/>
  <c r="Q134" i="3"/>
  <c r="P134" i="3"/>
  <c r="P138" i="3" s="1"/>
  <c r="O134" i="3"/>
  <c r="O138" i="3" s="1"/>
  <c r="O143" i="3" s="1"/>
  <c r="N134" i="3"/>
  <c r="F179" i="3" s="1"/>
  <c r="M134" i="3"/>
  <c r="M139" i="3" s="1"/>
  <c r="L134" i="3"/>
  <c r="L139" i="3" s="1"/>
  <c r="K134" i="3"/>
  <c r="K139" i="3" s="1"/>
  <c r="J134" i="3"/>
  <c r="J138" i="3" s="1"/>
  <c r="J143" i="3" s="1"/>
  <c r="I134" i="3"/>
  <c r="I138" i="3" s="1"/>
  <c r="I143" i="3" s="1"/>
  <c r="H134" i="3"/>
  <c r="S130" i="3"/>
  <c r="J130" i="3"/>
  <c r="H130" i="3"/>
  <c r="O128" i="3"/>
  <c r="L128" i="3"/>
  <c r="H128" i="3"/>
  <c r="S127" i="3"/>
  <c r="R127" i="3"/>
  <c r="P127" i="3"/>
  <c r="N127" i="3"/>
  <c r="K127" i="3"/>
  <c r="J127" i="3"/>
  <c r="S126" i="3"/>
  <c r="Q126" i="3"/>
  <c r="N126" i="3"/>
  <c r="K126" i="3"/>
  <c r="I126" i="3"/>
  <c r="H126" i="3"/>
  <c r="P125" i="3"/>
  <c r="P130" i="3" s="1"/>
  <c r="N125" i="3"/>
  <c r="N130" i="3" s="1"/>
  <c r="M125" i="3"/>
  <c r="M130" i="3" s="1"/>
  <c r="K125" i="3"/>
  <c r="K130" i="3" s="1"/>
  <c r="S124" i="3"/>
  <c r="S129" i="3" s="1"/>
  <c r="M124" i="3"/>
  <c r="M129" i="3" s="1"/>
  <c r="K124" i="3"/>
  <c r="K129" i="3" s="1"/>
  <c r="S123" i="3"/>
  <c r="S128" i="3" s="1"/>
  <c r="R123" i="3"/>
  <c r="Q123" i="3"/>
  <c r="Q124" i="3" s="1"/>
  <c r="Q129" i="3" s="1"/>
  <c r="P123" i="3"/>
  <c r="P128" i="3" s="1"/>
  <c r="O123" i="3"/>
  <c r="N123" i="3"/>
  <c r="N124" i="3" s="1"/>
  <c r="N129" i="3" s="1"/>
  <c r="M123" i="3"/>
  <c r="M128" i="3" s="1"/>
  <c r="L123" i="3"/>
  <c r="K123" i="3"/>
  <c r="K128" i="3" s="1"/>
  <c r="J123" i="3"/>
  <c r="J128" i="3" s="1"/>
  <c r="I123" i="3"/>
  <c r="I128" i="3" s="1"/>
  <c r="H123" i="3"/>
  <c r="S122" i="3"/>
  <c r="R122" i="3"/>
  <c r="Q122" i="3"/>
  <c r="Q127" i="3" s="1"/>
  <c r="P122" i="3"/>
  <c r="O122" i="3"/>
  <c r="O125" i="3" s="1"/>
  <c r="O130" i="3" s="1"/>
  <c r="N122" i="3"/>
  <c r="M122" i="3"/>
  <c r="M127" i="3" s="1"/>
  <c r="L122" i="3"/>
  <c r="L127" i="3" s="1"/>
  <c r="K122" i="3"/>
  <c r="J122" i="3"/>
  <c r="I122" i="3"/>
  <c r="H122" i="3"/>
  <c r="S121" i="3"/>
  <c r="S125" i="3" s="1"/>
  <c r="R121" i="3"/>
  <c r="Q121" i="3"/>
  <c r="P121" i="3"/>
  <c r="P126" i="3" s="1"/>
  <c r="O121" i="3"/>
  <c r="O126" i="3" s="1"/>
  <c r="N121" i="3"/>
  <c r="M121" i="3"/>
  <c r="M126" i="3" s="1"/>
  <c r="L121" i="3"/>
  <c r="L125" i="3" s="1"/>
  <c r="L130" i="3" s="1"/>
  <c r="K121" i="3"/>
  <c r="J121" i="3"/>
  <c r="J125" i="3" s="1"/>
  <c r="I121" i="3"/>
  <c r="H121" i="3"/>
  <c r="H125" i="3" s="1"/>
  <c r="M115" i="3"/>
  <c r="L115" i="3"/>
  <c r="M114" i="3"/>
  <c r="L114" i="3"/>
  <c r="M113" i="3"/>
  <c r="L113" i="3"/>
  <c r="M112" i="3"/>
  <c r="L112" i="3"/>
  <c r="M111" i="3"/>
  <c r="L111" i="3"/>
  <c r="M110" i="3"/>
  <c r="L110" i="3"/>
  <c r="M109" i="3"/>
  <c r="G109" i="3" s="1"/>
  <c r="L109" i="3"/>
  <c r="M108" i="3"/>
  <c r="L108" i="3"/>
  <c r="M107" i="3"/>
  <c r="L107" i="3"/>
  <c r="L106" i="3"/>
  <c r="G106" i="3" s="1"/>
  <c r="O100" i="3"/>
  <c r="M100" i="3"/>
  <c r="L100" i="3"/>
  <c r="K100" i="3"/>
  <c r="J100" i="3"/>
  <c r="I100" i="3"/>
  <c r="H100" i="3"/>
  <c r="E100" i="3"/>
  <c r="F115" i="3" s="1"/>
  <c r="D100" i="3"/>
  <c r="C100" i="3"/>
  <c r="C115" i="3" s="1"/>
  <c r="J115" i="3" s="1"/>
  <c r="B100" i="3"/>
  <c r="O99" i="3"/>
  <c r="M99" i="3"/>
  <c r="L99" i="3"/>
  <c r="K99" i="3"/>
  <c r="J99" i="3"/>
  <c r="I99" i="3"/>
  <c r="H99" i="3"/>
  <c r="E99" i="3"/>
  <c r="F114" i="3" s="1"/>
  <c r="D99" i="3"/>
  <c r="C99" i="3"/>
  <c r="C114" i="3" s="1"/>
  <c r="J114" i="3" s="1"/>
  <c r="B99" i="3"/>
  <c r="O98" i="3"/>
  <c r="M98" i="3"/>
  <c r="L98" i="3"/>
  <c r="K98" i="3"/>
  <c r="J98" i="3"/>
  <c r="I98" i="3"/>
  <c r="H98" i="3"/>
  <c r="E98" i="3"/>
  <c r="F113" i="3" s="1"/>
  <c r="D98" i="3"/>
  <c r="C98" i="3"/>
  <c r="C113" i="3" s="1"/>
  <c r="J113" i="3" s="1"/>
  <c r="B98" i="3"/>
  <c r="O97" i="3"/>
  <c r="M97" i="3"/>
  <c r="L97" i="3"/>
  <c r="K97" i="3"/>
  <c r="J97" i="3"/>
  <c r="I97" i="3"/>
  <c r="H97" i="3"/>
  <c r="E97" i="3"/>
  <c r="F112" i="3" s="1"/>
  <c r="D97" i="3"/>
  <c r="C97" i="3"/>
  <c r="C112" i="3" s="1"/>
  <c r="J112" i="3" s="1"/>
  <c r="B97" i="3"/>
  <c r="O96" i="3"/>
  <c r="M96" i="3"/>
  <c r="L96" i="3"/>
  <c r="K96" i="3"/>
  <c r="J96" i="3"/>
  <c r="I96" i="3"/>
  <c r="H96" i="3"/>
  <c r="E96" i="3"/>
  <c r="F111" i="3" s="1"/>
  <c r="D96" i="3"/>
  <c r="C96" i="3"/>
  <c r="C111" i="3" s="1"/>
  <c r="J111" i="3" s="1"/>
  <c r="B96" i="3"/>
  <c r="O95" i="3"/>
  <c r="M95" i="3"/>
  <c r="L95" i="3"/>
  <c r="K95" i="3"/>
  <c r="J95" i="3"/>
  <c r="I95" i="3"/>
  <c r="H95" i="3"/>
  <c r="E95" i="3"/>
  <c r="F110" i="3" s="1"/>
  <c r="D95" i="3"/>
  <c r="C95" i="3"/>
  <c r="C110" i="3" s="1"/>
  <c r="J110" i="3" s="1"/>
  <c r="B95" i="3"/>
  <c r="O94" i="3"/>
  <c r="M94" i="3"/>
  <c r="L94" i="3"/>
  <c r="K94" i="3"/>
  <c r="J94" i="3"/>
  <c r="I94" i="3"/>
  <c r="H94" i="3"/>
  <c r="E94" i="3"/>
  <c r="F109" i="3" s="1"/>
  <c r="D94" i="3"/>
  <c r="C94" i="3"/>
  <c r="C109" i="3" s="1"/>
  <c r="J109" i="3" s="1"/>
  <c r="B94" i="3"/>
  <c r="O93" i="3"/>
  <c r="M93" i="3"/>
  <c r="L93" i="3"/>
  <c r="K93" i="3"/>
  <c r="J93" i="3"/>
  <c r="I93" i="3"/>
  <c r="H93" i="3"/>
  <c r="E93" i="3"/>
  <c r="F108" i="3" s="1"/>
  <c r="D93" i="3"/>
  <c r="C93" i="3"/>
  <c r="C108" i="3" s="1"/>
  <c r="J108" i="3" s="1"/>
  <c r="B93" i="3"/>
  <c r="O92" i="3"/>
  <c r="M92" i="3"/>
  <c r="L92" i="3"/>
  <c r="K92" i="3"/>
  <c r="J92" i="3"/>
  <c r="I92" i="3"/>
  <c r="H92" i="3"/>
  <c r="E92" i="3"/>
  <c r="F107" i="3" s="1"/>
  <c r="D92" i="3"/>
  <c r="E107" i="3" s="1"/>
  <c r="C92" i="3"/>
  <c r="C107" i="3" s="1"/>
  <c r="J107" i="3" s="1"/>
  <c r="B92" i="3"/>
  <c r="O91" i="3"/>
  <c r="M91" i="3"/>
  <c r="L91" i="3"/>
  <c r="K91" i="3"/>
  <c r="J91" i="3"/>
  <c r="I91" i="3"/>
  <c r="H91" i="3"/>
  <c r="E91" i="3"/>
  <c r="F106" i="3" s="1"/>
  <c r="D91" i="3"/>
  <c r="C91" i="3"/>
  <c r="C106" i="3" s="1"/>
  <c r="J106" i="3" s="1"/>
  <c r="B91" i="3"/>
  <c r="O90" i="3"/>
  <c r="H90" i="3"/>
  <c r="O86" i="3"/>
  <c r="N86" i="3"/>
  <c r="M86" i="3"/>
  <c r="L86" i="3"/>
  <c r="K86" i="3"/>
  <c r="J86" i="3"/>
  <c r="I86" i="3"/>
  <c r="H86" i="3"/>
  <c r="G86" i="3"/>
  <c r="F86" i="3"/>
  <c r="E86" i="3"/>
  <c r="D86" i="3"/>
  <c r="O85" i="3"/>
  <c r="O84" i="3"/>
  <c r="N84" i="3"/>
  <c r="M84" i="3"/>
  <c r="L84" i="3"/>
  <c r="K84" i="3"/>
  <c r="J84" i="3"/>
  <c r="I84" i="3"/>
  <c r="H84" i="3"/>
  <c r="G84" i="3"/>
  <c r="F84" i="3"/>
  <c r="E84" i="3"/>
  <c r="D84" i="3"/>
  <c r="O77" i="3"/>
  <c r="O76" i="3"/>
  <c r="O75" i="3"/>
  <c r="AC74" i="3"/>
  <c r="AB74" i="3"/>
  <c r="AA74" i="3"/>
  <c r="Z74" i="3"/>
  <c r="Y74" i="3"/>
  <c r="X74" i="3"/>
  <c r="W74" i="3"/>
  <c r="V74" i="3"/>
  <c r="S74" i="3"/>
  <c r="R74" i="3"/>
  <c r="O78" i="3"/>
  <c r="N73" i="3"/>
  <c r="M73" i="3"/>
  <c r="L73" i="3"/>
  <c r="K73" i="3"/>
  <c r="J73" i="3"/>
  <c r="J78" i="3" s="1"/>
  <c r="I73" i="3"/>
  <c r="I78" i="3" s="1"/>
  <c r="H73" i="3"/>
  <c r="H78" i="3" s="1"/>
  <c r="G73" i="3"/>
  <c r="G78" i="3" s="1"/>
  <c r="F73" i="3"/>
  <c r="E73" i="3"/>
  <c r="D73" i="3"/>
  <c r="N72" i="3"/>
  <c r="N77" i="3" s="1"/>
  <c r="M72" i="3"/>
  <c r="L72" i="3"/>
  <c r="L77" i="3" s="1"/>
  <c r="K72" i="3"/>
  <c r="J72" i="3"/>
  <c r="I72" i="3"/>
  <c r="H72" i="3"/>
  <c r="H77" i="3" s="1"/>
  <c r="G72" i="3"/>
  <c r="G77" i="3" s="1"/>
  <c r="F72" i="3"/>
  <c r="F77" i="3" s="1"/>
  <c r="E72" i="3"/>
  <c r="D72" i="3"/>
  <c r="D77" i="3" s="1"/>
  <c r="O83" i="3"/>
  <c r="N71" i="3"/>
  <c r="M71" i="3"/>
  <c r="L71" i="3"/>
  <c r="L76" i="3" s="1"/>
  <c r="K71" i="3"/>
  <c r="J71" i="3"/>
  <c r="J76" i="3" s="1"/>
  <c r="I71" i="3"/>
  <c r="H71" i="3"/>
  <c r="G71" i="3"/>
  <c r="F71" i="3"/>
  <c r="E71" i="3"/>
  <c r="D71" i="3"/>
  <c r="N70" i="3"/>
  <c r="N75" i="3" s="1"/>
  <c r="M70" i="3"/>
  <c r="L70" i="3"/>
  <c r="L75" i="3" s="1"/>
  <c r="K70" i="3"/>
  <c r="K75" i="3" s="1"/>
  <c r="J70" i="3"/>
  <c r="I70" i="3"/>
  <c r="I74" i="3" s="1"/>
  <c r="I79" i="3" s="1"/>
  <c r="H70" i="3"/>
  <c r="H75" i="3" s="1"/>
  <c r="G70" i="3"/>
  <c r="G75" i="3" s="1"/>
  <c r="F70" i="3"/>
  <c r="F75" i="3" s="1"/>
  <c r="E70" i="3"/>
  <c r="D70" i="3"/>
  <c r="J62" i="3"/>
  <c r="I62" i="3"/>
  <c r="H62" i="3"/>
  <c r="G62" i="3"/>
  <c r="M61" i="3"/>
  <c r="L61" i="3"/>
  <c r="K61" i="3"/>
  <c r="J61" i="3"/>
  <c r="D61" i="3"/>
  <c r="O60" i="3"/>
  <c r="E134" i="3" s="1"/>
  <c r="N60" i="3"/>
  <c r="H60" i="3"/>
  <c r="E60" i="3"/>
  <c r="O59" i="3"/>
  <c r="O64" i="3" s="1"/>
  <c r="E138" i="3" s="1"/>
  <c r="G59" i="3"/>
  <c r="G64" i="3" s="1"/>
  <c r="F59" i="3"/>
  <c r="F64" i="3" s="1"/>
  <c r="J58" i="3"/>
  <c r="J63" i="3" s="1"/>
  <c r="O62" i="3"/>
  <c r="E136" i="3" s="1"/>
  <c r="N57" i="3"/>
  <c r="L90" i="3" s="1"/>
  <c r="M57" i="3"/>
  <c r="M62" i="3" s="1"/>
  <c r="L57" i="3"/>
  <c r="L62" i="3" s="1"/>
  <c r="K57" i="3"/>
  <c r="K62" i="3" s="1"/>
  <c r="J57" i="3"/>
  <c r="I57" i="3"/>
  <c r="H57" i="3"/>
  <c r="G57" i="3"/>
  <c r="F57" i="3"/>
  <c r="F62" i="3" s="1"/>
  <c r="E57" i="3"/>
  <c r="E62" i="3" s="1"/>
  <c r="D57" i="3"/>
  <c r="D62" i="3" s="1"/>
  <c r="O61" i="3"/>
  <c r="E135" i="3" s="1"/>
  <c r="N56" i="3"/>
  <c r="N58" i="3" s="1"/>
  <c r="N63" i="3" s="1"/>
  <c r="M56" i="3"/>
  <c r="L56" i="3"/>
  <c r="K56" i="3"/>
  <c r="J56" i="3"/>
  <c r="I56" i="3"/>
  <c r="H56" i="3"/>
  <c r="H61" i="3" s="1"/>
  <c r="G56" i="3"/>
  <c r="G61" i="3" s="1"/>
  <c r="F56" i="3"/>
  <c r="F61" i="3" s="1"/>
  <c r="E56" i="3"/>
  <c r="D56" i="3"/>
  <c r="N55" i="3"/>
  <c r="M55" i="3"/>
  <c r="L55" i="3"/>
  <c r="L60" i="3" s="1"/>
  <c r="K55" i="3"/>
  <c r="K60" i="3" s="1"/>
  <c r="J55" i="3"/>
  <c r="J83" i="3" s="1"/>
  <c r="I55" i="3"/>
  <c r="H55" i="3"/>
  <c r="G55" i="3"/>
  <c r="F55" i="3"/>
  <c r="E55" i="3"/>
  <c r="D55" i="3"/>
  <c r="C49" i="3"/>
  <c r="C48" i="3"/>
  <c r="C44" i="3"/>
  <c r="C43" i="3"/>
  <c r="C42" i="3"/>
  <c r="C41" i="3"/>
  <c r="C40" i="3"/>
  <c r="C39" i="3"/>
  <c r="C38" i="3"/>
  <c r="C37" i="3"/>
  <c r="C36" i="3"/>
  <c r="C35" i="3"/>
  <c r="C34" i="3"/>
  <c r="C33" i="3"/>
  <c r="C47" i="3" s="1"/>
  <c r="C32" i="3"/>
  <c r="C46" i="3" s="1"/>
  <c r="C31" i="3"/>
  <c r="C45" i="3" s="1"/>
  <c r="C30" i="3"/>
  <c r="C29" i="3"/>
  <c r="AC28" i="3"/>
  <c r="AB28" i="3"/>
  <c r="AA28" i="3"/>
  <c r="Z28" i="3"/>
  <c r="Y28" i="3"/>
  <c r="X28" i="3"/>
  <c r="W28" i="3"/>
  <c r="V28" i="3"/>
  <c r="U28" i="3"/>
  <c r="T28" i="3"/>
  <c r="S28" i="3"/>
  <c r="R28" i="3"/>
  <c r="O27" i="3"/>
  <c r="O34" i="3" s="1"/>
  <c r="N27" i="3"/>
  <c r="M27" i="3"/>
  <c r="M34" i="3" s="1"/>
  <c r="L27" i="3"/>
  <c r="L34" i="3" s="1"/>
  <c r="K27" i="3"/>
  <c r="K48" i="3" s="1"/>
  <c r="J27" i="3"/>
  <c r="J34" i="3" s="1"/>
  <c r="I27" i="3"/>
  <c r="H27" i="3"/>
  <c r="G27" i="3"/>
  <c r="G34" i="3" s="1"/>
  <c r="F27" i="3"/>
  <c r="E27" i="3"/>
  <c r="E34" i="3" s="1"/>
  <c r="D27" i="3"/>
  <c r="D34" i="3" s="1"/>
  <c r="O26" i="3"/>
  <c r="O33" i="3" s="1"/>
  <c r="N26" i="3"/>
  <c r="N33" i="3" s="1"/>
  <c r="M26" i="3"/>
  <c r="L26" i="3"/>
  <c r="K26" i="3"/>
  <c r="K47" i="3" s="1"/>
  <c r="J26" i="3"/>
  <c r="J47" i="3" s="1"/>
  <c r="I26" i="3"/>
  <c r="I33" i="3" s="1"/>
  <c r="H26" i="3"/>
  <c r="H33" i="3" s="1"/>
  <c r="G26" i="3"/>
  <c r="G33" i="3" s="1"/>
  <c r="F26" i="3"/>
  <c r="F40" i="3" s="1"/>
  <c r="E26" i="3"/>
  <c r="E33" i="3" s="1"/>
  <c r="D26" i="3"/>
  <c r="O25" i="3"/>
  <c r="N25" i="3"/>
  <c r="M25" i="3"/>
  <c r="M32" i="3" s="1"/>
  <c r="L25" i="3"/>
  <c r="K25" i="3"/>
  <c r="K32" i="3" s="1"/>
  <c r="J25" i="3"/>
  <c r="J32" i="3" s="1"/>
  <c r="I25" i="3"/>
  <c r="I32" i="3" s="1"/>
  <c r="H25" i="3"/>
  <c r="G25" i="3"/>
  <c r="F25" i="3"/>
  <c r="E25" i="3"/>
  <c r="E32" i="3" s="1"/>
  <c r="D25" i="3"/>
  <c r="O24" i="3"/>
  <c r="O31" i="3" s="1"/>
  <c r="N24" i="3"/>
  <c r="N31" i="3" s="1"/>
  <c r="M24" i="3"/>
  <c r="M31" i="3" s="1"/>
  <c r="L24" i="3"/>
  <c r="K24" i="3"/>
  <c r="K38" i="3" s="1"/>
  <c r="J24" i="3"/>
  <c r="J38" i="3" s="1"/>
  <c r="I24" i="3"/>
  <c r="I31" i="3" s="1"/>
  <c r="H24" i="3"/>
  <c r="G24" i="3"/>
  <c r="F24" i="3"/>
  <c r="F31" i="3" s="1"/>
  <c r="E24" i="3"/>
  <c r="E31" i="3" s="1"/>
  <c r="D24" i="3"/>
  <c r="O23" i="3"/>
  <c r="N23" i="3"/>
  <c r="M23" i="3"/>
  <c r="L23" i="3"/>
  <c r="K23" i="3"/>
  <c r="J23" i="3"/>
  <c r="I23" i="3"/>
  <c r="I37" i="3" s="1"/>
  <c r="H23" i="3"/>
  <c r="G23" i="3"/>
  <c r="F23" i="3"/>
  <c r="E23" i="3"/>
  <c r="D23" i="3"/>
  <c r="O22" i="3"/>
  <c r="N22" i="3"/>
  <c r="N29" i="3" s="1"/>
  <c r="M22" i="3"/>
  <c r="L22" i="3"/>
  <c r="K22" i="3"/>
  <c r="J22" i="3"/>
  <c r="I22" i="3"/>
  <c r="I29" i="3" s="1"/>
  <c r="H22" i="3"/>
  <c r="G22" i="3"/>
  <c r="F22" i="3"/>
  <c r="E22" i="3"/>
  <c r="D22" i="3"/>
  <c r="N14" i="3"/>
  <c r="I14" i="3"/>
  <c r="H14" i="3"/>
  <c r="F14" i="3"/>
  <c r="M13" i="3"/>
  <c r="J13" i="3"/>
  <c r="G13" i="3"/>
  <c r="E13" i="3"/>
  <c r="K12" i="3"/>
  <c r="I12" i="3"/>
  <c r="H12" i="3"/>
  <c r="AC11" i="3"/>
  <c r="AB11" i="3"/>
  <c r="AA11" i="3"/>
  <c r="Z11" i="3"/>
  <c r="Y11" i="3"/>
  <c r="X11" i="3"/>
  <c r="W11" i="3"/>
  <c r="V11" i="3"/>
  <c r="U11" i="3"/>
  <c r="T11" i="3"/>
  <c r="S11" i="3"/>
  <c r="R11" i="3"/>
  <c r="N11" i="3"/>
  <c r="N16" i="3" s="1"/>
  <c r="AC10" i="3"/>
  <c r="AB10" i="3"/>
  <c r="AA10" i="3"/>
  <c r="Z10" i="3"/>
  <c r="Y10" i="3"/>
  <c r="X10" i="3"/>
  <c r="W10" i="3"/>
  <c r="V10" i="3"/>
  <c r="U10" i="3"/>
  <c r="T10" i="3"/>
  <c r="S10" i="3"/>
  <c r="R10" i="3"/>
  <c r="N10" i="3"/>
  <c r="N15" i="3" s="1"/>
  <c r="I10" i="3"/>
  <c r="I15" i="3" s="1"/>
  <c r="O9" i="3"/>
  <c r="O10" i="3" s="1"/>
  <c r="O15" i="3" s="1"/>
  <c r="N9" i="3"/>
  <c r="M9" i="3"/>
  <c r="M14" i="3" s="1"/>
  <c r="L9" i="3"/>
  <c r="K9" i="3"/>
  <c r="K14" i="3" s="1"/>
  <c r="J9" i="3"/>
  <c r="J14" i="3" s="1"/>
  <c r="I9" i="3"/>
  <c r="H9" i="3"/>
  <c r="G9" i="3"/>
  <c r="G14" i="3" s="1"/>
  <c r="F9" i="3"/>
  <c r="E9" i="3"/>
  <c r="E14" i="3" s="1"/>
  <c r="D9" i="3"/>
  <c r="D14" i="3" s="1"/>
  <c r="O8" i="3"/>
  <c r="O13" i="3" s="1"/>
  <c r="N8" i="3"/>
  <c r="N13" i="3" s="1"/>
  <c r="M8" i="3"/>
  <c r="L8" i="3"/>
  <c r="L13" i="3" s="1"/>
  <c r="K8" i="3"/>
  <c r="J8" i="3"/>
  <c r="J10" i="3" s="1"/>
  <c r="J15" i="3" s="1"/>
  <c r="I8" i="3"/>
  <c r="I13" i="3" s="1"/>
  <c r="H8" i="3"/>
  <c r="G8" i="3"/>
  <c r="F8" i="3"/>
  <c r="F13" i="3" s="1"/>
  <c r="E8" i="3"/>
  <c r="D8" i="3"/>
  <c r="D13" i="3" s="1"/>
  <c r="O7" i="3"/>
  <c r="N7" i="3"/>
  <c r="M7" i="3"/>
  <c r="L7" i="3"/>
  <c r="K7" i="3"/>
  <c r="J7" i="3"/>
  <c r="I7" i="3"/>
  <c r="H7" i="3"/>
  <c r="G7" i="3"/>
  <c r="F7" i="3"/>
  <c r="E7" i="3"/>
  <c r="D7" i="3"/>
  <c r="K431" i="2"/>
  <c r="J431" i="2"/>
  <c r="I431" i="2"/>
  <c r="H431" i="2"/>
  <c r="G431" i="2"/>
  <c r="F431" i="2"/>
  <c r="E431" i="2"/>
  <c r="K430" i="2"/>
  <c r="J430" i="2"/>
  <c r="I430" i="2"/>
  <c r="H430" i="2"/>
  <c r="G430" i="2"/>
  <c r="F430" i="2"/>
  <c r="E430" i="2"/>
  <c r="K429" i="2"/>
  <c r="J429" i="2"/>
  <c r="I429" i="2"/>
  <c r="H429" i="2"/>
  <c r="G429" i="2"/>
  <c r="F429" i="2"/>
  <c r="E429" i="2"/>
  <c r="K428" i="2"/>
  <c r="J428" i="2"/>
  <c r="I428" i="2"/>
  <c r="H428" i="2"/>
  <c r="G428" i="2"/>
  <c r="F428" i="2"/>
  <c r="E428" i="2"/>
  <c r="K427" i="2"/>
  <c r="J427" i="2"/>
  <c r="I427" i="2"/>
  <c r="H427" i="2"/>
  <c r="G427" i="2"/>
  <c r="F427" i="2"/>
  <c r="E427" i="2"/>
  <c r="K426" i="2"/>
  <c r="J426" i="2"/>
  <c r="I426" i="2"/>
  <c r="H426" i="2"/>
  <c r="G426" i="2"/>
  <c r="F426" i="2"/>
  <c r="E426" i="2"/>
  <c r="K425" i="2"/>
  <c r="J425" i="2"/>
  <c r="I425" i="2"/>
  <c r="H425" i="2"/>
  <c r="G425" i="2"/>
  <c r="F425" i="2"/>
  <c r="E425" i="2"/>
  <c r="K424" i="2"/>
  <c r="J424" i="2"/>
  <c r="I424" i="2"/>
  <c r="H424" i="2"/>
  <c r="G424" i="2"/>
  <c r="F424" i="2"/>
  <c r="E424" i="2"/>
  <c r="K423" i="2"/>
  <c r="J423" i="2"/>
  <c r="I423" i="2"/>
  <c r="H423" i="2"/>
  <c r="G423" i="2"/>
  <c r="F423" i="2"/>
  <c r="E423" i="2"/>
  <c r="K422" i="2"/>
  <c r="J422" i="2"/>
  <c r="I422" i="2"/>
  <c r="H422" i="2"/>
  <c r="G422" i="2"/>
  <c r="F422" i="2"/>
  <c r="E422" i="2"/>
  <c r="K421" i="2"/>
  <c r="J421" i="2"/>
  <c r="I421" i="2"/>
  <c r="H421" i="2"/>
  <c r="G421" i="2"/>
  <c r="F421" i="2"/>
  <c r="E421" i="2"/>
  <c r="K419" i="2"/>
  <c r="J419" i="2"/>
  <c r="I419" i="2"/>
  <c r="H419" i="2"/>
  <c r="G419" i="2"/>
  <c r="F419" i="2"/>
  <c r="E419" i="2"/>
  <c r="K418" i="2"/>
  <c r="J418" i="2"/>
  <c r="I418" i="2"/>
  <c r="H418" i="2"/>
  <c r="G418" i="2"/>
  <c r="F418" i="2"/>
  <c r="E418" i="2"/>
  <c r="K417" i="2"/>
  <c r="J417" i="2"/>
  <c r="I417" i="2"/>
  <c r="H417" i="2"/>
  <c r="G417" i="2"/>
  <c r="F417" i="2"/>
  <c r="E417" i="2"/>
  <c r="K416" i="2"/>
  <c r="J416" i="2"/>
  <c r="I416" i="2"/>
  <c r="H416" i="2"/>
  <c r="G416" i="2"/>
  <c r="F416" i="2"/>
  <c r="E416" i="2"/>
  <c r="K415" i="2"/>
  <c r="J415" i="2"/>
  <c r="I415" i="2"/>
  <c r="H415" i="2"/>
  <c r="G415" i="2"/>
  <c r="F415" i="2"/>
  <c r="E415" i="2"/>
  <c r="K414" i="2"/>
  <c r="J414" i="2"/>
  <c r="I414" i="2"/>
  <c r="H414" i="2"/>
  <c r="G414" i="2"/>
  <c r="F414" i="2"/>
  <c r="E414" i="2"/>
  <c r="K413" i="2"/>
  <c r="J413" i="2"/>
  <c r="I413" i="2"/>
  <c r="H413" i="2"/>
  <c r="G413" i="2"/>
  <c r="F413" i="2"/>
  <c r="E413" i="2"/>
  <c r="K412" i="2"/>
  <c r="J412" i="2"/>
  <c r="I412" i="2"/>
  <c r="H412" i="2"/>
  <c r="G412" i="2"/>
  <c r="F412" i="2"/>
  <c r="E412" i="2"/>
  <c r="K411" i="2"/>
  <c r="J411" i="2"/>
  <c r="I411" i="2"/>
  <c r="H411" i="2"/>
  <c r="G411" i="2"/>
  <c r="F411" i="2"/>
  <c r="E411" i="2"/>
  <c r="K410" i="2"/>
  <c r="J410" i="2"/>
  <c r="I410" i="2"/>
  <c r="H410" i="2"/>
  <c r="G410" i="2"/>
  <c r="F410" i="2"/>
  <c r="E410" i="2"/>
  <c r="K409" i="2"/>
  <c r="J409" i="2"/>
  <c r="I409" i="2"/>
  <c r="H409" i="2"/>
  <c r="G409" i="2"/>
  <c r="F409" i="2"/>
  <c r="E409" i="2"/>
  <c r="K407" i="2"/>
  <c r="J407" i="2"/>
  <c r="I407" i="2"/>
  <c r="H407" i="2"/>
  <c r="G407" i="2"/>
  <c r="F407" i="2"/>
  <c r="E407" i="2"/>
  <c r="K406" i="2"/>
  <c r="J406" i="2"/>
  <c r="I406" i="2"/>
  <c r="H406" i="2"/>
  <c r="G406" i="2"/>
  <c r="F406" i="2"/>
  <c r="E406" i="2"/>
  <c r="K405" i="2"/>
  <c r="J405" i="2"/>
  <c r="I405" i="2"/>
  <c r="H405" i="2"/>
  <c r="G405" i="2"/>
  <c r="F405" i="2"/>
  <c r="E405" i="2"/>
  <c r="K404" i="2"/>
  <c r="J404" i="2"/>
  <c r="I404" i="2"/>
  <c r="H404" i="2"/>
  <c r="G404" i="2"/>
  <c r="F404" i="2"/>
  <c r="E404" i="2"/>
  <c r="K403" i="2"/>
  <c r="J403" i="2"/>
  <c r="I403" i="2"/>
  <c r="H403" i="2"/>
  <c r="G403" i="2"/>
  <c r="F403" i="2"/>
  <c r="E403" i="2"/>
  <c r="K402" i="2"/>
  <c r="J402" i="2"/>
  <c r="I402" i="2"/>
  <c r="H402" i="2"/>
  <c r="G402" i="2"/>
  <c r="F402" i="2"/>
  <c r="E402" i="2"/>
  <c r="K401" i="2"/>
  <c r="J401" i="2"/>
  <c r="I401" i="2"/>
  <c r="H401" i="2"/>
  <c r="G401" i="2"/>
  <c r="F401" i="2"/>
  <c r="E401" i="2"/>
  <c r="K400" i="2"/>
  <c r="J400" i="2"/>
  <c r="I400" i="2"/>
  <c r="H400" i="2"/>
  <c r="G400" i="2"/>
  <c r="F400" i="2"/>
  <c r="E400" i="2"/>
  <c r="K399" i="2"/>
  <c r="J399" i="2"/>
  <c r="I399" i="2"/>
  <c r="H399" i="2"/>
  <c r="G399" i="2"/>
  <c r="F399" i="2"/>
  <c r="E399" i="2"/>
  <c r="K398" i="2"/>
  <c r="J398" i="2"/>
  <c r="I398" i="2"/>
  <c r="H398" i="2"/>
  <c r="G398" i="2"/>
  <c r="F398" i="2"/>
  <c r="E398" i="2"/>
  <c r="K397" i="2"/>
  <c r="J397" i="2"/>
  <c r="I397" i="2"/>
  <c r="H397" i="2"/>
  <c r="G397" i="2"/>
  <c r="F397" i="2"/>
  <c r="E397" i="2"/>
  <c r="D394" i="2"/>
  <c r="K394" i="2" s="1"/>
  <c r="D393" i="2"/>
  <c r="J392" i="2"/>
  <c r="I392" i="2"/>
  <c r="D392" i="2"/>
  <c r="H392" i="2" s="1"/>
  <c r="D391" i="2"/>
  <c r="H391" i="2" s="1"/>
  <c r="D390" i="2"/>
  <c r="H390" i="2" s="1"/>
  <c r="J389" i="2"/>
  <c r="I389" i="2"/>
  <c r="E389" i="2"/>
  <c r="D389" i="2"/>
  <c r="H389" i="2" s="1"/>
  <c r="E388" i="2"/>
  <c r="D388" i="2"/>
  <c r="G388" i="2" s="1"/>
  <c r="D386" i="2"/>
  <c r="D385" i="2"/>
  <c r="K384" i="2"/>
  <c r="J384" i="2"/>
  <c r="D384" i="2"/>
  <c r="K383" i="2"/>
  <c r="J383" i="2"/>
  <c r="I383" i="2"/>
  <c r="D383" i="2"/>
  <c r="H383" i="2" s="1"/>
  <c r="D382" i="2"/>
  <c r="H382" i="2" s="1"/>
  <c r="D381" i="2"/>
  <c r="H381" i="2" s="1"/>
  <c r="J380" i="2"/>
  <c r="I380" i="2"/>
  <c r="F380" i="2"/>
  <c r="E380" i="2"/>
  <c r="D380" i="2"/>
  <c r="H380" i="2" s="1"/>
  <c r="D378" i="2"/>
  <c r="E378" i="2" s="1"/>
  <c r="F377" i="2"/>
  <c r="E377" i="2"/>
  <c r="D377" i="2"/>
  <c r="D376" i="2"/>
  <c r="D375" i="2"/>
  <c r="D374" i="2"/>
  <c r="H374" i="2" s="1"/>
  <c r="D373" i="2"/>
  <c r="H373" i="2" s="1"/>
  <c r="K372" i="2"/>
  <c r="J372" i="2"/>
  <c r="G372" i="2"/>
  <c r="D372" i="2"/>
  <c r="H372" i="2" s="1"/>
  <c r="K369" i="2"/>
  <c r="J369" i="2"/>
  <c r="I369" i="2"/>
  <c r="H369" i="2"/>
  <c r="G369" i="2"/>
  <c r="F369" i="2"/>
  <c r="E369" i="2"/>
  <c r="K368" i="2"/>
  <c r="J368" i="2"/>
  <c r="I368" i="2"/>
  <c r="H368" i="2"/>
  <c r="G368" i="2"/>
  <c r="F368" i="2"/>
  <c r="E368" i="2"/>
  <c r="K367" i="2"/>
  <c r="J367" i="2"/>
  <c r="I367" i="2"/>
  <c r="H367" i="2"/>
  <c r="G367" i="2"/>
  <c r="F367" i="2"/>
  <c r="E367" i="2"/>
  <c r="K366" i="2"/>
  <c r="J366" i="2"/>
  <c r="I366" i="2"/>
  <c r="H366" i="2"/>
  <c r="G366" i="2"/>
  <c r="F366" i="2"/>
  <c r="E366" i="2"/>
  <c r="K365" i="2"/>
  <c r="J365" i="2"/>
  <c r="I365" i="2"/>
  <c r="H365" i="2"/>
  <c r="G365" i="2"/>
  <c r="F365" i="2"/>
  <c r="E365" i="2"/>
  <c r="K364" i="2"/>
  <c r="J364" i="2"/>
  <c r="I364" i="2"/>
  <c r="H364" i="2"/>
  <c r="G364" i="2"/>
  <c r="F364" i="2"/>
  <c r="E364" i="2"/>
  <c r="K362" i="2"/>
  <c r="J362" i="2"/>
  <c r="I362" i="2"/>
  <c r="H362" i="2"/>
  <c r="G362" i="2"/>
  <c r="F362" i="2"/>
  <c r="E362" i="2"/>
  <c r="M356" i="2"/>
  <c r="J356" i="2"/>
  <c r="H356" i="2"/>
  <c r="N356" i="2" s="1"/>
  <c r="G356" i="2"/>
  <c r="F356" i="2"/>
  <c r="E356" i="2"/>
  <c r="I356" i="2" s="1"/>
  <c r="I355" i="2"/>
  <c r="H355" i="2"/>
  <c r="N355" i="2" s="1"/>
  <c r="G355" i="2"/>
  <c r="M355" i="2" s="1"/>
  <c r="F355" i="2"/>
  <c r="E355" i="2"/>
  <c r="H354" i="2"/>
  <c r="G354" i="2"/>
  <c r="M354" i="2" s="1"/>
  <c r="F354" i="2"/>
  <c r="E354" i="2"/>
  <c r="I354" i="2" s="1"/>
  <c r="H353" i="2"/>
  <c r="N353" i="2" s="1"/>
  <c r="G353" i="2"/>
  <c r="M353" i="2" s="1"/>
  <c r="F353" i="2"/>
  <c r="E353" i="2"/>
  <c r="I353" i="2" s="1"/>
  <c r="H352" i="2"/>
  <c r="N352" i="2" s="1"/>
  <c r="G352" i="2"/>
  <c r="J352" i="2" s="1"/>
  <c r="F352" i="2"/>
  <c r="E352" i="2"/>
  <c r="I352" i="2" s="1"/>
  <c r="N351" i="2"/>
  <c r="H351" i="2"/>
  <c r="G351" i="2"/>
  <c r="F351" i="2"/>
  <c r="E351" i="2"/>
  <c r="H350" i="2"/>
  <c r="G350" i="2"/>
  <c r="J350" i="2" s="1"/>
  <c r="F350" i="2"/>
  <c r="E350" i="2"/>
  <c r="H347" i="2"/>
  <c r="G347" i="2"/>
  <c r="J347" i="2" s="1"/>
  <c r="F347" i="2"/>
  <c r="N347" i="2" s="1"/>
  <c r="E347" i="2"/>
  <c r="N346" i="2"/>
  <c r="H346" i="2"/>
  <c r="G346" i="2"/>
  <c r="J346" i="2" s="1"/>
  <c r="F346" i="2"/>
  <c r="E346" i="2"/>
  <c r="H345" i="2"/>
  <c r="N345" i="2" s="1"/>
  <c r="G345" i="2"/>
  <c r="F345" i="2"/>
  <c r="E345" i="2"/>
  <c r="H344" i="2"/>
  <c r="G344" i="2"/>
  <c r="J344" i="2" s="1"/>
  <c r="F344" i="2"/>
  <c r="I344" i="2" s="1"/>
  <c r="E344" i="2"/>
  <c r="H343" i="2"/>
  <c r="N343" i="2" s="1"/>
  <c r="G343" i="2"/>
  <c r="F343" i="2"/>
  <c r="E343" i="2"/>
  <c r="I343" i="2" s="1"/>
  <c r="H342" i="2"/>
  <c r="J342" i="2" s="1"/>
  <c r="G342" i="2"/>
  <c r="F342" i="2"/>
  <c r="E342" i="2"/>
  <c r="M342" i="2" s="1"/>
  <c r="W333" i="2"/>
  <c r="V333" i="2"/>
  <c r="X333" i="2" s="1"/>
  <c r="U333" i="2"/>
  <c r="S333" i="2"/>
  <c r="N333" i="2"/>
  <c r="L333" i="2"/>
  <c r="K333" i="2"/>
  <c r="I333" i="2"/>
  <c r="G333" i="2"/>
  <c r="F333" i="2"/>
  <c r="H333" i="2" s="1"/>
  <c r="C333" i="2"/>
  <c r="W332" i="2"/>
  <c r="V332" i="2"/>
  <c r="X332" i="2" s="1"/>
  <c r="U332" i="2"/>
  <c r="S332" i="2"/>
  <c r="N332" i="2"/>
  <c r="L332" i="2"/>
  <c r="K332" i="2"/>
  <c r="I332" i="2"/>
  <c r="G332" i="2"/>
  <c r="F332" i="2"/>
  <c r="H332" i="2" s="1"/>
  <c r="C332" i="2"/>
  <c r="W331" i="2"/>
  <c r="V331" i="2"/>
  <c r="X331" i="2" s="1"/>
  <c r="U331" i="2"/>
  <c r="S331" i="2"/>
  <c r="N331" i="2"/>
  <c r="L331" i="2"/>
  <c r="K331" i="2"/>
  <c r="I331" i="2"/>
  <c r="G331" i="2"/>
  <c r="F331" i="2"/>
  <c r="H331" i="2" s="1"/>
  <c r="C331" i="2"/>
  <c r="W330" i="2"/>
  <c r="V330" i="2"/>
  <c r="X330" i="2" s="1"/>
  <c r="U330" i="2"/>
  <c r="S330" i="2"/>
  <c r="N330" i="2"/>
  <c r="L330" i="2"/>
  <c r="K330" i="2"/>
  <c r="I330" i="2"/>
  <c r="G330" i="2"/>
  <c r="F330" i="2"/>
  <c r="H330" i="2" s="1"/>
  <c r="C330" i="2"/>
  <c r="W329" i="2"/>
  <c r="V329" i="2"/>
  <c r="X329" i="2" s="1"/>
  <c r="U329" i="2"/>
  <c r="S329" i="2"/>
  <c r="N329" i="2"/>
  <c r="L329" i="2"/>
  <c r="K329" i="2"/>
  <c r="I329" i="2"/>
  <c r="G329" i="2"/>
  <c r="F329" i="2"/>
  <c r="H329" i="2" s="1"/>
  <c r="C329" i="2"/>
  <c r="W328" i="2"/>
  <c r="V328" i="2"/>
  <c r="X328" i="2" s="1"/>
  <c r="U328" i="2"/>
  <c r="S328" i="2"/>
  <c r="N328" i="2"/>
  <c r="L328" i="2"/>
  <c r="K328" i="2"/>
  <c r="I328" i="2"/>
  <c r="G328" i="2"/>
  <c r="F328" i="2"/>
  <c r="H328" i="2" s="1"/>
  <c r="C328" i="2"/>
  <c r="W327" i="2"/>
  <c r="V327" i="2"/>
  <c r="X327" i="2" s="1"/>
  <c r="U327" i="2"/>
  <c r="S327" i="2"/>
  <c r="N327" i="2"/>
  <c r="L327" i="2"/>
  <c r="K327" i="2"/>
  <c r="I327" i="2"/>
  <c r="G327" i="2"/>
  <c r="F327" i="2"/>
  <c r="H327" i="2" s="1"/>
  <c r="E327" i="2"/>
  <c r="W326" i="2"/>
  <c r="V326" i="2"/>
  <c r="X326" i="2" s="1"/>
  <c r="U326" i="2"/>
  <c r="S326" i="2"/>
  <c r="N326" i="2"/>
  <c r="L326" i="2"/>
  <c r="K326" i="2"/>
  <c r="I326" i="2"/>
  <c r="G326" i="2"/>
  <c r="F326" i="2"/>
  <c r="H326" i="2" s="1"/>
  <c r="C326" i="2"/>
  <c r="W325" i="2"/>
  <c r="V325" i="2"/>
  <c r="U325" i="2"/>
  <c r="S325" i="2"/>
  <c r="N325" i="2"/>
  <c r="L325" i="2"/>
  <c r="K325" i="2"/>
  <c r="I325" i="2"/>
  <c r="G325" i="2"/>
  <c r="C325" i="2"/>
  <c r="W324" i="2"/>
  <c r="V324" i="2"/>
  <c r="X324" i="2" s="1"/>
  <c r="U324" i="2"/>
  <c r="S324" i="2"/>
  <c r="N324" i="2"/>
  <c r="L324" i="2"/>
  <c r="K324" i="2"/>
  <c r="I324" i="2"/>
  <c r="G324" i="2"/>
  <c r="F324" i="2"/>
  <c r="H324" i="2" s="1"/>
  <c r="E324" i="2"/>
  <c r="C324" i="2"/>
  <c r="N317" i="2"/>
  <c r="G317" i="2"/>
  <c r="N316" i="2"/>
  <c r="G316" i="2"/>
  <c r="N315" i="2"/>
  <c r="G315" i="2"/>
  <c r="N314" i="2"/>
  <c r="G314" i="2"/>
  <c r="N313" i="2"/>
  <c r="G313" i="2"/>
  <c r="N312" i="2"/>
  <c r="G312" i="2"/>
  <c r="N311" i="2"/>
  <c r="G311" i="2"/>
  <c r="N310" i="2"/>
  <c r="G310" i="2"/>
  <c r="N309" i="2"/>
  <c r="G309" i="2"/>
  <c r="N308" i="2"/>
  <c r="G308" i="2"/>
  <c r="I302" i="2"/>
  <c r="I301" i="2"/>
  <c r="I300" i="2"/>
  <c r="I299" i="2"/>
  <c r="I298" i="2"/>
  <c r="I297" i="2"/>
  <c r="I296" i="2"/>
  <c r="I295" i="2"/>
  <c r="F275" i="2"/>
  <c r="D275" i="2"/>
  <c r="F274" i="2"/>
  <c r="D274" i="2"/>
  <c r="F273" i="2"/>
  <c r="D273" i="2"/>
  <c r="E265" i="2"/>
  <c r="E264" i="2"/>
  <c r="E263" i="2"/>
  <c r="E262" i="2"/>
  <c r="O247" i="2" s="1"/>
  <c r="E261" i="2"/>
  <c r="O260" i="2"/>
  <c r="E260" i="2"/>
  <c r="O259" i="2"/>
  <c r="E259" i="2"/>
  <c r="O258" i="2"/>
  <c r="E258" i="2"/>
  <c r="O251" i="2" s="1"/>
  <c r="O257" i="2"/>
  <c r="E257" i="2"/>
  <c r="O256" i="2"/>
  <c r="E256" i="2"/>
  <c r="E255" i="2"/>
  <c r="E254" i="2"/>
  <c r="E253" i="2"/>
  <c r="E252" i="2"/>
  <c r="N251" i="2"/>
  <c r="E251" i="2"/>
  <c r="N260" i="2" s="1"/>
  <c r="O250" i="2"/>
  <c r="N250" i="2"/>
  <c r="E250" i="2"/>
  <c r="N259" i="2" s="1"/>
  <c r="O249" i="2"/>
  <c r="N249" i="2"/>
  <c r="E249" i="2"/>
  <c r="N258" i="2" s="1"/>
  <c r="O248" i="2"/>
  <c r="N248" i="2"/>
  <c r="E248" i="2"/>
  <c r="N247" i="2"/>
  <c r="E247" i="2"/>
  <c r="E246" i="2"/>
  <c r="N256" i="2" s="1"/>
  <c r="F240" i="2"/>
  <c r="F239" i="2"/>
  <c r="F238" i="2"/>
  <c r="F237" i="2"/>
  <c r="Q236" i="2"/>
  <c r="P236" i="2"/>
  <c r="O236" i="2" s="1"/>
  <c r="N236" i="2"/>
  <c r="F236" i="2"/>
  <c r="Q235" i="2"/>
  <c r="P235" i="2"/>
  <c r="F235" i="2"/>
  <c r="Q234" i="2"/>
  <c r="P234" i="2"/>
  <c r="O234" i="2" s="1"/>
  <c r="N234" i="2"/>
  <c r="F234" i="2"/>
  <c r="Q233" i="2"/>
  <c r="P233" i="2"/>
  <c r="N233" i="2" s="1"/>
  <c r="F233" i="2"/>
  <c r="Q232" i="2"/>
  <c r="P232" i="2"/>
  <c r="N232" i="2" s="1"/>
  <c r="F232" i="2"/>
  <c r="Q231" i="2"/>
  <c r="P231" i="2"/>
  <c r="O231" i="2" s="1"/>
  <c r="F231" i="2"/>
  <c r="O225" i="2"/>
  <c r="N225" i="2"/>
  <c r="M225" i="2"/>
  <c r="L225" i="2"/>
  <c r="K225" i="2"/>
  <c r="J225" i="2"/>
  <c r="I225" i="2"/>
  <c r="H225" i="2"/>
  <c r="G225" i="2"/>
  <c r="E225" i="2"/>
  <c r="O224" i="2"/>
  <c r="N224" i="2"/>
  <c r="M224" i="2"/>
  <c r="L224" i="2"/>
  <c r="K224" i="2"/>
  <c r="J224" i="2"/>
  <c r="I224" i="2"/>
  <c r="H224" i="2"/>
  <c r="G224" i="2"/>
  <c r="E224" i="2"/>
  <c r="O223" i="2"/>
  <c r="N223" i="2"/>
  <c r="M223" i="2"/>
  <c r="J223" i="2"/>
  <c r="I223" i="2"/>
  <c r="H223" i="2"/>
  <c r="G223" i="2"/>
  <c r="E223" i="2"/>
  <c r="O222" i="2"/>
  <c r="N222" i="2"/>
  <c r="M222" i="2"/>
  <c r="L222" i="2"/>
  <c r="K222" i="2"/>
  <c r="J222" i="2"/>
  <c r="I222" i="2"/>
  <c r="H222" i="2"/>
  <c r="G222" i="2"/>
  <c r="E222" i="2"/>
  <c r="O221" i="2"/>
  <c r="N221" i="2"/>
  <c r="M221" i="2"/>
  <c r="L221" i="2"/>
  <c r="K221" i="2"/>
  <c r="J221" i="2"/>
  <c r="I221" i="2"/>
  <c r="H221" i="2"/>
  <c r="G221" i="2"/>
  <c r="E221" i="2"/>
  <c r="D221" i="2"/>
  <c r="O220" i="2"/>
  <c r="N220" i="2"/>
  <c r="M220" i="2"/>
  <c r="L220" i="2"/>
  <c r="J220" i="2"/>
  <c r="I220" i="2"/>
  <c r="H220" i="2"/>
  <c r="G220" i="2"/>
  <c r="E220" i="2"/>
  <c r="D220" i="2"/>
  <c r="O219" i="2"/>
  <c r="N219" i="2"/>
  <c r="M219" i="2"/>
  <c r="L219" i="2"/>
  <c r="K219" i="2"/>
  <c r="J219" i="2"/>
  <c r="I219" i="2"/>
  <c r="H219" i="2"/>
  <c r="G219" i="2"/>
  <c r="E219" i="2"/>
  <c r="D219" i="2"/>
  <c r="K216" i="2"/>
  <c r="O213" i="2"/>
  <c r="N213" i="2"/>
  <c r="M213" i="2"/>
  <c r="L213" i="2"/>
  <c r="J213" i="2"/>
  <c r="H213" i="2"/>
  <c r="G213" i="2"/>
  <c r="O212" i="2"/>
  <c r="N212" i="2"/>
  <c r="M212" i="2"/>
  <c r="L212" i="2"/>
  <c r="K212" i="2"/>
  <c r="I212" i="2"/>
  <c r="H212" i="2"/>
  <c r="G212" i="2"/>
  <c r="D212" i="2"/>
  <c r="J211" i="2"/>
  <c r="J212" i="2" s="1"/>
  <c r="I211" i="2"/>
  <c r="I213" i="2" s="1"/>
  <c r="G211" i="2"/>
  <c r="E213" i="2"/>
  <c r="O208" i="2"/>
  <c r="N208" i="2"/>
  <c r="M208" i="2"/>
  <c r="L208" i="2"/>
  <c r="I208" i="2"/>
  <c r="H208" i="2"/>
  <c r="E208" i="2"/>
  <c r="D208" i="2"/>
  <c r="O207" i="2"/>
  <c r="L207" i="2"/>
  <c r="I207" i="2"/>
  <c r="H207" i="2"/>
  <c r="E207" i="2"/>
  <c r="O206" i="2"/>
  <c r="N206" i="2"/>
  <c r="L206" i="2"/>
  <c r="J206" i="2"/>
  <c r="I206" i="2"/>
  <c r="H206" i="2"/>
  <c r="G206" i="2"/>
  <c r="E206" i="2"/>
  <c r="O205" i="2"/>
  <c r="N205" i="2"/>
  <c r="M205" i="2"/>
  <c r="L205" i="2"/>
  <c r="K205" i="2"/>
  <c r="J205" i="2"/>
  <c r="I205" i="2"/>
  <c r="H205" i="2"/>
  <c r="G205" i="2"/>
  <c r="E205" i="2"/>
  <c r="O204" i="2"/>
  <c r="N204" i="2"/>
  <c r="M204" i="2"/>
  <c r="L204" i="2"/>
  <c r="J204" i="2"/>
  <c r="I204" i="2"/>
  <c r="H204" i="2"/>
  <c r="F204" i="2"/>
  <c r="E204" i="2"/>
  <c r="D204" i="2"/>
  <c r="O203" i="2"/>
  <c r="N203" i="2"/>
  <c r="M203" i="2"/>
  <c r="L203" i="2"/>
  <c r="K203" i="2"/>
  <c r="I203" i="2"/>
  <c r="H203" i="2"/>
  <c r="E203" i="2"/>
  <c r="D203" i="2"/>
  <c r="O202" i="2"/>
  <c r="N202" i="2"/>
  <c r="M202" i="2"/>
  <c r="L202" i="2"/>
  <c r="J202" i="2"/>
  <c r="I202" i="2"/>
  <c r="H202" i="2"/>
  <c r="G202" i="2"/>
  <c r="E202" i="2"/>
  <c r="D202" i="2"/>
  <c r="K201" i="2"/>
  <c r="J201" i="2"/>
  <c r="K200" i="2"/>
  <c r="N207" i="2" s="1"/>
  <c r="G200" i="2"/>
  <c r="G203" i="2" s="1"/>
  <c r="K199" i="2"/>
  <c r="K202" i="2" s="1"/>
  <c r="J199" i="2"/>
  <c r="M206" i="2" s="1"/>
  <c r="G199" i="2"/>
  <c r="F177" i="2"/>
  <c r="E177" i="2"/>
  <c r="D177" i="2"/>
  <c r="F176" i="2"/>
  <c r="E176" i="2"/>
  <c r="D176" i="2"/>
  <c r="F175" i="2"/>
  <c r="E175" i="2"/>
  <c r="D175" i="2"/>
  <c r="F174" i="2"/>
  <c r="E174" i="2"/>
  <c r="D174" i="2"/>
  <c r="F173" i="2"/>
  <c r="E173" i="2"/>
  <c r="D173" i="2"/>
  <c r="F172" i="2"/>
  <c r="E172" i="2"/>
  <c r="D172" i="2"/>
  <c r="F171" i="2"/>
  <c r="E171" i="2"/>
  <c r="D171" i="2"/>
  <c r="F170" i="2"/>
  <c r="E170" i="2"/>
  <c r="D170" i="2"/>
  <c r="F169" i="2"/>
  <c r="E169" i="2"/>
  <c r="D169" i="2"/>
  <c r="F168" i="2"/>
  <c r="E168" i="2"/>
  <c r="D168" i="2"/>
  <c r="F167" i="2"/>
  <c r="E167" i="2"/>
  <c r="D167" i="2"/>
  <c r="F166" i="2"/>
  <c r="E166" i="2"/>
  <c r="D166" i="2"/>
  <c r="F165" i="2"/>
  <c r="E165" i="2"/>
  <c r="D165" i="2"/>
  <c r="F164" i="2"/>
  <c r="E164" i="2"/>
  <c r="D164" i="2"/>
  <c r="F163" i="2"/>
  <c r="E163" i="2"/>
  <c r="D163" i="2"/>
  <c r="F162" i="2"/>
  <c r="E162" i="2"/>
  <c r="D162" i="2"/>
  <c r="F161" i="2"/>
  <c r="E161" i="2"/>
  <c r="D161" i="2"/>
  <c r="F160" i="2"/>
  <c r="E160" i="2"/>
  <c r="D160" i="2"/>
  <c r="F159" i="2"/>
  <c r="E159" i="2"/>
  <c r="D159" i="2"/>
  <c r="O150" i="2"/>
  <c r="N150" i="2"/>
  <c r="M150" i="2"/>
  <c r="L150" i="2"/>
  <c r="K150" i="2"/>
  <c r="J150" i="2"/>
  <c r="I150" i="2"/>
  <c r="H150" i="2"/>
  <c r="G150" i="2"/>
  <c r="D150" i="2"/>
  <c r="O149" i="2"/>
  <c r="N149" i="2"/>
  <c r="M149" i="2"/>
  <c r="L149" i="2"/>
  <c r="K149" i="2"/>
  <c r="J149" i="2"/>
  <c r="I149" i="2"/>
  <c r="H149" i="2"/>
  <c r="G149" i="2"/>
  <c r="D149" i="2"/>
  <c r="O147" i="2"/>
  <c r="N147" i="2"/>
  <c r="M147" i="2"/>
  <c r="L147" i="2"/>
  <c r="K147" i="2"/>
  <c r="J147" i="2"/>
  <c r="I147" i="2"/>
  <c r="H147" i="2"/>
  <c r="G147" i="2"/>
  <c r="D147" i="2"/>
  <c r="O146" i="2"/>
  <c r="N146" i="2"/>
  <c r="M146" i="2"/>
  <c r="L146" i="2"/>
  <c r="K146" i="2"/>
  <c r="J146" i="2"/>
  <c r="I146" i="2"/>
  <c r="H146" i="2"/>
  <c r="G146" i="2"/>
  <c r="D146" i="2"/>
  <c r="O145" i="2"/>
  <c r="N145" i="2"/>
  <c r="M145" i="2"/>
  <c r="L145" i="2"/>
  <c r="K145" i="2"/>
  <c r="J145" i="2"/>
  <c r="I145" i="2"/>
  <c r="H145" i="2"/>
  <c r="G145" i="2"/>
  <c r="D145" i="2"/>
  <c r="O144" i="2"/>
  <c r="N144" i="2"/>
  <c r="M144" i="2"/>
  <c r="L144" i="2"/>
  <c r="K144" i="2"/>
  <c r="J144" i="2"/>
  <c r="I144" i="2"/>
  <c r="H144" i="2"/>
  <c r="G144" i="2"/>
  <c r="F144" i="2"/>
  <c r="D144" i="2"/>
  <c r="O143" i="2"/>
  <c r="N143" i="2"/>
  <c r="M143" i="2"/>
  <c r="L143" i="2"/>
  <c r="K143" i="2"/>
  <c r="J143" i="2"/>
  <c r="I143" i="2"/>
  <c r="H143" i="2"/>
  <c r="G143" i="2"/>
  <c r="F143" i="2"/>
  <c r="D143" i="2"/>
  <c r="O142" i="2"/>
  <c r="N142" i="2"/>
  <c r="M142" i="2"/>
  <c r="L142" i="2"/>
  <c r="K142" i="2"/>
  <c r="J142" i="2"/>
  <c r="I142" i="2"/>
  <c r="H142" i="2"/>
  <c r="G142" i="2"/>
  <c r="D142" i="2"/>
  <c r="O141" i="2"/>
  <c r="N141" i="2"/>
  <c r="M141" i="2"/>
  <c r="L141" i="2"/>
  <c r="K141" i="2"/>
  <c r="J141" i="2"/>
  <c r="I141" i="2"/>
  <c r="H141" i="2"/>
  <c r="G141" i="2"/>
  <c r="D141" i="2"/>
  <c r="O140" i="2"/>
  <c r="N140" i="2"/>
  <c r="M140" i="2"/>
  <c r="L140" i="2"/>
  <c r="K140" i="2"/>
  <c r="J140" i="2"/>
  <c r="I140" i="2"/>
  <c r="H140" i="2"/>
  <c r="G140" i="2"/>
  <c r="D140" i="2"/>
  <c r="T139" i="2"/>
  <c r="R139" i="2"/>
  <c r="F139" i="2"/>
  <c r="F145" i="2" s="1"/>
  <c r="D139" i="2"/>
  <c r="D136" i="2"/>
  <c r="T134" i="2"/>
  <c r="G127" i="2"/>
  <c r="J127" i="2" s="1"/>
  <c r="F127" i="2"/>
  <c r="E127" i="2"/>
  <c r="D127" i="2"/>
  <c r="G126" i="2"/>
  <c r="F126" i="2"/>
  <c r="J126" i="2" s="1"/>
  <c r="E126" i="2"/>
  <c r="D126" i="2"/>
  <c r="G125" i="2"/>
  <c r="F125" i="2"/>
  <c r="J125" i="2" s="1"/>
  <c r="E125" i="2"/>
  <c r="D125" i="2"/>
  <c r="I125" i="2" s="1"/>
  <c r="G124" i="2"/>
  <c r="F124" i="2"/>
  <c r="J124" i="2" s="1"/>
  <c r="E124" i="2"/>
  <c r="D124" i="2"/>
  <c r="G123" i="2"/>
  <c r="F123" i="2"/>
  <c r="J123" i="2" s="1"/>
  <c r="E123" i="2"/>
  <c r="D123" i="2"/>
  <c r="I122" i="2"/>
  <c r="G122" i="2"/>
  <c r="J122" i="2" s="1"/>
  <c r="F122" i="2"/>
  <c r="E122" i="2"/>
  <c r="D122" i="2"/>
  <c r="I121" i="2"/>
  <c r="G121" i="2"/>
  <c r="F121" i="2"/>
  <c r="J121" i="2" s="1"/>
  <c r="E121" i="2"/>
  <c r="D121" i="2"/>
  <c r="G120" i="2"/>
  <c r="F120" i="2"/>
  <c r="J120" i="2" s="1"/>
  <c r="E120" i="2"/>
  <c r="D120" i="2"/>
  <c r="G119" i="2"/>
  <c r="F119" i="2"/>
  <c r="E119" i="2"/>
  <c r="D119" i="2"/>
  <c r="G118" i="2"/>
  <c r="F118" i="2"/>
  <c r="J118" i="2" s="1"/>
  <c r="E118" i="2"/>
  <c r="D118" i="2"/>
  <c r="I118" i="2" s="1"/>
  <c r="G117" i="2"/>
  <c r="F117" i="2"/>
  <c r="J117" i="2" s="1"/>
  <c r="E117" i="2"/>
  <c r="I117" i="2" s="1"/>
  <c r="D117" i="2"/>
  <c r="G116" i="2"/>
  <c r="F116" i="2"/>
  <c r="E116" i="2"/>
  <c r="D116" i="2"/>
  <c r="G115" i="2"/>
  <c r="F115" i="2"/>
  <c r="J115" i="2" s="1"/>
  <c r="E115" i="2"/>
  <c r="D115" i="2"/>
  <c r="I115" i="2" s="1"/>
  <c r="J114" i="2"/>
  <c r="G114" i="2"/>
  <c r="F114" i="2"/>
  <c r="E114" i="2"/>
  <c r="D114" i="2"/>
  <c r="I114" i="2" s="1"/>
  <c r="G113" i="2"/>
  <c r="F113" i="2"/>
  <c r="J113" i="2" s="1"/>
  <c r="E113" i="2"/>
  <c r="D113" i="2"/>
  <c r="G112" i="2"/>
  <c r="F112" i="2"/>
  <c r="J112" i="2" s="1"/>
  <c r="E112" i="2"/>
  <c r="D112" i="2"/>
  <c r="I112" i="2" s="1"/>
  <c r="J111" i="2"/>
  <c r="I111" i="2"/>
  <c r="G111" i="2"/>
  <c r="F111" i="2"/>
  <c r="E111" i="2"/>
  <c r="D111" i="2"/>
  <c r="G110" i="2"/>
  <c r="F110" i="2"/>
  <c r="J110" i="2" s="1"/>
  <c r="E110" i="2"/>
  <c r="I110" i="2" s="1"/>
  <c r="D110" i="2"/>
  <c r="G109" i="2"/>
  <c r="J109" i="2" s="1"/>
  <c r="F109" i="2"/>
  <c r="E109" i="2"/>
  <c r="D109" i="2"/>
  <c r="I109" i="2" s="1"/>
  <c r="G108" i="2"/>
  <c r="F108" i="2"/>
  <c r="E108" i="2"/>
  <c r="D108" i="2"/>
  <c r="R96" i="2"/>
  <c r="D92" i="2" s="1"/>
  <c r="Q96" i="2"/>
  <c r="O96" i="2"/>
  <c r="S94" i="2"/>
  <c r="N94" i="2"/>
  <c r="M94" i="2"/>
  <c r="K94" i="2"/>
  <c r="J94" i="2"/>
  <c r="R93" i="2"/>
  <c r="D89" i="2" s="1"/>
  <c r="Q93" i="2"/>
  <c r="O93" i="2"/>
  <c r="M93" i="2"/>
  <c r="J93" i="2"/>
  <c r="I93" i="2"/>
  <c r="H93" i="2"/>
  <c r="S92" i="2"/>
  <c r="Q92" i="2"/>
  <c r="K92" i="2"/>
  <c r="J92" i="2"/>
  <c r="R91" i="2"/>
  <c r="Q91" i="2"/>
  <c r="P91" i="2"/>
  <c r="P96" i="2" s="1"/>
  <c r="H91" i="2"/>
  <c r="H96" i="2" s="1"/>
  <c r="S90" i="2"/>
  <c r="S95" i="2" s="1"/>
  <c r="L90" i="2"/>
  <c r="L95" i="2" s="1"/>
  <c r="J90" i="2"/>
  <c r="J95" i="2" s="1"/>
  <c r="S89" i="2"/>
  <c r="R89" i="2"/>
  <c r="R94" i="2" s="1"/>
  <c r="D90" i="2" s="1"/>
  <c r="Q89" i="2"/>
  <c r="Q94" i="2" s="1"/>
  <c r="P89" i="2"/>
  <c r="P94" i="2" s="1"/>
  <c r="O89" i="2"/>
  <c r="N89" i="2"/>
  <c r="M89" i="2"/>
  <c r="L89" i="2"/>
  <c r="L94" i="2" s="1"/>
  <c r="K89" i="2"/>
  <c r="J89" i="2"/>
  <c r="I89" i="2"/>
  <c r="H89" i="2"/>
  <c r="H94" i="2" s="1"/>
  <c r="S88" i="2"/>
  <c r="S91" i="2" s="1"/>
  <c r="S96" i="2" s="1"/>
  <c r="R88" i="2"/>
  <c r="F135" i="2" s="1"/>
  <c r="Q88" i="2"/>
  <c r="P88" i="2"/>
  <c r="P93" i="2" s="1"/>
  <c r="O88" i="2"/>
  <c r="N88" i="2"/>
  <c r="M88" i="2"/>
  <c r="M90" i="2" s="1"/>
  <c r="M95" i="2" s="1"/>
  <c r="L88" i="2"/>
  <c r="L93" i="2" s="1"/>
  <c r="K88" i="2"/>
  <c r="J88" i="2"/>
  <c r="I88" i="2"/>
  <c r="H88" i="2"/>
  <c r="F134" i="2"/>
  <c r="S87" i="2"/>
  <c r="R87" i="2"/>
  <c r="Q87" i="2"/>
  <c r="P87" i="2"/>
  <c r="P92" i="2" s="1"/>
  <c r="O87" i="2"/>
  <c r="O91" i="2" s="1"/>
  <c r="N87" i="2"/>
  <c r="N92" i="2" s="1"/>
  <c r="M87" i="2"/>
  <c r="L87" i="2"/>
  <c r="K87" i="2"/>
  <c r="J87" i="2"/>
  <c r="J91" i="2" s="1"/>
  <c r="J96" i="2" s="1"/>
  <c r="I87" i="2"/>
  <c r="I91" i="2" s="1"/>
  <c r="I96" i="2" s="1"/>
  <c r="H87" i="2"/>
  <c r="H92" i="2" s="1"/>
  <c r="M81" i="2"/>
  <c r="L81" i="2"/>
  <c r="M80" i="2"/>
  <c r="L80" i="2"/>
  <c r="G80" i="2" s="1"/>
  <c r="M79" i="2"/>
  <c r="L79" i="2"/>
  <c r="M78" i="2"/>
  <c r="L78" i="2"/>
  <c r="M77" i="2"/>
  <c r="L77" i="2"/>
  <c r="G77" i="2" s="1"/>
  <c r="M76" i="2"/>
  <c r="L76" i="2"/>
  <c r="M75" i="2"/>
  <c r="L75" i="2"/>
  <c r="M74" i="2"/>
  <c r="L74" i="2"/>
  <c r="M73" i="2"/>
  <c r="L73" i="2"/>
  <c r="M72" i="2"/>
  <c r="L72" i="2"/>
  <c r="O65" i="2"/>
  <c r="M65" i="2"/>
  <c r="L65" i="2"/>
  <c r="K65" i="2"/>
  <c r="J65" i="2"/>
  <c r="I65" i="2"/>
  <c r="H65" i="2"/>
  <c r="E65" i="2"/>
  <c r="D65" i="2"/>
  <c r="C65" i="2"/>
  <c r="B65" i="2"/>
  <c r="O64" i="2"/>
  <c r="M64" i="2"/>
  <c r="L64" i="2"/>
  <c r="K64" i="2"/>
  <c r="J64" i="2"/>
  <c r="I64" i="2"/>
  <c r="H64" i="2"/>
  <c r="E64" i="2"/>
  <c r="D64" i="2"/>
  <c r="C64" i="2"/>
  <c r="B64" i="2"/>
  <c r="O63" i="2"/>
  <c r="M63" i="2"/>
  <c r="L63" i="2"/>
  <c r="K63" i="2"/>
  <c r="J63" i="2"/>
  <c r="I63" i="2"/>
  <c r="H63" i="2"/>
  <c r="E63" i="2"/>
  <c r="D63" i="2"/>
  <c r="C63" i="2"/>
  <c r="B63" i="2"/>
  <c r="O62" i="2"/>
  <c r="M62" i="2"/>
  <c r="L62" i="2"/>
  <c r="K62" i="2"/>
  <c r="J62" i="2"/>
  <c r="I62" i="2"/>
  <c r="H62" i="2"/>
  <c r="E62" i="2"/>
  <c r="D62" i="2"/>
  <c r="C62" i="2"/>
  <c r="B62" i="2"/>
  <c r="O61" i="2"/>
  <c r="M61" i="2"/>
  <c r="L61" i="2"/>
  <c r="K61" i="2"/>
  <c r="J61" i="2"/>
  <c r="I61" i="2"/>
  <c r="H61" i="2"/>
  <c r="E61" i="2"/>
  <c r="D61" i="2"/>
  <c r="C61" i="2"/>
  <c r="B61" i="2"/>
  <c r="O60" i="2"/>
  <c r="M60" i="2"/>
  <c r="L60" i="2"/>
  <c r="K60" i="2"/>
  <c r="J60" i="2"/>
  <c r="I60" i="2"/>
  <c r="H60" i="2"/>
  <c r="E60" i="2"/>
  <c r="D60" i="2"/>
  <c r="C60" i="2"/>
  <c r="B60" i="2"/>
  <c r="O59" i="2"/>
  <c r="M59" i="2"/>
  <c r="L59" i="2"/>
  <c r="K59" i="2"/>
  <c r="J59" i="2"/>
  <c r="I59" i="2"/>
  <c r="H59" i="2"/>
  <c r="E59" i="2"/>
  <c r="D59" i="2"/>
  <c r="C59" i="2"/>
  <c r="B59" i="2"/>
  <c r="O58" i="2"/>
  <c r="M58" i="2"/>
  <c r="L58" i="2"/>
  <c r="K58" i="2"/>
  <c r="J58" i="2"/>
  <c r="I58" i="2"/>
  <c r="H58" i="2"/>
  <c r="E58" i="2"/>
  <c r="D58" i="2"/>
  <c r="C58" i="2"/>
  <c r="B58" i="2"/>
  <c r="O57" i="2"/>
  <c r="M57" i="2"/>
  <c r="L57" i="2"/>
  <c r="K57" i="2"/>
  <c r="J57" i="2"/>
  <c r="I57" i="2"/>
  <c r="H57" i="2"/>
  <c r="E57" i="2"/>
  <c r="D57" i="2"/>
  <c r="C57" i="2"/>
  <c r="B57" i="2"/>
  <c r="O56" i="2"/>
  <c r="M56" i="2"/>
  <c r="L56" i="2"/>
  <c r="K56" i="2"/>
  <c r="J56" i="2"/>
  <c r="I56" i="2"/>
  <c r="H56" i="2"/>
  <c r="E56" i="2"/>
  <c r="D56" i="2"/>
  <c r="C56" i="2"/>
  <c r="B56" i="2"/>
  <c r="O55" i="2"/>
  <c r="M55" i="2"/>
  <c r="L55" i="2"/>
  <c r="K55" i="2"/>
  <c r="J55" i="2"/>
  <c r="I55" i="2"/>
  <c r="H55" i="2"/>
  <c r="E55" i="2"/>
  <c r="F81" i="2" s="1"/>
  <c r="D55" i="2"/>
  <c r="C55" i="2"/>
  <c r="C81" i="2" s="1"/>
  <c r="B55" i="2"/>
  <c r="O54" i="2"/>
  <c r="M54" i="2"/>
  <c r="L54" i="2"/>
  <c r="K54" i="2"/>
  <c r="J54" i="2"/>
  <c r="I54" i="2"/>
  <c r="H54" i="2"/>
  <c r="E54" i="2"/>
  <c r="F80" i="2" s="1"/>
  <c r="D54" i="2"/>
  <c r="C54" i="2"/>
  <c r="J80" i="2" s="1"/>
  <c r="B54" i="2"/>
  <c r="O53" i="2"/>
  <c r="M53" i="2"/>
  <c r="L53" i="2"/>
  <c r="K53" i="2"/>
  <c r="J53" i="2"/>
  <c r="I53" i="2"/>
  <c r="H53" i="2"/>
  <c r="E53" i="2"/>
  <c r="F79" i="2" s="1"/>
  <c r="D53" i="2"/>
  <c r="C53" i="2"/>
  <c r="J79" i="2" s="1"/>
  <c r="B53" i="2"/>
  <c r="O52" i="2"/>
  <c r="M52" i="2"/>
  <c r="L52" i="2"/>
  <c r="K52" i="2"/>
  <c r="J52" i="2"/>
  <c r="I52" i="2"/>
  <c r="H52" i="2"/>
  <c r="E52" i="2"/>
  <c r="F78" i="2" s="1"/>
  <c r="D52" i="2"/>
  <c r="C52" i="2"/>
  <c r="J78" i="2" s="1"/>
  <c r="B52" i="2"/>
  <c r="O51" i="2"/>
  <c r="M51" i="2"/>
  <c r="L51" i="2"/>
  <c r="K51" i="2"/>
  <c r="J51" i="2"/>
  <c r="I51" i="2"/>
  <c r="H51" i="2"/>
  <c r="E51" i="2"/>
  <c r="F77" i="2" s="1"/>
  <c r="D51" i="2"/>
  <c r="C51" i="2"/>
  <c r="C77" i="2" s="1"/>
  <c r="B51" i="2"/>
  <c r="O50" i="2"/>
  <c r="M50" i="2"/>
  <c r="L50" i="2"/>
  <c r="K50" i="2"/>
  <c r="J50" i="2"/>
  <c r="I50" i="2"/>
  <c r="H50" i="2"/>
  <c r="E50" i="2"/>
  <c r="F76" i="2" s="1"/>
  <c r="D50" i="2"/>
  <c r="E76" i="2" s="1"/>
  <c r="C50" i="2"/>
  <c r="J76" i="2" s="1"/>
  <c r="B50" i="2"/>
  <c r="O49" i="2"/>
  <c r="M49" i="2"/>
  <c r="L49" i="2"/>
  <c r="K49" i="2"/>
  <c r="J49" i="2"/>
  <c r="I49" i="2"/>
  <c r="H49" i="2"/>
  <c r="E49" i="2"/>
  <c r="F75" i="2" s="1"/>
  <c r="D49" i="2"/>
  <c r="C49" i="2"/>
  <c r="J75" i="2" s="1"/>
  <c r="B49" i="2"/>
  <c r="O48" i="2"/>
  <c r="M48" i="2"/>
  <c r="L48" i="2"/>
  <c r="K48" i="2"/>
  <c r="J48" i="2"/>
  <c r="I48" i="2"/>
  <c r="H48" i="2"/>
  <c r="E48" i="2"/>
  <c r="F74" i="2" s="1"/>
  <c r="D48" i="2"/>
  <c r="C48" i="2"/>
  <c r="J74" i="2" s="1"/>
  <c r="B48" i="2"/>
  <c r="O47" i="2"/>
  <c r="M47" i="2"/>
  <c r="L47" i="2"/>
  <c r="K47" i="2"/>
  <c r="J47" i="2"/>
  <c r="I47" i="2"/>
  <c r="H47" i="2"/>
  <c r="E47" i="2"/>
  <c r="F73" i="2" s="1"/>
  <c r="D47" i="2"/>
  <c r="C47" i="2"/>
  <c r="C73" i="2" s="1"/>
  <c r="B47" i="2"/>
  <c r="O46" i="2"/>
  <c r="M46" i="2"/>
  <c r="L46" i="2"/>
  <c r="K46" i="2"/>
  <c r="J46" i="2"/>
  <c r="I46" i="2"/>
  <c r="H46" i="2"/>
  <c r="E46" i="2"/>
  <c r="F72" i="2" s="1"/>
  <c r="D46" i="2"/>
  <c r="C46" i="2"/>
  <c r="C72" i="2" s="1"/>
  <c r="B46" i="2"/>
  <c r="O45" i="2"/>
  <c r="O41" i="2"/>
  <c r="N41" i="2"/>
  <c r="M41" i="2"/>
  <c r="L41" i="2"/>
  <c r="K41" i="2"/>
  <c r="J41" i="2"/>
  <c r="I41" i="2"/>
  <c r="H41" i="2"/>
  <c r="G41" i="2"/>
  <c r="F41" i="2"/>
  <c r="E41" i="2"/>
  <c r="D41" i="2"/>
  <c r="O39" i="2"/>
  <c r="N39" i="2"/>
  <c r="M39" i="2"/>
  <c r="L39" i="2"/>
  <c r="K39" i="2"/>
  <c r="J39" i="2"/>
  <c r="I39" i="2"/>
  <c r="H39" i="2"/>
  <c r="G39" i="2"/>
  <c r="F39" i="2"/>
  <c r="E39" i="2"/>
  <c r="D39" i="2"/>
  <c r="O32" i="2"/>
  <c r="AC28" i="2"/>
  <c r="AB28" i="2"/>
  <c r="AA28" i="2"/>
  <c r="Z28" i="2"/>
  <c r="Y28" i="2"/>
  <c r="X28" i="2"/>
  <c r="W28" i="2"/>
  <c r="V28" i="2"/>
  <c r="U28" i="2"/>
  <c r="T28" i="2"/>
  <c r="S28" i="2"/>
  <c r="R28" i="2"/>
  <c r="O33" i="2"/>
  <c r="N27" i="2"/>
  <c r="M27" i="2"/>
  <c r="M33" i="2" s="1"/>
  <c r="L27" i="2"/>
  <c r="L33" i="2" s="1"/>
  <c r="K27" i="2"/>
  <c r="J27" i="2"/>
  <c r="I27" i="2"/>
  <c r="I33" i="2" s="1"/>
  <c r="H27" i="2"/>
  <c r="H33" i="2" s="1"/>
  <c r="G27" i="2"/>
  <c r="G33" i="2" s="1"/>
  <c r="F27" i="2"/>
  <c r="E27" i="2"/>
  <c r="E33" i="2" s="1"/>
  <c r="D27" i="2"/>
  <c r="D33" i="2" s="1"/>
  <c r="N26" i="2"/>
  <c r="M26" i="2"/>
  <c r="M32" i="2" s="1"/>
  <c r="L26" i="2"/>
  <c r="L32" i="2" s="1"/>
  <c r="K26" i="2"/>
  <c r="K32" i="2" s="1"/>
  <c r="J26" i="2"/>
  <c r="J32" i="2" s="1"/>
  <c r="I26" i="2"/>
  <c r="I32" i="2" s="1"/>
  <c r="H26" i="2"/>
  <c r="H32" i="2" s="1"/>
  <c r="G26" i="2"/>
  <c r="F26" i="2"/>
  <c r="E26" i="2"/>
  <c r="E32" i="2" s="1"/>
  <c r="D26" i="2"/>
  <c r="D32" i="2" s="1"/>
  <c r="O31" i="2"/>
  <c r="N25" i="2"/>
  <c r="M25" i="2"/>
  <c r="M31" i="2" s="1"/>
  <c r="L25" i="2"/>
  <c r="L31" i="2" s="1"/>
  <c r="K25" i="2"/>
  <c r="J25" i="2"/>
  <c r="J31" i="2" s="1"/>
  <c r="I25" i="2"/>
  <c r="I31" i="2" s="1"/>
  <c r="H25" i="2"/>
  <c r="H31" i="2" s="1"/>
  <c r="G25" i="2"/>
  <c r="G31" i="2" s="1"/>
  <c r="F25" i="2"/>
  <c r="E25" i="2"/>
  <c r="E31" i="2" s="1"/>
  <c r="D25" i="2"/>
  <c r="D31" i="2" s="1"/>
  <c r="N24" i="2"/>
  <c r="M24" i="2"/>
  <c r="L24" i="2"/>
  <c r="K24" i="2"/>
  <c r="K30" i="2" s="1"/>
  <c r="J24" i="2"/>
  <c r="J30" i="2" s="1"/>
  <c r="I24" i="2"/>
  <c r="H24" i="2"/>
  <c r="H30" i="2" s="1"/>
  <c r="G24" i="2"/>
  <c r="G30" i="2" s="1"/>
  <c r="F24" i="2"/>
  <c r="E24" i="2"/>
  <c r="D24" i="2"/>
  <c r="O29" i="2"/>
  <c r="N23" i="2"/>
  <c r="M23" i="2"/>
  <c r="M29" i="2" s="1"/>
  <c r="L23" i="2"/>
  <c r="L29" i="2" s="1"/>
  <c r="K23" i="2"/>
  <c r="J23" i="2"/>
  <c r="J28" i="2" s="1"/>
  <c r="J34" i="2" s="1"/>
  <c r="I23" i="2"/>
  <c r="I29" i="2" s="1"/>
  <c r="H23" i="2"/>
  <c r="G23" i="2"/>
  <c r="G29" i="2" s="1"/>
  <c r="F23" i="2"/>
  <c r="E23" i="2"/>
  <c r="E29" i="2" s="1"/>
  <c r="D23" i="2"/>
  <c r="D29" i="2" s="1"/>
  <c r="L16" i="2"/>
  <c r="E16" i="2"/>
  <c r="H15" i="2"/>
  <c r="M14" i="2"/>
  <c r="L14" i="2"/>
  <c r="J14" i="2"/>
  <c r="E14" i="2"/>
  <c r="D14" i="2"/>
  <c r="O13" i="2"/>
  <c r="N13" i="2"/>
  <c r="I13" i="2"/>
  <c r="H13" i="2"/>
  <c r="F13" i="2"/>
  <c r="M12" i="2"/>
  <c r="L12" i="2"/>
  <c r="K12" i="2"/>
  <c r="J12" i="2"/>
  <c r="G12" i="2"/>
  <c r="E12" i="2"/>
  <c r="D12" i="2"/>
  <c r="AC11" i="2"/>
  <c r="AB11" i="2"/>
  <c r="AA11" i="2"/>
  <c r="Z11" i="2"/>
  <c r="Y11" i="2"/>
  <c r="X11" i="2"/>
  <c r="W11" i="2"/>
  <c r="V11" i="2"/>
  <c r="U11" i="2"/>
  <c r="T11" i="2"/>
  <c r="S11" i="2"/>
  <c r="R11" i="2"/>
  <c r="O11" i="2"/>
  <c r="O16" i="2" s="1"/>
  <c r="M11" i="2"/>
  <c r="M16" i="2" s="1"/>
  <c r="L11" i="2"/>
  <c r="E11" i="2"/>
  <c r="D11" i="2"/>
  <c r="D16" i="2" s="1"/>
  <c r="AC10" i="2"/>
  <c r="AB10" i="2"/>
  <c r="AA10" i="2"/>
  <c r="Z10" i="2"/>
  <c r="Y10" i="2"/>
  <c r="X10" i="2"/>
  <c r="W10" i="2"/>
  <c r="V10" i="2"/>
  <c r="U10" i="2"/>
  <c r="T10" i="2"/>
  <c r="S10" i="2"/>
  <c r="R10" i="2"/>
  <c r="M10" i="2"/>
  <c r="M15" i="2" s="1"/>
  <c r="L10" i="2"/>
  <c r="L15" i="2" s="1"/>
  <c r="K10" i="2"/>
  <c r="K15" i="2" s="1"/>
  <c r="J10" i="2"/>
  <c r="J15" i="2" s="1"/>
  <c r="G10" i="2"/>
  <c r="G15" i="2" s="1"/>
  <c r="O9" i="2"/>
  <c r="O14" i="2" s="1"/>
  <c r="N9" i="2"/>
  <c r="M9" i="2"/>
  <c r="L9" i="2"/>
  <c r="K9" i="2"/>
  <c r="K14" i="2" s="1"/>
  <c r="J9" i="2"/>
  <c r="I9" i="2"/>
  <c r="I14" i="2" s="1"/>
  <c r="H9" i="2"/>
  <c r="H14" i="2" s="1"/>
  <c r="G9" i="2"/>
  <c r="G14" i="2" s="1"/>
  <c r="F9" i="2"/>
  <c r="F14" i="2" s="1"/>
  <c r="E9" i="2"/>
  <c r="D9" i="2"/>
  <c r="O8" i="2"/>
  <c r="O10" i="2" s="1"/>
  <c r="N8" i="2"/>
  <c r="H45" i="2" s="1"/>
  <c r="M8" i="2"/>
  <c r="M13" i="2" s="1"/>
  <c r="L8" i="2"/>
  <c r="L13" i="2" s="1"/>
  <c r="K8" i="2"/>
  <c r="K13" i="2" s="1"/>
  <c r="J8" i="2"/>
  <c r="J13" i="2" s="1"/>
  <c r="I8" i="2"/>
  <c r="I10" i="2" s="1"/>
  <c r="I15" i="2" s="1"/>
  <c r="H8" i="2"/>
  <c r="H10" i="2" s="1"/>
  <c r="G8" i="2"/>
  <c r="F8" i="2"/>
  <c r="F10" i="2" s="1"/>
  <c r="F15" i="2" s="1"/>
  <c r="E8" i="2"/>
  <c r="E13" i="2" s="1"/>
  <c r="D8" i="2"/>
  <c r="D13" i="2" s="1"/>
  <c r="O7" i="2"/>
  <c r="N7" i="2"/>
  <c r="M7" i="2"/>
  <c r="M38" i="2" s="1"/>
  <c r="L7" i="2"/>
  <c r="K7" i="2"/>
  <c r="J7" i="2"/>
  <c r="I7" i="2"/>
  <c r="H7" i="2"/>
  <c r="G7" i="2"/>
  <c r="F7" i="2"/>
  <c r="E7" i="2"/>
  <c r="H292" i="2" s="1"/>
  <c r="D7" i="2"/>
  <c r="H291" i="2" s="1"/>
  <c r="E112" i="1"/>
  <c r="D112" i="1"/>
  <c r="C112" i="1"/>
  <c r="E111" i="1"/>
  <c r="D111" i="1"/>
  <c r="C111" i="1"/>
  <c r="E110" i="1"/>
  <c r="D110" i="1"/>
  <c r="C110" i="1"/>
  <c r="E109" i="1"/>
  <c r="D109" i="1"/>
  <c r="C109" i="1"/>
  <c r="E108" i="1"/>
  <c r="D108" i="1"/>
  <c r="C108" i="1"/>
  <c r="E107" i="1"/>
  <c r="D107" i="1"/>
  <c r="C107" i="1"/>
  <c r="E106" i="1"/>
  <c r="D106" i="1"/>
  <c r="C106" i="1"/>
  <c r="E105" i="1"/>
  <c r="D105" i="1"/>
  <c r="C105" i="1"/>
  <c r="E104" i="1"/>
  <c r="D104" i="1"/>
  <c r="C104" i="1"/>
  <c r="D103" i="1"/>
  <c r="C103" i="1"/>
  <c r="J96" i="1"/>
  <c r="I96" i="1"/>
  <c r="H96" i="1"/>
  <c r="G96" i="1"/>
  <c r="F96" i="1"/>
  <c r="E96" i="1"/>
  <c r="J95" i="1"/>
  <c r="I95" i="1"/>
  <c r="H95" i="1"/>
  <c r="G95" i="1"/>
  <c r="F95" i="1"/>
  <c r="E95" i="1"/>
  <c r="J93" i="1"/>
  <c r="I93" i="1"/>
  <c r="H93" i="1"/>
  <c r="G93" i="1"/>
  <c r="F93" i="1"/>
  <c r="E93" i="1"/>
  <c r="J92" i="1"/>
  <c r="I92" i="1"/>
  <c r="H92" i="1"/>
  <c r="G92" i="1"/>
  <c r="F92" i="1"/>
  <c r="E92" i="1"/>
  <c r="J91" i="1"/>
  <c r="I91" i="1"/>
  <c r="H91" i="1"/>
  <c r="G91" i="1"/>
  <c r="F91" i="1"/>
  <c r="E91" i="1"/>
  <c r="J90" i="1"/>
  <c r="I90" i="1"/>
  <c r="H90" i="1"/>
  <c r="G90" i="1"/>
  <c r="F90" i="1"/>
  <c r="E90" i="1"/>
  <c r="J89" i="1"/>
  <c r="I89" i="1"/>
  <c r="H89" i="1"/>
  <c r="G89" i="1"/>
  <c r="F89" i="1"/>
  <c r="E89" i="1"/>
  <c r="J88" i="1"/>
  <c r="I88" i="1"/>
  <c r="H88" i="1"/>
  <c r="G88" i="1"/>
  <c r="F88" i="1"/>
  <c r="E88" i="1"/>
  <c r="J87" i="1"/>
  <c r="I87" i="1"/>
  <c r="H87" i="1"/>
  <c r="G87" i="1"/>
  <c r="F87" i="1"/>
  <c r="E87" i="1"/>
  <c r="J86" i="1"/>
  <c r="I86" i="1"/>
  <c r="H86" i="1"/>
  <c r="G86" i="1"/>
  <c r="F86" i="1"/>
  <c r="E86" i="1"/>
  <c r="J84" i="1"/>
  <c r="I84" i="1"/>
  <c r="H84" i="1"/>
  <c r="G84" i="1"/>
  <c r="F84" i="1"/>
  <c r="E84" i="1"/>
  <c r="J83" i="1"/>
  <c r="I83" i="1"/>
  <c r="H83" i="1"/>
  <c r="G83" i="1"/>
  <c r="F83" i="1"/>
  <c r="E83" i="1"/>
  <c r="J82" i="1"/>
  <c r="I82" i="1"/>
  <c r="H82" i="1"/>
  <c r="G82" i="1"/>
  <c r="F82" i="1"/>
  <c r="E82" i="1"/>
  <c r="J81" i="1"/>
  <c r="I81" i="1"/>
  <c r="H81" i="1"/>
  <c r="G81" i="1"/>
  <c r="F81" i="1"/>
  <c r="E81" i="1"/>
  <c r="J80" i="1"/>
  <c r="I80" i="1"/>
  <c r="H80" i="1"/>
  <c r="G80" i="1"/>
  <c r="F80" i="1"/>
  <c r="E80" i="1"/>
  <c r="J79" i="1"/>
  <c r="I79" i="1"/>
  <c r="H79" i="1"/>
  <c r="G79" i="1"/>
  <c r="F79" i="1"/>
  <c r="E79" i="1"/>
  <c r="J78" i="1"/>
  <c r="I78" i="1"/>
  <c r="H78" i="1"/>
  <c r="G78" i="1"/>
  <c r="F78" i="1"/>
  <c r="E78" i="1"/>
  <c r="J77" i="1"/>
  <c r="I77" i="1"/>
  <c r="H77" i="1"/>
  <c r="G77" i="1"/>
  <c r="F77" i="1"/>
  <c r="E77" i="1"/>
  <c r="J76" i="1"/>
  <c r="I76" i="1"/>
  <c r="H76" i="1"/>
  <c r="G76" i="1"/>
  <c r="F76" i="1"/>
  <c r="E76" i="1"/>
  <c r="J75" i="1"/>
  <c r="I75" i="1"/>
  <c r="H75" i="1"/>
  <c r="G75" i="1"/>
  <c r="F75" i="1"/>
  <c r="E75" i="1"/>
  <c r="O70" i="1"/>
  <c r="G70" i="1"/>
  <c r="F70" i="1"/>
  <c r="P69" i="1"/>
  <c r="M69" i="1"/>
  <c r="K69" i="1"/>
  <c r="J69" i="1"/>
  <c r="I69" i="1"/>
  <c r="O68" i="1"/>
  <c r="N68" i="1"/>
  <c r="M68" i="1"/>
  <c r="L68" i="1"/>
  <c r="G68" i="1"/>
  <c r="F68" i="1"/>
  <c r="E68" i="1"/>
  <c r="K67" i="1"/>
  <c r="J67" i="1"/>
  <c r="I67" i="1"/>
  <c r="P65" i="1"/>
  <c r="O65" i="1"/>
  <c r="N65" i="1"/>
  <c r="M65" i="1"/>
  <c r="I65" i="1"/>
  <c r="H65" i="1"/>
  <c r="G65" i="1"/>
  <c r="F65" i="1"/>
  <c r="E65" i="1"/>
  <c r="L64" i="1"/>
  <c r="K64" i="1"/>
  <c r="E64" i="1"/>
  <c r="O63" i="1"/>
  <c r="N62" i="1"/>
  <c r="G62" i="1"/>
  <c r="F62" i="1"/>
  <c r="K61" i="1"/>
  <c r="J61" i="1"/>
  <c r="I61" i="1"/>
  <c r="H61" i="1"/>
  <c r="AE60" i="1"/>
  <c r="AD60" i="1"/>
  <c r="AC60" i="1"/>
  <c r="AB60" i="1"/>
  <c r="AA60" i="1"/>
  <c r="Z60" i="1"/>
  <c r="Y60" i="1"/>
  <c r="X60" i="1"/>
  <c r="W60" i="1"/>
  <c r="V60" i="1"/>
  <c r="U60" i="1"/>
  <c r="T60" i="1"/>
  <c r="P60" i="1"/>
  <c r="P66" i="1" s="1"/>
  <c r="P59" i="1"/>
  <c r="O59" i="1"/>
  <c r="N59" i="1"/>
  <c r="N70" i="1" s="1"/>
  <c r="M59" i="1"/>
  <c r="M70" i="1" s="1"/>
  <c r="L59" i="1"/>
  <c r="L65" i="1" s="1"/>
  <c r="K59" i="1"/>
  <c r="K65" i="1" s="1"/>
  <c r="J59" i="1"/>
  <c r="J65" i="1" s="1"/>
  <c r="I59" i="1"/>
  <c r="H59" i="1"/>
  <c r="G59" i="1"/>
  <c r="F59" i="1"/>
  <c r="E59" i="1"/>
  <c r="E70" i="1" s="1"/>
  <c r="P58" i="1"/>
  <c r="P64" i="1" s="1"/>
  <c r="O58" i="1"/>
  <c r="O69" i="1" s="1"/>
  <c r="N58" i="1"/>
  <c r="N69" i="1" s="1"/>
  <c r="M58" i="1"/>
  <c r="M64" i="1" s="1"/>
  <c r="L58" i="1"/>
  <c r="L69" i="1" s="1"/>
  <c r="K58" i="1"/>
  <c r="J58" i="1"/>
  <c r="J64" i="1" s="1"/>
  <c r="I58" i="1"/>
  <c r="I60" i="1" s="1"/>
  <c r="I66" i="1" s="1"/>
  <c r="H58" i="1"/>
  <c r="G58" i="1"/>
  <c r="G64" i="1" s="1"/>
  <c r="F58" i="1"/>
  <c r="F64" i="1" s="1"/>
  <c r="E58" i="1"/>
  <c r="E69" i="1" s="1"/>
  <c r="AE57" i="1"/>
  <c r="AD57" i="1"/>
  <c r="AC57" i="1"/>
  <c r="AB57" i="1"/>
  <c r="AA57" i="1"/>
  <c r="Z57" i="1"/>
  <c r="Y57" i="1"/>
  <c r="X57" i="1"/>
  <c r="W57" i="1"/>
  <c r="V57" i="1"/>
  <c r="U57" i="1"/>
  <c r="T57" i="1"/>
  <c r="P57" i="1"/>
  <c r="P63" i="1" s="1"/>
  <c r="O57" i="1"/>
  <c r="N57" i="1"/>
  <c r="N63" i="1" s="1"/>
  <c r="P56" i="1"/>
  <c r="O56" i="1"/>
  <c r="O62" i="1" s="1"/>
  <c r="N56" i="1"/>
  <c r="M56" i="1"/>
  <c r="M62" i="1" s="1"/>
  <c r="L56" i="1"/>
  <c r="L62" i="1" s="1"/>
  <c r="K56" i="1"/>
  <c r="J56" i="1"/>
  <c r="J62" i="1" s="1"/>
  <c r="I56" i="1"/>
  <c r="I62" i="1" s="1"/>
  <c r="H56" i="1"/>
  <c r="G56" i="1"/>
  <c r="F56" i="1"/>
  <c r="E56" i="1"/>
  <c r="E62" i="1" s="1"/>
  <c r="P55" i="1"/>
  <c r="P61" i="1" s="1"/>
  <c r="O55" i="1"/>
  <c r="O61" i="1" s="1"/>
  <c r="N55" i="1"/>
  <c r="N61" i="1" s="1"/>
  <c r="M55" i="1"/>
  <c r="M61" i="1" s="1"/>
  <c r="L55" i="1"/>
  <c r="L67" i="1" s="1"/>
  <c r="K55" i="1"/>
  <c r="J55" i="1"/>
  <c r="I55" i="1"/>
  <c r="I57" i="1" s="1"/>
  <c r="I63" i="1" s="1"/>
  <c r="H55" i="1"/>
  <c r="H67" i="1" s="1"/>
  <c r="G55" i="1"/>
  <c r="G61" i="1" s="1"/>
  <c r="F55" i="1"/>
  <c r="F61" i="1" s="1"/>
  <c r="E55" i="1"/>
  <c r="E67" i="1" s="1"/>
  <c r="AE49" i="1"/>
  <c r="AD49" i="1"/>
  <c r="AC49" i="1"/>
  <c r="AB49" i="1"/>
  <c r="AA49" i="1"/>
  <c r="Z49" i="1"/>
  <c r="Y49" i="1"/>
  <c r="X49" i="1"/>
  <c r="W49" i="1"/>
  <c r="V49" i="1"/>
  <c r="U49" i="1"/>
  <c r="T49" i="1"/>
  <c r="K49" i="1"/>
  <c r="AE48" i="1"/>
  <c r="AD48" i="1"/>
  <c r="AC48" i="1"/>
  <c r="AB48" i="1"/>
  <c r="AA48" i="1"/>
  <c r="Z48" i="1"/>
  <c r="Y48" i="1"/>
  <c r="X48" i="1"/>
  <c r="W48" i="1"/>
  <c r="V48" i="1"/>
  <c r="U48" i="1"/>
  <c r="T48" i="1"/>
  <c r="M48" i="1"/>
  <c r="J48" i="1"/>
  <c r="I48" i="1"/>
  <c r="AE47" i="1"/>
  <c r="AD47" i="1"/>
  <c r="AC47" i="1"/>
  <c r="AB47" i="1"/>
  <c r="AA47" i="1"/>
  <c r="Z47" i="1"/>
  <c r="Y47" i="1"/>
  <c r="X47" i="1"/>
  <c r="W47" i="1"/>
  <c r="V47" i="1"/>
  <c r="U47" i="1"/>
  <c r="T47" i="1"/>
  <c r="I47" i="1"/>
  <c r="F47" i="1"/>
  <c r="E47" i="1"/>
  <c r="AE43" i="1"/>
  <c r="AD43" i="1"/>
  <c r="AC43" i="1"/>
  <c r="AB43" i="1"/>
  <c r="AA43" i="1"/>
  <c r="Z43" i="1"/>
  <c r="Y43" i="1"/>
  <c r="X43" i="1"/>
  <c r="W43" i="1"/>
  <c r="V43" i="1"/>
  <c r="U43" i="1"/>
  <c r="T43" i="1"/>
  <c r="N43" i="1"/>
  <c r="AE42" i="1"/>
  <c r="AD42" i="1"/>
  <c r="AC42" i="1"/>
  <c r="AB42" i="1"/>
  <c r="AA42" i="1"/>
  <c r="Z42" i="1"/>
  <c r="Y42" i="1"/>
  <c r="X42" i="1"/>
  <c r="W42" i="1"/>
  <c r="V42" i="1"/>
  <c r="U42" i="1"/>
  <c r="T42" i="1"/>
  <c r="M42" i="1"/>
  <c r="F42" i="1"/>
  <c r="AE41" i="1"/>
  <c r="AD41" i="1"/>
  <c r="AC41" i="1"/>
  <c r="AB41" i="1"/>
  <c r="AA41" i="1"/>
  <c r="Z41" i="1"/>
  <c r="Y41" i="1"/>
  <c r="X41" i="1"/>
  <c r="W41" i="1"/>
  <c r="V41" i="1"/>
  <c r="U41" i="1"/>
  <c r="T41" i="1"/>
  <c r="O41" i="1"/>
  <c r="G41" i="1"/>
  <c r="F41" i="1"/>
  <c r="E41" i="1"/>
  <c r="AE40" i="1"/>
  <c r="AD40" i="1"/>
  <c r="AC40" i="1"/>
  <c r="AB40" i="1"/>
  <c r="AA40" i="1"/>
  <c r="Z40" i="1"/>
  <c r="Y40" i="1"/>
  <c r="X40" i="1"/>
  <c r="W40" i="1"/>
  <c r="V40" i="1"/>
  <c r="U40" i="1"/>
  <c r="T40" i="1"/>
  <c r="N40" i="1"/>
  <c r="M40" i="1"/>
  <c r="F40" i="1"/>
  <c r="E40" i="1"/>
  <c r="M39" i="1"/>
  <c r="M43" i="1" s="1"/>
  <c r="I39" i="1"/>
  <c r="I43" i="1" s="1"/>
  <c r="F39" i="1"/>
  <c r="F43" i="1" s="1"/>
  <c r="P38" i="1"/>
  <c r="P42" i="1" s="1"/>
  <c r="O38" i="1"/>
  <c r="O39" i="1" s="1"/>
  <c r="O43" i="1" s="1"/>
  <c r="N38" i="1"/>
  <c r="N42" i="1" s="1"/>
  <c r="M38" i="1"/>
  <c r="L38" i="1"/>
  <c r="K38" i="1"/>
  <c r="J38" i="1"/>
  <c r="J49" i="1" s="1"/>
  <c r="I38" i="1"/>
  <c r="H38" i="1"/>
  <c r="H49" i="1" s="1"/>
  <c r="G38" i="1"/>
  <c r="G42" i="1" s="1"/>
  <c r="F38" i="1"/>
  <c r="E38" i="1"/>
  <c r="E42" i="1" s="1"/>
  <c r="P37" i="1"/>
  <c r="O37" i="1"/>
  <c r="O48" i="1" s="1"/>
  <c r="N37" i="1"/>
  <c r="N39" i="1" s="1"/>
  <c r="M37" i="1"/>
  <c r="M41" i="1" s="1"/>
  <c r="L37" i="1"/>
  <c r="L41" i="1" s="1"/>
  <c r="K37" i="1"/>
  <c r="K41" i="1" s="1"/>
  <c r="J37" i="1"/>
  <c r="I37" i="1"/>
  <c r="H37" i="1"/>
  <c r="G37" i="1"/>
  <c r="F37" i="1"/>
  <c r="F48" i="1" s="1"/>
  <c r="E37" i="1"/>
  <c r="E39" i="1" s="1"/>
  <c r="E43" i="1" s="1"/>
  <c r="P36" i="1"/>
  <c r="P47" i="1" s="1"/>
  <c r="O36" i="1"/>
  <c r="O40" i="1" s="1"/>
  <c r="N36" i="1"/>
  <c r="M36" i="1"/>
  <c r="L36" i="1"/>
  <c r="K36" i="1"/>
  <c r="J36" i="1"/>
  <c r="J40" i="1" s="1"/>
  <c r="I36" i="1"/>
  <c r="H36" i="1"/>
  <c r="H47" i="1" s="1"/>
  <c r="G36" i="1"/>
  <c r="G40" i="1" s="1"/>
  <c r="F36" i="1"/>
  <c r="E36" i="1"/>
  <c r="X32" i="1"/>
  <c r="AC31" i="1"/>
  <c r="AB31" i="1"/>
  <c r="AA31" i="1"/>
  <c r="Z31" i="1"/>
  <c r="U31" i="1"/>
  <c r="T31" i="1"/>
  <c r="AE30" i="1"/>
  <c r="AD30" i="1"/>
  <c r="AC30" i="1"/>
  <c r="AB30" i="1"/>
  <c r="AA30" i="1"/>
  <c r="Z30" i="1"/>
  <c r="Y30" i="1"/>
  <c r="X30" i="1"/>
  <c r="W30" i="1"/>
  <c r="V30" i="1"/>
  <c r="U30" i="1"/>
  <c r="T30" i="1"/>
  <c r="K30" i="1"/>
  <c r="AE29" i="1"/>
  <c r="AD29" i="1"/>
  <c r="AC29" i="1"/>
  <c r="AB29" i="1"/>
  <c r="AA29" i="1"/>
  <c r="Z29" i="1"/>
  <c r="Y29" i="1"/>
  <c r="X29" i="1"/>
  <c r="W29" i="1"/>
  <c r="V29" i="1"/>
  <c r="U29" i="1"/>
  <c r="T29" i="1"/>
  <c r="M29" i="1"/>
  <c r="K29" i="1"/>
  <c r="J29" i="1"/>
  <c r="AE28" i="1"/>
  <c r="AD28" i="1"/>
  <c r="AC28" i="1"/>
  <c r="AB28" i="1"/>
  <c r="AA28" i="1"/>
  <c r="Z28" i="1"/>
  <c r="Y28" i="1"/>
  <c r="X28" i="1"/>
  <c r="W28" i="1"/>
  <c r="V28" i="1"/>
  <c r="U28" i="1"/>
  <c r="T28" i="1"/>
  <c r="P28" i="1"/>
  <c r="K28" i="1"/>
  <c r="J28" i="1"/>
  <c r="I28" i="1"/>
  <c r="AE27" i="1"/>
  <c r="AE32" i="1" s="1"/>
  <c r="AD27" i="1"/>
  <c r="AD32" i="1" s="1"/>
  <c r="AC27" i="1"/>
  <c r="AC32" i="1" s="1"/>
  <c r="AB27" i="1"/>
  <c r="AB32" i="1" s="1"/>
  <c r="AA27" i="1"/>
  <c r="AA32" i="1" s="1"/>
  <c r="Z27" i="1"/>
  <c r="Z32" i="1" s="1"/>
  <c r="Y27" i="1"/>
  <c r="Y32" i="1" s="1"/>
  <c r="X27" i="1"/>
  <c r="W27" i="1"/>
  <c r="W32" i="1" s="1"/>
  <c r="V27" i="1"/>
  <c r="V32" i="1" s="1"/>
  <c r="U27" i="1"/>
  <c r="U32" i="1" s="1"/>
  <c r="T27" i="1"/>
  <c r="T32" i="1" s="1"/>
  <c r="M27" i="1"/>
  <c r="M32" i="1" s="1"/>
  <c r="AE26" i="1"/>
  <c r="AE31" i="1" s="1"/>
  <c r="AD26" i="1"/>
  <c r="AD31" i="1" s="1"/>
  <c r="AC26" i="1"/>
  <c r="AB26" i="1"/>
  <c r="AA26" i="1"/>
  <c r="Z26" i="1"/>
  <c r="Y26" i="1"/>
  <c r="Y31" i="1" s="1"/>
  <c r="X26" i="1"/>
  <c r="X31" i="1" s="1"/>
  <c r="W26" i="1"/>
  <c r="W31" i="1" s="1"/>
  <c r="V26" i="1"/>
  <c r="V31" i="1" s="1"/>
  <c r="U26" i="1"/>
  <c r="T26" i="1"/>
  <c r="K26" i="1"/>
  <c r="K31" i="1" s="1"/>
  <c r="J26" i="1"/>
  <c r="J31" i="1" s="1"/>
  <c r="I26" i="1"/>
  <c r="I31" i="1" s="1"/>
  <c r="P25" i="1"/>
  <c r="O25" i="1"/>
  <c r="O49" i="1" s="1"/>
  <c r="N25" i="1"/>
  <c r="N30" i="1" s="1"/>
  <c r="M25" i="1"/>
  <c r="M26" i="1" s="1"/>
  <c r="M31" i="1" s="1"/>
  <c r="L25" i="1"/>
  <c r="K25" i="1"/>
  <c r="J25" i="1"/>
  <c r="I25" i="1"/>
  <c r="I49" i="1" s="1"/>
  <c r="H25" i="1"/>
  <c r="G25" i="1"/>
  <c r="G26" i="1" s="1"/>
  <c r="G31" i="1" s="1"/>
  <c r="F25" i="1"/>
  <c r="F49" i="1" s="1"/>
  <c r="E25" i="1"/>
  <c r="E49" i="1" s="1"/>
  <c r="P24" i="1"/>
  <c r="P48" i="1" s="1"/>
  <c r="O24" i="1"/>
  <c r="N24" i="1"/>
  <c r="M24" i="1"/>
  <c r="L24" i="1"/>
  <c r="K24" i="1"/>
  <c r="J24" i="1"/>
  <c r="I24" i="1"/>
  <c r="I29" i="1" s="1"/>
  <c r="H24" i="1"/>
  <c r="H48" i="1" s="1"/>
  <c r="G24" i="1"/>
  <c r="G48" i="1" s="1"/>
  <c r="F24" i="1"/>
  <c r="E24" i="1"/>
  <c r="E48" i="1" s="1"/>
  <c r="P23" i="1"/>
  <c r="O23" i="1"/>
  <c r="O28" i="1" s="1"/>
  <c r="N23" i="1"/>
  <c r="N47" i="1" s="1"/>
  <c r="M23" i="1"/>
  <c r="M47" i="1" s="1"/>
  <c r="L23" i="1"/>
  <c r="K23" i="1"/>
  <c r="J23" i="1"/>
  <c r="I23" i="1"/>
  <c r="H23" i="1"/>
  <c r="G23" i="1"/>
  <c r="F23" i="1"/>
  <c r="E23" i="1"/>
  <c r="E28" i="1" s="1"/>
  <c r="M18" i="1"/>
  <c r="P16" i="1"/>
  <c r="O16" i="1"/>
  <c r="N16" i="1"/>
  <c r="I16" i="1"/>
  <c r="H16" i="1"/>
  <c r="G16" i="1"/>
  <c r="F16" i="1"/>
  <c r="E16" i="1"/>
  <c r="O15" i="1"/>
  <c r="N15" i="1"/>
  <c r="M15" i="1"/>
  <c r="G15" i="1"/>
  <c r="F15" i="1"/>
  <c r="E15" i="1"/>
  <c r="M14" i="1"/>
  <c r="L14" i="1"/>
  <c r="K14" i="1"/>
  <c r="J14" i="1"/>
  <c r="E14" i="1"/>
  <c r="AE13" i="1"/>
  <c r="AD13" i="1"/>
  <c r="AC13" i="1"/>
  <c r="AB13" i="1"/>
  <c r="AA13" i="1"/>
  <c r="Z13" i="1"/>
  <c r="Y13" i="1"/>
  <c r="X13" i="1"/>
  <c r="W13" i="1"/>
  <c r="V13" i="1"/>
  <c r="U13" i="1"/>
  <c r="T13" i="1"/>
  <c r="K13" i="1"/>
  <c r="K19" i="1" s="1"/>
  <c r="J13" i="1"/>
  <c r="J19" i="1" s="1"/>
  <c r="I13" i="1"/>
  <c r="I19" i="1" s="1"/>
  <c r="G13" i="1"/>
  <c r="G19" i="1" s="1"/>
  <c r="AE12" i="1"/>
  <c r="AD12" i="1"/>
  <c r="AC12" i="1"/>
  <c r="AB12" i="1"/>
  <c r="AA12" i="1"/>
  <c r="Z12" i="1"/>
  <c r="Y12" i="1"/>
  <c r="X12" i="1"/>
  <c r="W12" i="1"/>
  <c r="V12" i="1"/>
  <c r="U12" i="1"/>
  <c r="T12" i="1"/>
  <c r="O12" i="1"/>
  <c r="O18" i="1" s="1"/>
  <c r="M12" i="1"/>
  <c r="E12" i="1"/>
  <c r="E18" i="1" s="1"/>
  <c r="AE11" i="1"/>
  <c r="AD11" i="1"/>
  <c r="AC11" i="1"/>
  <c r="AB11" i="1"/>
  <c r="AA11" i="1"/>
  <c r="Z11" i="1"/>
  <c r="Y11" i="1"/>
  <c r="X11" i="1"/>
  <c r="W11" i="1"/>
  <c r="V11" i="1"/>
  <c r="U11" i="1"/>
  <c r="T11" i="1"/>
  <c r="O11" i="1"/>
  <c r="O17" i="1" s="1"/>
  <c r="G11" i="1"/>
  <c r="G17" i="1" s="1"/>
  <c r="F11" i="1"/>
  <c r="F17" i="1" s="1"/>
  <c r="AF10" i="1"/>
  <c r="P10" i="1"/>
  <c r="O10" i="1"/>
  <c r="N10" i="1"/>
  <c r="M10" i="1"/>
  <c r="M13" i="1" s="1"/>
  <c r="M19" i="1" s="1"/>
  <c r="L10" i="1"/>
  <c r="L13" i="1" s="1"/>
  <c r="L19" i="1" s="1"/>
  <c r="K10" i="1"/>
  <c r="J10" i="1"/>
  <c r="I10" i="1"/>
  <c r="H10" i="1"/>
  <c r="G10" i="1"/>
  <c r="F10" i="1"/>
  <c r="E10" i="1"/>
  <c r="Q10" i="1" s="1"/>
  <c r="AF9" i="1"/>
  <c r="P9" i="1"/>
  <c r="O9" i="1"/>
  <c r="N9" i="1"/>
  <c r="N11" i="1" s="1"/>
  <c r="N17" i="1" s="1"/>
  <c r="M9" i="1"/>
  <c r="M16" i="1" s="1"/>
  <c r="L9" i="1"/>
  <c r="L16" i="1" s="1"/>
  <c r="K9" i="1"/>
  <c r="K16" i="1" s="1"/>
  <c r="J9" i="1"/>
  <c r="J16" i="1" s="1"/>
  <c r="I9" i="1"/>
  <c r="H9" i="1"/>
  <c r="G9" i="1"/>
  <c r="F9" i="1"/>
  <c r="E9" i="1"/>
  <c r="Q9" i="1" s="1"/>
  <c r="Q16" i="1" s="1"/>
  <c r="AF8" i="1"/>
  <c r="AF11" i="1" s="1"/>
  <c r="P8" i="1"/>
  <c r="P15" i="1" s="1"/>
  <c r="O8" i="1"/>
  <c r="N8" i="1"/>
  <c r="M8" i="1"/>
  <c r="L8" i="1"/>
  <c r="K8" i="1"/>
  <c r="K15" i="1" s="1"/>
  <c r="J8" i="1"/>
  <c r="J42" i="1" s="1"/>
  <c r="I8" i="1"/>
  <c r="I15" i="1" s="1"/>
  <c r="H8" i="1"/>
  <c r="H41" i="1" s="1"/>
  <c r="G8" i="1"/>
  <c r="F8" i="1"/>
  <c r="E8" i="1"/>
  <c r="E11" i="1" s="1"/>
  <c r="E17" i="1" s="1"/>
  <c r="AF7" i="1"/>
  <c r="AF12" i="1" s="1"/>
  <c r="P7" i="1"/>
  <c r="P30" i="1" s="1"/>
  <c r="O7" i="1"/>
  <c r="O13" i="1" s="1"/>
  <c r="O19" i="1" s="1"/>
  <c r="N7" i="1"/>
  <c r="N14" i="1" s="1"/>
  <c r="M7" i="1"/>
  <c r="L7" i="1"/>
  <c r="K7" i="1"/>
  <c r="K27" i="1" s="1"/>
  <c r="K32" i="1" s="1"/>
  <c r="J7" i="1"/>
  <c r="I7" i="1"/>
  <c r="I14" i="1" s="1"/>
  <c r="H7" i="1"/>
  <c r="H27" i="1" s="1"/>
  <c r="H32" i="1" s="1"/>
  <c r="G7" i="1"/>
  <c r="F7" i="1"/>
  <c r="F27" i="1" s="1"/>
  <c r="F32" i="1" s="1"/>
  <c r="E7" i="1"/>
  <c r="E13" i="1" s="1"/>
  <c r="E19" i="1" s="1"/>
  <c r="J39" i="3" l="1"/>
  <c r="G83" i="3"/>
  <c r="F28" i="3"/>
  <c r="F49" i="3" s="1"/>
  <c r="N28" i="3"/>
  <c r="N42" i="3" s="1"/>
  <c r="F33" i="3"/>
  <c r="I43" i="3"/>
  <c r="N74" i="3"/>
  <c r="N79" i="3" s="1"/>
  <c r="G85" i="3"/>
  <c r="H83" i="3"/>
  <c r="J29" i="2"/>
  <c r="E38" i="3"/>
  <c r="H85" i="3"/>
  <c r="K34" i="3"/>
  <c r="I44" i="3"/>
  <c r="I83" i="3"/>
  <c r="I30" i="2"/>
  <c r="I85" i="3"/>
  <c r="L85" i="3"/>
  <c r="I30" i="3"/>
  <c r="J323" i="3"/>
  <c r="J324" i="3"/>
  <c r="J322" i="3"/>
  <c r="M86" i="1"/>
  <c r="L92" i="1"/>
  <c r="M95" i="1"/>
  <c r="N96" i="1"/>
  <c r="M77" i="1"/>
  <c r="N78" i="1"/>
  <c r="M81" i="1"/>
  <c r="N90" i="1"/>
  <c r="M78" i="1"/>
  <c r="M82" i="1"/>
  <c r="N83" i="1"/>
  <c r="M91" i="1"/>
  <c r="M90" i="1"/>
  <c r="M83" i="1"/>
  <c r="N84" i="1"/>
  <c r="L86" i="1"/>
  <c r="N89" i="1"/>
  <c r="L81" i="1"/>
  <c r="L84" i="1"/>
  <c r="L75" i="1"/>
  <c r="L78" i="1"/>
  <c r="L88" i="1"/>
  <c r="L89" i="1"/>
  <c r="L90" i="1"/>
  <c r="L96" i="1"/>
  <c r="M76" i="1"/>
  <c r="N82" i="1"/>
  <c r="M75" i="1"/>
  <c r="N76" i="1"/>
  <c r="L87" i="1"/>
  <c r="M89" i="1"/>
  <c r="N92" i="1"/>
  <c r="L93" i="1"/>
  <c r="M96" i="1"/>
  <c r="L82" i="1"/>
  <c r="L91" i="1"/>
  <c r="N79" i="1"/>
  <c r="M92" i="1"/>
  <c r="N93" i="1"/>
  <c r="L95" i="1"/>
  <c r="N77" i="1"/>
  <c r="N81" i="1"/>
  <c r="N91" i="1"/>
  <c r="M87" i="1"/>
  <c r="L79" i="1"/>
  <c r="L76" i="1"/>
  <c r="M79" i="1"/>
  <c r="L83" i="1"/>
  <c r="M93" i="1"/>
  <c r="N95" i="1"/>
  <c r="N88" i="1"/>
  <c r="D112" i="3"/>
  <c r="H109" i="3"/>
  <c r="G108" i="3"/>
  <c r="D45" i="2"/>
  <c r="P65" i="2"/>
  <c r="D72" i="2"/>
  <c r="E79" i="2"/>
  <c r="G383" i="3"/>
  <c r="H383" i="3"/>
  <c r="E380" i="3"/>
  <c r="I382" i="3"/>
  <c r="J383" i="3"/>
  <c r="E370" i="3"/>
  <c r="N346" i="3"/>
  <c r="N348" i="3"/>
  <c r="H367" i="3"/>
  <c r="F370" i="3"/>
  <c r="M347" i="3"/>
  <c r="I367" i="3"/>
  <c r="G370" i="3"/>
  <c r="G375" i="3"/>
  <c r="H377" i="3"/>
  <c r="F380" i="3"/>
  <c r="J382" i="3"/>
  <c r="J386" i="3"/>
  <c r="N344" i="3"/>
  <c r="J367" i="3"/>
  <c r="H370" i="3"/>
  <c r="G380" i="3"/>
  <c r="J343" i="3"/>
  <c r="J347" i="3"/>
  <c r="J370" i="3"/>
  <c r="E376" i="3"/>
  <c r="J377" i="3"/>
  <c r="H380" i="3"/>
  <c r="E383" i="3"/>
  <c r="G385" i="3"/>
  <c r="G387" i="3"/>
  <c r="G376" i="3"/>
  <c r="I380" i="3"/>
  <c r="I387" i="3"/>
  <c r="I335" i="3"/>
  <c r="J340" i="3"/>
  <c r="I336" i="3"/>
  <c r="I338" i="3"/>
  <c r="M335" i="3"/>
  <c r="I340" i="3"/>
  <c r="L340" i="3" s="1"/>
  <c r="N340" i="3"/>
  <c r="D114" i="3"/>
  <c r="H112" i="3"/>
  <c r="G110" i="3"/>
  <c r="G107" i="3"/>
  <c r="I156" i="3"/>
  <c r="J164" i="3"/>
  <c r="J108" i="2"/>
  <c r="I167" i="3"/>
  <c r="I108" i="2"/>
  <c r="J116" i="2"/>
  <c r="J119" i="2"/>
  <c r="I123" i="2"/>
  <c r="I126" i="2"/>
  <c r="J157" i="3"/>
  <c r="I164" i="3"/>
  <c r="I166" i="3"/>
  <c r="N354" i="2"/>
  <c r="F388" i="2"/>
  <c r="E391" i="2"/>
  <c r="E372" i="2"/>
  <c r="F373" i="2"/>
  <c r="K374" i="2"/>
  <c r="F381" i="2"/>
  <c r="G382" i="2"/>
  <c r="E390" i="2"/>
  <c r="F391" i="2"/>
  <c r="K392" i="2"/>
  <c r="E373" i="2"/>
  <c r="J374" i="2"/>
  <c r="E381" i="2"/>
  <c r="F382" i="2"/>
  <c r="J351" i="2"/>
  <c r="J353" i="2"/>
  <c r="L353" i="2" s="1"/>
  <c r="F372" i="2"/>
  <c r="G373" i="2"/>
  <c r="G381" i="2"/>
  <c r="I382" i="2"/>
  <c r="F390" i="2"/>
  <c r="G391" i="2"/>
  <c r="E382" i="2"/>
  <c r="M352" i="2"/>
  <c r="I381" i="2"/>
  <c r="J382" i="2"/>
  <c r="G390" i="2"/>
  <c r="I391" i="2"/>
  <c r="I373" i="2"/>
  <c r="M351" i="2"/>
  <c r="I372" i="2"/>
  <c r="J373" i="2"/>
  <c r="G380" i="2"/>
  <c r="J381" i="2"/>
  <c r="K382" i="2"/>
  <c r="F389" i="2"/>
  <c r="I390" i="2"/>
  <c r="J391" i="2"/>
  <c r="E394" i="2"/>
  <c r="I374" i="2"/>
  <c r="N350" i="2"/>
  <c r="L356" i="2"/>
  <c r="K373" i="2"/>
  <c r="K381" i="2"/>
  <c r="G389" i="2"/>
  <c r="J390" i="2"/>
  <c r="K391" i="2"/>
  <c r="K390" i="2"/>
  <c r="N342" i="2"/>
  <c r="M346" i="2"/>
  <c r="N257" i="2"/>
  <c r="O232" i="2"/>
  <c r="O233" i="2"/>
  <c r="D81" i="2"/>
  <c r="E78" i="2"/>
  <c r="G72" i="2"/>
  <c r="E77" i="2"/>
  <c r="G78" i="2"/>
  <c r="H80" i="2"/>
  <c r="D80" i="2"/>
  <c r="G79" i="2"/>
  <c r="P64" i="2"/>
  <c r="P53" i="2"/>
  <c r="P47" i="2"/>
  <c r="P59" i="2"/>
  <c r="C78" i="2"/>
  <c r="P48" i="2"/>
  <c r="H78" i="2"/>
  <c r="C76" i="2"/>
  <c r="D79" i="2"/>
  <c r="P52" i="2"/>
  <c r="P100" i="3"/>
  <c r="H81" i="2"/>
  <c r="C74" i="2"/>
  <c r="P61" i="2"/>
  <c r="E72" i="2"/>
  <c r="D78" i="2"/>
  <c r="E115" i="3"/>
  <c r="P60" i="2"/>
  <c r="P62" i="2"/>
  <c r="D107" i="3"/>
  <c r="D115" i="3"/>
  <c r="J72" i="2"/>
  <c r="D74" i="2"/>
  <c r="E81" i="2"/>
  <c r="E108" i="3"/>
  <c r="D110" i="3"/>
  <c r="P51" i="2"/>
  <c r="P57" i="2"/>
  <c r="C75" i="2"/>
  <c r="P93" i="3"/>
  <c r="P49" i="2"/>
  <c r="P56" i="2"/>
  <c r="J77" i="2"/>
  <c r="C80" i="2"/>
  <c r="J81" i="2"/>
  <c r="E111" i="3"/>
  <c r="P98" i="3"/>
  <c r="D111" i="3"/>
  <c r="D73" i="2"/>
  <c r="D75" i="2"/>
  <c r="C79" i="2"/>
  <c r="P96" i="3"/>
  <c r="J329" i="2"/>
  <c r="F334" i="2"/>
  <c r="J326" i="2"/>
  <c r="J331" i="2"/>
  <c r="J330" i="2"/>
  <c r="J328" i="2"/>
  <c r="V327" i="3"/>
  <c r="O47" i="1"/>
  <c r="L49" i="1"/>
  <c r="L30" i="1"/>
  <c r="F28" i="1"/>
  <c r="F69" i="1"/>
  <c r="H15" i="1"/>
  <c r="F28" i="2"/>
  <c r="F34" i="2" s="1"/>
  <c r="F12" i="2"/>
  <c r="F11" i="2"/>
  <c r="F16" i="2" s="1"/>
  <c r="F40" i="2"/>
  <c r="H293" i="2"/>
  <c r="F38" i="2"/>
  <c r="F32" i="2"/>
  <c r="F33" i="2"/>
  <c r="N40" i="2"/>
  <c r="N28" i="2"/>
  <c r="N34" i="2" s="1"/>
  <c r="N12" i="2"/>
  <c r="N11" i="2"/>
  <c r="N38" i="2"/>
  <c r="N30" i="2"/>
  <c r="H29" i="2"/>
  <c r="H40" i="2"/>
  <c r="H38" i="2"/>
  <c r="D30" i="2"/>
  <c r="D40" i="2"/>
  <c r="L30" i="2"/>
  <c r="L38" i="2"/>
  <c r="L28" i="2"/>
  <c r="L34" i="2" s="1"/>
  <c r="D28" i="2"/>
  <c r="D34" i="2" s="1"/>
  <c r="H73" i="2"/>
  <c r="L223" i="2"/>
  <c r="K220" i="2"/>
  <c r="K223" i="2"/>
  <c r="E30" i="2"/>
  <c r="E28" i="2"/>
  <c r="E34" i="2" s="1"/>
  <c r="H375" i="2"/>
  <c r="I375" i="2"/>
  <c r="G375" i="2"/>
  <c r="F375" i="2"/>
  <c r="E375" i="2"/>
  <c r="J375" i="2"/>
  <c r="K375" i="2"/>
  <c r="H29" i="1"/>
  <c r="P68" i="1"/>
  <c r="F60" i="1"/>
  <c r="F66" i="1" s="1"/>
  <c r="N86" i="1"/>
  <c r="I40" i="2"/>
  <c r="L91" i="2"/>
  <c r="L96" i="2" s="1"/>
  <c r="L92" i="2"/>
  <c r="F149" i="2"/>
  <c r="F140" i="2"/>
  <c r="F146" i="2"/>
  <c r="F136" i="2"/>
  <c r="N90" i="2"/>
  <c r="N95" i="2" s="1"/>
  <c r="T135" i="2" s="1"/>
  <c r="N93" i="2"/>
  <c r="N91" i="2"/>
  <c r="N96" i="2" s="1"/>
  <c r="K204" i="2"/>
  <c r="K208" i="2"/>
  <c r="P41" i="1"/>
  <c r="I68" i="1"/>
  <c r="G69" i="1"/>
  <c r="F30" i="2"/>
  <c r="K40" i="2"/>
  <c r="M91" i="2"/>
  <c r="M96" i="2" s="1"/>
  <c r="M92" i="2"/>
  <c r="L47" i="1"/>
  <c r="L28" i="1"/>
  <c r="H68" i="1"/>
  <c r="N64" i="1"/>
  <c r="P11" i="1"/>
  <c r="P17" i="1" s="1"/>
  <c r="F12" i="1"/>
  <c r="F18" i="1" s="1"/>
  <c r="I42" i="1"/>
  <c r="N49" i="1"/>
  <c r="H64" i="1"/>
  <c r="H69" i="1"/>
  <c r="H60" i="1"/>
  <c r="H66" i="1" s="1"/>
  <c r="J68" i="1"/>
  <c r="M40" i="2"/>
  <c r="M30" i="2"/>
  <c r="M28" i="2"/>
  <c r="M34" i="2" s="1"/>
  <c r="I12" i="1"/>
  <c r="I18" i="1" s="1"/>
  <c r="G47" i="1"/>
  <c r="O30" i="1"/>
  <c r="G39" i="1"/>
  <c r="G43" i="1" s="1"/>
  <c r="K42" i="1"/>
  <c r="K68" i="1"/>
  <c r="G57" i="1"/>
  <c r="G63" i="1" s="1"/>
  <c r="K62" i="1"/>
  <c r="M67" i="1"/>
  <c r="I70" i="1"/>
  <c r="J12" i="1"/>
  <c r="J18" i="1" s="1"/>
  <c r="L11" i="1"/>
  <c r="L17" i="1" s="1"/>
  <c r="L15" i="1"/>
  <c r="J11" i="1"/>
  <c r="J17" i="1" s="1"/>
  <c r="K12" i="1"/>
  <c r="K18" i="1" s="1"/>
  <c r="AF13" i="1"/>
  <c r="O14" i="1"/>
  <c r="L48" i="1"/>
  <c r="N26" i="1"/>
  <c r="N31" i="1" s="1"/>
  <c r="N29" i="1"/>
  <c r="F30" i="1"/>
  <c r="K40" i="1"/>
  <c r="I41" i="1"/>
  <c r="J47" i="1"/>
  <c r="N48" i="1"/>
  <c r="P49" i="1"/>
  <c r="H57" i="1"/>
  <c r="H63" i="1" s="1"/>
  <c r="J60" i="1"/>
  <c r="J66" i="1" s="1"/>
  <c r="I64" i="1"/>
  <c r="O67" i="1"/>
  <c r="J70" i="1"/>
  <c r="K11" i="1"/>
  <c r="K17" i="1" s="1"/>
  <c r="L12" i="1"/>
  <c r="L18" i="1" s="1"/>
  <c r="E26" i="1"/>
  <c r="E31" i="1" s="1"/>
  <c r="P26" i="1"/>
  <c r="P31" i="1" s="1"/>
  <c r="I27" i="1"/>
  <c r="I32" i="1" s="1"/>
  <c r="M28" i="1"/>
  <c r="E29" i="1"/>
  <c r="O29" i="1"/>
  <c r="G30" i="1"/>
  <c r="L40" i="1"/>
  <c r="H39" i="1"/>
  <c r="H43" i="1" s="1"/>
  <c r="P39" i="1"/>
  <c r="P43" i="1" s="1"/>
  <c r="L42" i="1"/>
  <c r="J39" i="1"/>
  <c r="J43" i="1" s="1"/>
  <c r="H40" i="1"/>
  <c r="J41" i="1"/>
  <c r="O42" i="1"/>
  <c r="K47" i="1"/>
  <c r="G49" i="1"/>
  <c r="K60" i="1"/>
  <c r="K66" i="1" s="1"/>
  <c r="M60" i="1"/>
  <c r="M66" i="1" s="1"/>
  <c r="E61" i="1"/>
  <c r="F67" i="1"/>
  <c r="P67" i="1"/>
  <c r="K70" i="1"/>
  <c r="I38" i="2"/>
  <c r="H13" i="1"/>
  <c r="H19" i="1" s="1"/>
  <c r="H28" i="1"/>
  <c r="J15" i="1"/>
  <c r="E27" i="1"/>
  <c r="E32" i="1" s="1"/>
  <c r="K48" i="1"/>
  <c r="F57" i="1"/>
  <c r="F63" i="1" s="1"/>
  <c r="M84" i="1"/>
  <c r="K38" i="2"/>
  <c r="K29" i="2"/>
  <c r="K11" i="2"/>
  <c r="K16" i="2" s="1"/>
  <c r="K28" i="2"/>
  <c r="K34" i="2" s="1"/>
  <c r="H298" i="2"/>
  <c r="K31" i="2"/>
  <c r="G13" i="2"/>
  <c r="G11" i="2"/>
  <c r="G16" i="2" s="1"/>
  <c r="O15" i="2"/>
  <c r="O38" i="2"/>
  <c r="N235" i="2"/>
  <c r="O235" i="2"/>
  <c r="F14" i="1"/>
  <c r="F13" i="1"/>
  <c r="F19" i="1" s="1"/>
  <c r="H42" i="1"/>
  <c r="G27" i="1"/>
  <c r="G32" i="1" s="1"/>
  <c r="G14" i="1"/>
  <c r="G12" i="1"/>
  <c r="G18" i="1" s="1"/>
  <c r="Q8" i="1"/>
  <c r="N27" i="1"/>
  <c r="N32" i="1" s="1"/>
  <c r="G28" i="1"/>
  <c r="M30" i="1"/>
  <c r="M49" i="1"/>
  <c r="E57" i="1"/>
  <c r="E63" i="1" s="1"/>
  <c r="G60" i="1"/>
  <c r="G66" i="1" s="1"/>
  <c r="O64" i="1"/>
  <c r="N87" i="1"/>
  <c r="P13" i="1"/>
  <c r="P19" i="1" s="1"/>
  <c r="P27" i="1"/>
  <c r="P32" i="1" s="1"/>
  <c r="P14" i="1"/>
  <c r="P12" i="1"/>
  <c r="P18" i="1" s="1"/>
  <c r="H11" i="1"/>
  <c r="H17" i="1" s="1"/>
  <c r="H12" i="1"/>
  <c r="H18" i="1" s="1"/>
  <c r="O27" i="1"/>
  <c r="O32" i="1" s="1"/>
  <c r="N67" i="1"/>
  <c r="I94" i="2"/>
  <c r="I90" i="2"/>
  <c r="I95" i="2" s="1"/>
  <c r="Q7" i="1"/>
  <c r="I11" i="1"/>
  <c r="I17" i="1" s="1"/>
  <c r="E30" i="1"/>
  <c r="P40" i="1"/>
  <c r="L77" i="1"/>
  <c r="N75" i="1"/>
  <c r="L27" i="1"/>
  <c r="L32" i="1" s="1"/>
  <c r="M11" i="1"/>
  <c r="M17" i="1" s="1"/>
  <c r="N13" i="1"/>
  <c r="N19" i="1" s="1"/>
  <c r="H14" i="1"/>
  <c r="F26" i="1"/>
  <c r="F31" i="1" s="1"/>
  <c r="J30" i="1"/>
  <c r="J27" i="1"/>
  <c r="J32" i="1" s="1"/>
  <c r="N28" i="1"/>
  <c r="F29" i="1"/>
  <c r="P29" i="1"/>
  <c r="H30" i="1"/>
  <c r="K39" i="1"/>
  <c r="K43" i="1" s="1"/>
  <c r="I40" i="1"/>
  <c r="J57" i="1"/>
  <c r="J63" i="1" s="1"/>
  <c r="K57" i="1"/>
  <c r="K63" i="1" s="1"/>
  <c r="H70" i="1"/>
  <c r="P70" i="1"/>
  <c r="N60" i="1"/>
  <c r="N66" i="1" s="1"/>
  <c r="G67" i="1"/>
  <c r="L70" i="1"/>
  <c r="N12" i="1"/>
  <c r="N18" i="1" s="1"/>
  <c r="O26" i="1"/>
  <c r="O31" i="1" s="1"/>
  <c r="H26" i="1"/>
  <c r="H31" i="1" s="1"/>
  <c r="G29" i="1"/>
  <c r="I30" i="1"/>
  <c r="L39" i="1"/>
  <c r="L43" i="1" s="1"/>
  <c r="N41" i="1"/>
  <c r="M57" i="1"/>
  <c r="M63" i="1" s="1"/>
  <c r="E60" i="1"/>
  <c r="E66" i="1" s="1"/>
  <c r="O60" i="1"/>
  <c r="O66" i="1" s="1"/>
  <c r="L40" i="2"/>
  <c r="I45" i="2"/>
  <c r="E89" i="2"/>
  <c r="N33" i="2"/>
  <c r="G28" i="3"/>
  <c r="G40" i="3"/>
  <c r="G11" i="3"/>
  <c r="G16" i="3" s="1"/>
  <c r="G47" i="3"/>
  <c r="G12" i="3"/>
  <c r="O28" i="3"/>
  <c r="O12" i="3"/>
  <c r="O40" i="3"/>
  <c r="O47" i="3"/>
  <c r="O11" i="3"/>
  <c r="O16" i="3" s="1"/>
  <c r="J343" i="2"/>
  <c r="L343" i="2" s="1"/>
  <c r="M343" i="2"/>
  <c r="E80" i="2"/>
  <c r="I120" i="2"/>
  <c r="H393" i="2"/>
  <c r="I393" i="2"/>
  <c r="G393" i="2"/>
  <c r="F393" i="2"/>
  <c r="E393" i="2"/>
  <c r="K393" i="2"/>
  <c r="J393" i="2"/>
  <c r="E74" i="2"/>
  <c r="G74" i="2"/>
  <c r="H385" i="2"/>
  <c r="J385" i="2"/>
  <c r="I385" i="2"/>
  <c r="G385" i="2"/>
  <c r="F385" i="2"/>
  <c r="E385" i="2"/>
  <c r="L45" i="2"/>
  <c r="N14" i="2"/>
  <c r="K33" i="2"/>
  <c r="H74" i="2"/>
  <c r="P54" i="2"/>
  <c r="P55" i="2"/>
  <c r="D76" i="2"/>
  <c r="G76" i="2"/>
  <c r="F141" i="2"/>
  <c r="F150" i="2"/>
  <c r="F147" i="2"/>
  <c r="K385" i="2"/>
  <c r="G28" i="2"/>
  <c r="G34" i="2" s="1"/>
  <c r="O34" i="2"/>
  <c r="O12" i="2"/>
  <c r="O40" i="2"/>
  <c r="J11" i="2"/>
  <c r="J16" i="2" s="1"/>
  <c r="P63" i="2"/>
  <c r="D77" i="2"/>
  <c r="K93" i="2"/>
  <c r="K91" i="2"/>
  <c r="K96" i="2" s="1"/>
  <c r="S93" i="2"/>
  <c r="G207" i="2"/>
  <c r="L352" i="2"/>
  <c r="J355" i="2"/>
  <c r="L355" i="2" s="1"/>
  <c r="M88" i="1"/>
  <c r="H28" i="2"/>
  <c r="H34" i="2" s="1"/>
  <c r="H12" i="2"/>
  <c r="H11" i="2"/>
  <c r="H16" i="2" s="1"/>
  <c r="D10" i="2"/>
  <c r="D15" i="2" s="1"/>
  <c r="O30" i="2"/>
  <c r="G32" i="2"/>
  <c r="G38" i="2"/>
  <c r="G40" i="2"/>
  <c r="J73" i="2"/>
  <c r="R92" i="2"/>
  <c r="D88" i="2" s="1"/>
  <c r="J327" i="2"/>
  <c r="O90" i="2"/>
  <c r="O95" i="2" s="1"/>
  <c r="O94" i="2"/>
  <c r="K90" i="2"/>
  <c r="K95" i="2" s="1"/>
  <c r="I116" i="2"/>
  <c r="I119" i="2"/>
  <c r="G201" i="2"/>
  <c r="H294" i="2"/>
  <c r="J325" i="2"/>
  <c r="J333" i="2"/>
  <c r="L344" i="2"/>
  <c r="J354" i="2"/>
  <c r="L354" i="2" s="1"/>
  <c r="H296" i="2"/>
  <c r="I28" i="2"/>
  <c r="I34" i="2" s="1"/>
  <c r="I12" i="2"/>
  <c r="I11" i="2"/>
  <c r="I16" i="2" s="1"/>
  <c r="E10" i="2"/>
  <c r="E15" i="2" s="1"/>
  <c r="F29" i="2"/>
  <c r="N29" i="2"/>
  <c r="F31" i="2"/>
  <c r="N31" i="2"/>
  <c r="H79" i="2"/>
  <c r="G73" i="2"/>
  <c r="E73" i="2"/>
  <c r="E75" i="2"/>
  <c r="G75" i="2"/>
  <c r="I113" i="2"/>
  <c r="E212" i="2"/>
  <c r="H295" i="2"/>
  <c r="N344" i="2"/>
  <c r="E38" i="2"/>
  <c r="P46" i="2"/>
  <c r="H77" i="2"/>
  <c r="R90" i="2"/>
  <c r="I92" i="2"/>
  <c r="I127" i="2"/>
  <c r="H377" i="2"/>
  <c r="K377" i="2"/>
  <c r="J377" i="2"/>
  <c r="I377" i="2"/>
  <c r="G377" i="2"/>
  <c r="H388" i="2"/>
  <c r="K388" i="2"/>
  <c r="J388" i="2"/>
  <c r="I388" i="2"/>
  <c r="K11" i="3"/>
  <c r="K16" i="3" s="1"/>
  <c r="G10" i="3"/>
  <c r="G15" i="3" s="1"/>
  <c r="M345" i="2"/>
  <c r="J345" i="2"/>
  <c r="I350" i="2"/>
  <c r="L350" i="2" s="1"/>
  <c r="D48" i="3"/>
  <c r="D12" i="3"/>
  <c r="D28" i="3"/>
  <c r="D11" i="3"/>
  <c r="D16" i="3" s="1"/>
  <c r="L28" i="3"/>
  <c r="L11" i="3"/>
  <c r="L16" i="3" s="1"/>
  <c r="L48" i="3"/>
  <c r="L12" i="3"/>
  <c r="H10" i="3"/>
  <c r="H15" i="3" s="1"/>
  <c r="H13" i="3"/>
  <c r="L14" i="3"/>
  <c r="L10" i="3"/>
  <c r="L15" i="3" s="1"/>
  <c r="I347" i="2"/>
  <c r="L347" i="2" s="1"/>
  <c r="H378" i="2"/>
  <c r="K378" i="2"/>
  <c r="J378" i="2"/>
  <c r="I378" i="2"/>
  <c r="D29" i="3"/>
  <c r="D43" i="3"/>
  <c r="L29" i="3"/>
  <c r="L43" i="3"/>
  <c r="L36" i="3"/>
  <c r="H37" i="3"/>
  <c r="H44" i="3"/>
  <c r="H30" i="3"/>
  <c r="D38" i="3"/>
  <c r="D36" i="3"/>
  <c r="K13" i="3"/>
  <c r="K10" i="3"/>
  <c r="K15" i="3" s="1"/>
  <c r="J40" i="2"/>
  <c r="J38" i="2"/>
  <c r="N10" i="2"/>
  <c r="N15" i="2" s="1"/>
  <c r="E91" i="2" s="1"/>
  <c r="N32" i="2"/>
  <c r="J33" i="2"/>
  <c r="H76" i="2"/>
  <c r="P50" i="2"/>
  <c r="G81" i="2"/>
  <c r="O92" i="2"/>
  <c r="J200" i="2"/>
  <c r="K206" i="2"/>
  <c r="K213" i="2"/>
  <c r="V334" i="2"/>
  <c r="X325" i="2"/>
  <c r="X334" i="2" s="1"/>
  <c r="I346" i="2"/>
  <c r="M350" i="2"/>
  <c r="H376" i="2"/>
  <c r="J376" i="2"/>
  <c r="I376" i="2"/>
  <c r="G376" i="2"/>
  <c r="F376" i="2"/>
  <c r="F378" i="2"/>
  <c r="H386" i="2"/>
  <c r="K386" i="2"/>
  <c r="J386" i="2"/>
  <c r="I386" i="2"/>
  <c r="G386" i="2"/>
  <c r="D60" i="3"/>
  <c r="D85" i="3"/>
  <c r="D76" i="3"/>
  <c r="D83" i="3"/>
  <c r="D74" i="3"/>
  <c r="D79" i="3" s="1"/>
  <c r="D59" i="3"/>
  <c r="D64" i="3" s="1"/>
  <c r="D78" i="3"/>
  <c r="D75" i="3"/>
  <c r="E376" i="2"/>
  <c r="G378" i="2"/>
  <c r="E386" i="2"/>
  <c r="O14" i="3"/>
  <c r="H90" i="2"/>
  <c r="H95" i="2" s="1"/>
  <c r="T136" i="2"/>
  <c r="K207" i="2"/>
  <c r="J332" i="2"/>
  <c r="M344" i="2"/>
  <c r="L26" i="1"/>
  <c r="L31" i="1" s="1"/>
  <c r="L29" i="1"/>
  <c r="L57" i="1"/>
  <c r="L63" i="1" s="1"/>
  <c r="L60" i="1"/>
  <c r="L66" i="1" s="1"/>
  <c r="L61" i="1"/>
  <c r="H62" i="1"/>
  <c r="P62" i="1"/>
  <c r="D38" i="2"/>
  <c r="E40" i="2"/>
  <c r="H75" i="2"/>
  <c r="P58" i="2"/>
  <c r="Q90" i="2"/>
  <c r="Q95" i="2" s="1"/>
  <c r="P90" i="2"/>
  <c r="P95" i="2" s="1"/>
  <c r="I124" i="2"/>
  <c r="N231" i="2"/>
  <c r="H297" i="2"/>
  <c r="I342" i="2"/>
  <c r="L342" i="2" s="1"/>
  <c r="I345" i="2"/>
  <c r="L346" i="2"/>
  <c r="M347" i="2"/>
  <c r="I351" i="2"/>
  <c r="L351" i="2" s="1"/>
  <c r="K376" i="2"/>
  <c r="H384" i="2"/>
  <c r="I384" i="2"/>
  <c r="G384" i="2"/>
  <c r="F384" i="2"/>
  <c r="E384" i="2"/>
  <c r="F386" i="2"/>
  <c r="H394" i="2"/>
  <c r="J394" i="2"/>
  <c r="I394" i="2"/>
  <c r="G394" i="2"/>
  <c r="F394" i="2"/>
  <c r="E46" i="3"/>
  <c r="E48" i="3"/>
  <c r="E41" i="3"/>
  <c r="E39" i="3"/>
  <c r="E12" i="3"/>
  <c r="E11" i="3"/>
  <c r="E16" i="3" s="1"/>
  <c r="M39" i="3"/>
  <c r="M46" i="3"/>
  <c r="M48" i="3"/>
  <c r="M41" i="3"/>
  <c r="M12" i="3"/>
  <c r="M11" i="3"/>
  <c r="M16" i="3" s="1"/>
  <c r="J43" i="3"/>
  <c r="J36" i="3"/>
  <c r="J29" i="3"/>
  <c r="F44" i="3"/>
  <c r="F37" i="3"/>
  <c r="F30" i="3"/>
  <c r="N44" i="3"/>
  <c r="N37" i="3"/>
  <c r="N30" i="3"/>
  <c r="F46" i="3"/>
  <c r="F48" i="3"/>
  <c r="N48" i="3"/>
  <c r="M38" i="3"/>
  <c r="N40" i="3"/>
  <c r="D45" i="3"/>
  <c r="E85" i="3"/>
  <c r="E83" i="3"/>
  <c r="E74" i="3"/>
  <c r="E79" i="3" s="1"/>
  <c r="E59" i="3"/>
  <c r="E64" i="3" s="1"/>
  <c r="M85" i="3"/>
  <c r="M83" i="3"/>
  <c r="M77" i="3"/>
  <c r="M75" i="3"/>
  <c r="M60" i="3"/>
  <c r="M59" i="3"/>
  <c r="M64" i="3" s="1"/>
  <c r="M74" i="3"/>
  <c r="M79" i="3" s="1"/>
  <c r="I59" i="3"/>
  <c r="I64" i="3" s="1"/>
  <c r="I58" i="3"/>
  <c r="I63" i="3" s="1"/>
  <c r="I61" i="3"/>
  <c r="E75" i="3"/>
  <c r="E77" i="3"/>
  <c r="F35" i="3"/>
  <c r="F11" i="3"/>
  <c r="F16" i="3" s="1"/>
  <c r="K43" i="3"/>
  <c r="K36" i="3"/>
  <c r="K29" i="3"/>
  <c r="G44" i="3"/>
  <c r="G37" i="3"/>
  <c r="G30" i="3"/>
  <c r="O44" i="3"/>
  <c r="O37" i="3"/>
  <c r="O30" i="3"/>
  <c r="G46" i="3"/>
  <c r="O46" i="3"/>
  <c r="N36" i="3"/>
  <c r="N38" i="3"/>
  <c r="E45" i="3"/>
  <c r="D106" i="3"/>
  <c r="P91" i="3"/>
  <c r="L45" i="3"/>
  <c r="L38" i="3"/>
  <c r="L31" i="3"/>
  <c r="H46" i="3"/>
  <c r="H39" i="3"/>
  <c r="H32" i="3"/>
  <c r="D33" i="3"/>
  <c r="D47" i="3"/>
  <c r="D40" i="3"/>
  <c r="L33" i="3"/>
  <c r="L47" i="3"/>
  <c r="L40" i="3"/>
  <c r="H48" i="3"/>
  <c r="H41" i="3"/>
  <c r="H34" i="3"/>
  <c r="M45" i="3"/>
  <c r="H28" i="3"/>
  <c r="H47" i="3"/>
  <c r="D10" i="3"/>
  <c r="D15" i="3" s="1"/>
  <c r="H11" i="3"/>
  <c r="H16" i="3" s="1"/>
  <c r="E36" i="3"/>
  <c r="E43" i="3"/>
  <c r="M36" i="3"/>
  <c r="M47" i="3"/>
  <c r="M40" i="3"/>
  <c r="M33" i="3"/>
  <c r="I48" i="3"/>
  <c r="I41" i="3"/>
  <c r="I34" i="3"/>
  <c r="E28" i="3"/>
  <c r="D31" i="3"/>
  <c r="I39" i="3"/>
  <c r="J41" i="3"/>
  <c r="N45" i="3"/>
  <c r="E374" i="2"/>
  <c r="K380" i="2"/>
  <c r="E383" i="2"/>
  <c r="K389" i="2"/>
  <c r="E392" i="2"/>
  <c r="E10" i="3"/>
  <c r="E15" i="3" s="1"/>
  <c r="M10" i="3"/>
  <c r="M15" i="3" s="1"/>
  <c r="F10" i="3"/>
  <c r="F15" i="3" s="1"/>
  <c r="I11" i="3"/>
  <c r="I16" i="3" s="1"/>
  <c r="N12" i="3"/>
  <c r="F43" i="3"/>
  <c r="N43" i="3"/>
  <c r="J44" i="3"/>
  <c r="M28" i="3"/>
  <c r="E29" i="3"/>
  <c r="J37" i="3"/>
  <c r="K41" i="3"/>
  <c r="M43" i="3"/>
  <c r="I46" i="3"/>
  <c r="E58" i="3"/>
  <c r="E63" i="3" s="1"/>
  <c r="M58" i="3"/>
  <c r="M63" i="3" s="1"/>
  <c r="H72" i="2"/>
  <c r="F374" i="2"/>
  <c r="F383" i="2"/>
  <c r="F392" i="2"/>
  <c r="J12" i="3"/>
  <c r="J11" i="3"/>
  <c r="J16" i="3" s="1"/>
  <c r="J48" i="3"/>
  <c r="J28" i="3"/>
  <c r="G43" i="3"/>
  <c r="G36" i="3"/>
  <c r="G29" i="3"/>
  <c r="O43" i="3"/>
  <c r="O36" i="3"/>
  <c r="O29" i="3"/>
  <c r="K30" i="3"/>
  <c r="K44" i="3"/>
  <c r="K37" i="3"/>
  <c r="G45" i="3"/>
  <c r="G38" i="3"/>
  <c r="G31" i="3"/>
  <c r="O45" i="3"/>
  <c r="M29" i="3"/>
  <c r="J46" i="3"/>
  <c r="G374" i="2"/>
  <c r="G383" i="2"/>
  <c r="G392" i="2"/>
  <c r="K39" i="3"/>
  <c r="K28" i="3"/>
  <c r="F12" i="3"/>
  <c r="H29" i="3"/>
  <c r="H36" i="3"/>
  <c r="H43" i="3"/>
  <c r="D37" i="3"/>
  <c r="D30" i="3"/>
  <c r="D44" i="3"/>
  <c r="L44" i="3"/>
  <c r="L37" i="3"/>
  <c r="L30" i="3"/>
  <c r="H45" i="3"/>
  <c r="H38" i="3"/>
  <c r="H31" i="3"/>
  <c r="D39" i="3"/>
  <c r="D46" i="3"/>
  <c r="D32" i="3"/>
  <c r="L39" i="3"/>
  <c r="H40" i="3"/>
  <c r="E40" i="3"/>
  <c r="F42" i="3"/>
  <c r="E47" i="3"/>
  <c r="I28" i="3"/>
  <c r="E44" i="3"/>
  <c r="M44" i="3"/>
  <c r="I40" i="3"/>
  <c r="E30" i="3"/>
  <c r="J31" i="3"/>
  <c r="F32" i="3"/>
  <c r="O32" i="3"/>
  <c r="K33" i="3"/>
  <c r="I36" i="3"/>
  <c r="E37" i="3"/>
  <c r="I38" i="3"/>
  <c r="O39" i="3"/>
  <c r="K40" i="3"/>
  <c r="G41" i="3"/>
  <c r="J45" i="3"/>
  <c r="G48" i="3"/>
  <c r="F58" i="3"/>
  <c r="F63" i="3" s="1"/>
  <c r="O63" i="3"/>
  <c r="E137" i="3" s="1"/>
  <c r="L59" i="3"/>
  <c r="L64" i="3" s="1"/>
  <c r="I60" i="3"/>
  <c r="H76" i="3"/>
  <c r="L83" i="3"/>
  <c r="D113" i="3"/>
  <c r="J124" i="3"/>
  <c r="J129" i="3" s="1"/>
  <c r="J126" i="3"/>
  <c r="N128" i="3"/>
  <c r="M138" i="3"/>
  <c r="M143" i="3" s="1"/>
  <c r="J171" i="3"/>
  <c r="D191" i="3"/>
  <c r="D194" i="3"/>
  <c r="D185" i="3"/>
  <c r="D181" i="3"/>
  <c r="D187" i="3" s="1"/>
  <c r="F39" i="3"/>
  <c r="N39" i="3"/>
  <c r="K31" i="3"/>
  <c r="G32" i="3"/>
  <c r="G39" i="3"/>
  <c r="K45" i="3"/>
  <c r="G58" i="3"/>
  <c r="G63" i="3" s="1"/>
  <c r="J60" i="3"/>
  <c r="I76" i="3"/>
  <c r="H113" i="3"/>
  <c r="F191" i="3"/>
  <c r="F194" i="3"/>
  <c r="H58" i="3"/>
  <c r="H63" i="3" s="1"/>
  <c r="N59" i="3"/>
  <c r="J85" i="3"/>
  <c r="H108" i="3"/>
  <c r="H111" i="3"/>
  <c r="P99" i="3"/>
  <c r="E106" i="3"/>
  <c r="D109" i="3"/>
  <c r="E113" i="3"/>
  <c r="G113" i="3"/>
  <c r="C139" i="3"/>
  <c r="R125" i="3"/>
  <c r="R126" i="3"/>
  <c r="L124" i="3"/>
  <c r="L129" i="3" s="1"/>
  <c r="L126" i="3"/>
  <c r="I170" i="3"/>
  <c r="O252" i="3"/>
  <c r="L337" i="3"/>
  <c r="E90" i="3"/>
  <c r="F74" i="3"/>
  <c r="F79" i="3" s="1"/>
  <c r="K76" i="3"/>
  <c r="K77" i="3"/>
  <c r="K85" i="3"/>
  <c r="P94" i="3"/>
  <c r="P97" i="3"/>
  <c r="H106" i="3"/>
  <c r="D108" i="3"/>
  <c r="E109" i="3"/>
  <c r="E110" i="3"/>
  <c r="H110" i="3"/>
  <c r="H115" i="3"/>
  <c r="Q128" i="3"/>
  <c r="S137" i="3"/>
  <c r="S142" i="3" s="1"/>
  <c r="K140" i="3"/>
  <c r="F327" i="3"/>
  <c r="G115" i="3"/>
  <c r="I139" i="3"/>
  <c r="J153" i="3"/>
  <c r="J156" i="3"/>
  <c r="J167" i="3"/>
  <c r="F185" i="3"/>
  <c r="F47" i="3"/>
  <c r="N47" i="3"/>
  <c r="F29" i="3"/>
  <c r="J30" i="3"/>
  <c r="L32" i="3"/>
  <c r="F36" i="3"/>
  <c r="F38" i="3"/>
  <c r="O38" i="3"/>
  <c r="F45" i="3"/>
  <c r="L46" i="3"/>
  <c r="F85" i="3"/>
  <c r="F83" i="3"/>
  <c r="D90" i="3"/>
  <c r="F87" i="3" s="1"/>
  <c r="N85" i="3"/>
  <c r="N83" i="3"/>
  <c r="K58" i="3"/>
  <c r="K63" i="3" s="1"/>
  <c r="F60" i="3"/>
  <c r="N61" i="3"/>
  <c r="N62" i="3"/>
  <c r="J74" i="3"/>
  <c r="J79" i="3" s="1"/>
  <c r="K78" i="3"/>
  <c r="G112" i="3"/>
  <c r="E112" i="3"/>
  <c r="O127" i="3"/>
  <c r="O124" i="3"/>
  <c r="O129" i="3" s="1"/>
  <c r="R128" i="3"/>
  <c r="R124" i="3"/>
  <c r="K270" i="3"/>
  <c r="K266" i="3"/>
  <c r="R263" i="3" s="1"/>
  <c r="K46" i="3"/>
  <c r="N34" i="3"/>
  <c r="N41" i="3"/>
  <c r="I47" i="3"/>
  <c r="G74" i="3"/>
  <c r="G79" i="3" s="1"/>
  <c r="O79" i="3"/>
  <c r="J59" i="3"/>
  <c r="J64" i="3" s="1"/>
  <c r="G60" i="3"/>
  <c r="E61" i="3"/>
  <c r="I75" i="3"/>
  <c r="E76" i="3"/>
  <c r="M76" i="3"/>
  <c r="I77" i="3"/>
  <c r="E78" i="3"/>
  <c r="M78" i="3"/>
  <c r="K74" i="3"/>
  <c r="K79" i="3" s="1"/>
  <c r="L78" i="3"/>
  <c r="H114" i="3"/>
  <c r="H124" i="3"/>
  <c r="H129" i="3" s="1"/>
  <c r="P124" i="3"/>
  <c r="P129" i="3" s="1"/>
  <c r="H127" i="3"/>
  <c r="S139" i="3"/>
  <c r="S138" i="3"/>
  <c r="S143" i="3" s="1"/>
  <c r="K138" i="3"/>
  <c r="K143" i="3" s="1"/>
  <c r="I163" i="3"/>
  <c r="L336" i="3"/>
  <c r="D41" i="3"/>
  <c r="L41" i="3"/>
  <c r="M30" i="3"/>
  <c r="N32" i="3"/>
  <c r="J33" i="3"/>
  <c r="F34" i="3"/>
  <c r="M37" i="3"/>
  <c r="J40" i="3"/>
  <c r="F41" i="3"/>
  <c r="O41" i="3"/>
  <c r="I45" i="3"/>
  <c r="N46" i="3"/>
  <c r="O48" i="3"/>
  <c r="H74" i="3"/>
  <c r="H79" i="3" s="1"/>
  <c r="D58" i="3"/>
  <c r="D63" i="3" s="1"/>
  <c r="L58" i="3"/>
  <c r="L63" i="3" s="1"/>
  <c r="K59" i="3"/>
  <c r="K64" i="3" s="1"/>
  <c r="J75" i="3"/>
  <c r="F76" i="3"/>
  <c r="N76" i="3"/>
  <c r="J77" i="3"/>
  <c r="F78" i="3"/>
  <c r="N78" i="3"/>
  <c r="L74" i="3"/>
  <c r="L79" i="3" s="1"/>
  <c r="G76" i="3"/>
  <c r="K83" i="3"/>
  <c r="H107" i="3"/>
  <c r="P92" i="3"/>
  <c r="G111" i="3"/>
  <c r="E114" i="3"/>
  <c r="G114" i="3"/>
  <c r="I127" i="3"/>
  <c r="I124" i="3"/>
  <c r="I129" i="3" s="1"/>
  <c r="F180" i="3"/>
  <c r="N138" i="3"/>
  <c r="N143" i="3" s="1"/>
  <c r="O141" i="3"/>
  <c r="O137" i="3"/>
  <c r="O142" i="3" s="1"/>
  <c r="L138" i="3"/>
  <c r="L143" i="3" s="1"/>
  <c r="J160" i="3"/>
  <c r="R243" i="3"/>
  <c r="N336" i="3"/>
  <c r="H59" i="3"/>
  <c r="H64" i="3" s="1"/>
  <c r="P95" i="3"/>
  <c r="I125" i="3"/>
  <c r="I130" i="3" s="1"/>
  <c r="Q125" i="3"/>
  <c r="Q130" i="3" s="1"/>
  <c r="X327" i="3"/>
  <c r="J335" i="3"/>
  <c r="L335" i="3" s="1"/>
  <c r="I343" i="3"/>
  <c r="L343" i="3" s="1"/>
  <c r="M346" i="3"/>
  <c r="J348" i="3"/>
  <c r="L348" i="3" s="1"/>
  <c r="G367" i="3"/>
  <c r="I368" i="3"/>
  <c r="F371" i="3"/>
  <c r="H372" i="3"/>
  <c r="F377" i="3"/>
  <c r="I378" i="3"/>
  <c r="F382" i="3"/>
  <c r="I384" i="3"/>
  <c r="F387" i="3"/>
  <c r="H388" i="3"/>
  <c r="M337" i="3"/>
  <c r="M338" i="3"/>
  <c r="J368" i="3"/>
  <c r="I372" i="3"/>
  <c r="J378" i="3"/>
  <c r="J384" i="3"/>
  <c r="J388" i="3"/>
  <c r="L140" i="3"/>
  <c r="J344" i="3"/>
  <c r="L344" i="3" s="1"/>
  <c r="I347" i="3"/>
  <c r="L347" i="3" s="1"/>
  <c r="J349" i="3"/>
  <c r="L349" i="3" s="1"/>
  <c r="J372" i="3"/>
  <c r="I339" i="3"/>
  <c r="L339" i="3" s="1"/>
  <c r="J345" i="3"/>
  <c r="L345" i="3" s="1"/>
  <c r="J346" i="3"/>
  <c r="L346" i="3" s="1"/>
  <c r="E369" i="3"/>
  <c r="F375" i="3"/>
  <c r="E379" i="3"/>
  <c r="E385" i="3"/>
  <c r="M336" i="3"/>
  <c r="J338" i="3"/>
  <c r="L338" i="3" s="1"/>
  <c r="E368" i="3"/>
  <c r="G369" i="3"/>
  <c r="E372" i="3"/>
  <c r="H375" i="3"/>
  <c r="E378" i="3"/>
  <c r="G379" i="3"/>
  <c r="F384" i="3"/>
  <c r="H385" i="3"/>
  <c r="E388" i="3"/>
  <c r="N335" i="3"/>
  <c r="F368" i="3"/>
  <c r="I369" i="3"/>
  <c r="F372" i="3"/>
  <c r="I375" i="3"/>
  <c r="F378" i="3"/>
  <c r="H379" i="3"/>
  <c r="G384" i="3"/>
  <c r="I385" i="3"/>
  <c r="F388" i="3"/>
  <c r="I140" i="3"/>
  <c r="I137" i="3"/>
  <c r="I142" i="3" s="1"/>
  <c r="Q140" i="3"/>
  <c r="Q137" i="3"/>
  <c r="Q142" i="3" s="1"/>
  <c r="E367" i="3"/>
  <c r="H368" i="3"/>
  <c r="J369" i="3"/>
  <c r="E371" i="3"/>
  <c r="J375" i="3"/>
  <c r="E377" i="3"/>
  <c r="G378" i="3"/>
  <c r="J379" i="3"/>
  <c r="H384" i="3"/>
  <c r="J385" i="3"/>
  <c r="E387" i="3"/>
  <c r="G388" i="3"/>
  <c r="N35" i="3" l="1"/>
  <c r="N49" i="3"/>
  <c r="L345" i="2"/>
  <c r="J35" i="3"/>
  <c r="J49" i="3"/>
  <c r="J42" i="3"/>
  <c r="O42" i="3"/>
  <c r="O49" i="3"/>
  <c r="O35" i="3"/>
  <c r="Q15" i="1"/>
  <c r="Q11" i="1"/>
  <c r="Q17" i="1" s="1"/>
  <c r="R95" i="2"/>
  <c r="D91" i="2" s="1"/>
  <c r="J324" i="2"/>
  <c r="H334" i="2"/>
  <c r="J207" i="2"/>
  <c r="M207" i="2"/>
  <c r="J203" i="2"/>
  <c r="L49" i="3"/>
  <c r="L35" i="3"/>
  <c r="L42" i="3"/>
  <c r="N16" i="2"/>
  <c r="J45" i="2"/>
  <c r="R129" i="3"/>
  <c r="I90" i="3"/>
  <c r="N64" i="3"/>
  <c r="J90" i="3"/>
  <c r="I49" i="3"/>
  <c r="I42" i="3"/>
  <c r="I35" i="3"/>
  <c r="E90" i="2"/>
  <c r="M45" i="2"/>
  <c r="G42" i="3"/>
  <c r="G49" i="3"/>
  <c r="G35" i="3"/>
  <c r="Q13" i="1"/>
  <c r="Q19" i="1" s="1"/>
  <c r="Q14" i="1"/>
  <c r="Q12" i="1"/>
  <c r="Q18" i="1" s="1"/>
  <c r="E45" i="2"/>
  <c r="E88" i="2"/>
  <c r="E42" i="3"/>
  <c r="E49" i="3"/>
  <c r="E35" i="3"/>
  <c r="K49" i="3"/>
  <c r="K42" i="3"/>
  <c r="K35" i="3"/>
  <c r="H327" i="3"/>
  <c r="H49" i="3"/>
  <c r="H35" i="3"/>
  <c r="H42" i="3"/>
  <c r="D49" i="3"/>
  <c r="D42" i="3"/>
  <c r="D35" i="3"/>
  <c r="G208" i="2"/>
  <c r="J208" i="2"/>
  <c r="G204" i="2"/>
  <c r="F186" i="3"/>
  <c r="F195" i="3"/>
  <c r="F192" i="3"/>
  <c r="M90" i="3"/>
  <c r="F181" i="3"/>
  <c r="F187" i="3" s="1"/>
  <c r="R130" i="3"/>
  <c r="M42" i="3"/>
  <c r="M49" i="3"/>
  <c r="M35" i="3"/>
  <c r="F142" i="2"/>
  <c r="E92" i="2" l="1"/>
  <c r="K45" i="2"/>
  <c r="K9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14" authorId="0" shapeId="0" xr:uid="{00000000-0006-0000-0000-000001000000}">
      <text>
        <r>
          <rPr>
            <sz val="11"/>
            <color theme="1"/>
            <rFont val="宋体"/>
            <family val="2"/>
            <scheme val="minor"/>
          </rPr>
          <t>人工更新
——from 千瓜</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70" authorId="0" shapeId="0" xr:uid="{00000000-0006-0000-0100-000001000000}">
      <text>
        <r>
          <rPr>
            <sz val="11"/>
            <color theme="1"/>
            <rFont val="宋体"/>
            <family val="2"/>
            <scheme val="minor"/>
          </rPr>
          <t>人工check
：品牌对应官旗名称</t>
        </r>
      </text>
    </comment>
    <comment ref="B86" authorId="0" shapeId="0" xr:uid="{00000000-0006-0000-0100-000002000000}">
      <text>
        <r>
          <rPr>
            <sz val="11"/>
            <color theme="1"/>
            <rFont val="宋体"/>
            <family val="2"/>
            <scheme val="minor"/>
          </rPr>
          <t>人工更新：公式</t>
        </r>
      </text>
    </comment>
    <comment ref="B105" authorId="0" shapeId="0" xr:uid="{00000000-0006-0000-0100-000003000000}">
      <text>
        <r>
          <rPr>
            <sz val="11"/>
            <color theme="1"/>
            <rFont val="宋体"/>
            <family val="2"/>
            <scheme val="minor"/>
          </rPr>
          <t>人工更新：量级
——from 策略中心</t>
        </r>
      </text>
    </comment>
    <comment ref="B156" authorId="0" shapeId="0" xr:uid="{00000000-0006-0000-0100-000004000000}">
      <text>
        <r>
          <rPr>
            <sz val="11"/>
            <color theme="1"/>
            <rFont val="宋体"/>
            <family val="2"/>
            <scheme val="minor"/>
          </rPr>
          <t>人工更新：量级
——from 达摩盘</t>
        </r>
      </text>
    </comment>
    <comment ref="B181" authorId="0" shapeId="0" xr:uid="{00000000-0006-0000-0100-000005000000}">
      <text>
        <r>
          <rPr>
            <sz val="11"/>
            <color theme="1"/>
            <rFont val="宋体"/>
            <family val="2"/>
            <scheme val="minor"/>
          </rPr>
          <t>人工更新
——from 策略中心</t>
        </r>
      </text>
    </comment>
    <comment ref="B196" authorId="0" shapeId="0" xr:uid="{00000000-0006-0000-0100-000006000000}">
      <text>
        <r>
          <rPr>
            <sz val="11"/>
            <color theme="1"/>
            <rFont val="宋体"/>
            <family val="2"/>
            <scheme val="minor"/>
          </rPr>
          <t>人工更新
——from 达摩盘</t>
        </r>
      </text>
    </comment>
    <comment ref="R196" authorId="0" shapeId="0" xr:uid="{00000000-0006-0000-0100-000007000000}">
      <text>
        <r>
          <rPr>
            <sz val="11"/>
            <color theme="1"/>
            <rFont val="宋体"/>
            <family val="2"/>
            <scheme val="minor"/>
          </rPr>
          <t>人工更新：公式</t>
        </r>
      </text>
    </comment>
    <comment ref="R202" authorId="0" shapeId="0" xr:uid="{00000000-0006-0000-0100-000008000000}">
      <text>
        <r>
          <rPr>
            <sz val="11"/>
            <color theme="1"/>
            <rFont val="宋体"/>
            <family val="2"/>
            <scheme val="minor"/>
          </rPr>
          <t>人工更新：公式</t>
        </r>
      </text>
    </comment>
    <comment ref="Q214" authorId="0" shapeId="0" xr:uid="{00000000-0006-0000-0100-000009000000}">
      <text>
        <r>
          <rPr>
            <sz val="11"/>
            <color theme="1"/>
            <rFont val="宋体"/>
            <family val="2"/>
            <scheme val="minor"/>
          </rPr>
          <t>人工更新：公式</t>
        </r>
      </text>
    </comment>
    <comment ref="C229" authorId="0" shapeId="0" xr:uid="{00000000-0006-0000-0100-00000A000000}">
      <text>
        <r>
          <rPr>
            <sz val="11"/>
            <color theme="1"/>
            <rFont val="宋体"/>
            <family val="2"/>
            <scheme val="minor"/>
          </rPr>
          <t>人工更新
——from 策略中心</t>
        </r>
      </text>
    </comment>
    <comment ref="I229" authorId="0" shapeId="0" xr:uid="{00000000-0006-0000-0100-00000B000000}">
      <text>
        <r>
          <rPr>
            <sz val="11"/>
            <color theme="1"/>
            <rFont val="宋体"/>
            <family val="2"/>
            <scheme val="minor"/>
          </rPr>
          <t>人工更新
——from 策略中心</t>
        </r>
      </text>
    </comment>
    <comment ref="C244" authorId="0" shapeId="0" xr:uid="{00000000-0006-0000-0100-00000C000000}">
      <text>
        <r>
          <rPr>
            <sz val="11"/>
            <color theme="1"/>
            <rFont val="宋体"/>
            <family val="2"/>
            <scheme val="minor"/>
          </rPr>
          <t>人工更新
——from 策略中心</t>
        </r>
      </text>
    </comment>
    <comment ref="M245" authorId="0" shapeId="0" xr:uid="{00000000-0006-0000-0100-00000D000000}">
      <text>
        <r>
          <rPr>
            <sz val="11"/>
            <color theme="1"/>
            <rFont val="宋体"/>
            <family val="2"/>
            <scheme val="minor"/>
          </rPr>
          <t>人工更新：公式
&amp; TOP5净流出品牌</t>
        </r>
      </text>
    </comment>
    <comment ref="M254" authorId="0" shapeId="0" xr:uid="{00000000-0006-0000-0100-00000E000000}">
      <text>
        <r>
          <rPr>
            <sz val="11"/>
            <color theme="1"/>
            <rFont val="宋体"/>
            <family val="2"/>
            <scheme val="minor"/>
          </rPr>
          <t>人工更新：公式
&amp; TOP5净流入品牌</t>
        </r>
      </text>
    </comment>
    <comment ref="B271" authorId="0" shapeId="0" xr:uid="{00000000-0006-0000-0100-00000F000000}">
      <text>
        <r>
          <rPr>
            <sz val="11"/>
            <color theme="1"/>
            <rFont val="宋体"/>
            <family val="2"/>
            <scheme val="minor"/>
          </rPr>
          <t>人工check&amp;更新：
咖啡机类型打标</t>
        </r>
      </text>
    </comment>
    <comment ref="B306" authorId="0" shapeId="0" xr:uid="{00000000-0006-0000-0100-000010000000}">
      <text>
        <r>
          <rPr>
            <sz val="11"/>
            <color theme="1"/>
            <rFont val="宋体"/>
            <family val="2"/>
            <scheme val="minor"/>
          </rPr>
          <t>人工更新
——from 策略中心</t>
        </r>
      </text>
    </comment>
    <comment ref="I306" authorId="0" shapeId="0" xr:uid="{00000000-0006-0000-0100-000011000000}">
      <text>
        <r>
          <rPr>
            <sz val="11"/>
            <color theme="1"/>
            <rFont val="宋体"/>
            <family val="2"/>
            <scheme val="minor"/>
          </rPr>
          <t>人工更新
——from 策略中心</t>
        </r>
      </text>
    </comment>
    <comment ref="B322" authorId="0" shapeId="0" xr:uid="{00000000-0006-0000-0100-000012000000}">
      <text>
        <r>
          <rPr>
            <sz val="11"/>
            <color theme="1"/>
            <rFont val="宋体"/>
            <family val="2"/>
            <scheme val="minor"/>
          </rPr>
          <t>人工更新：公式
&amp;型号系列打标</t>
        </r>
      </text>
    </comment>
    <comment ref="B337" authorId="0" shapeId="0" xr:uid="{00000000-0006-0000-0100-000013000000}">
      <text>
        <r>
          <rPr>
            <sz val="11"/>
            <color theme="1"/>
            <rFont val="宋体"/>
            <family val="2"/>
            <scheme val="minor"/>
          </rPr>
          <t>人工更新：TOP渠道</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104" authorId="0" shapeId="0" xr:uid="{00000000-0006-0000-0200-000001000000}">
      <text>
        <r>
          <rPr>
            <sz val="11"/>
            <color theme="1"/>
            <rFont val="宋体"/>
            <family val="2"/>
            <scheme val="minor"/>
          </rPr>
          <t>人工check：
品牌对应官旗名称</t>
        </r>
      </text>
    </comment>
    <comment ref="B117" authorId="0" shapeId="0" xr:uid="{00000000-0006-0000-0200-000002000000}">
      <text>
        <r>
          <rPr>
            <sz val="11"/>
            <color theme="1"/>
            <rFont val="宋体"/>
            <family val="2"/>
            <scheme val="minor"/>
          </rPr>
          <t>人工更新：公式</t>
        </r>
      </text>
    </comment>
    <comment ref="B150" authorId="0" shapeId="0" xr:uid="{00000000-0006-0000-0200-000003000000}">
      <text>
        <r>
          <rPr>
            <sz val="11"/>
            <color rgb="FF000000"/>
            <rFont val="Calibri"/>
            <family val="2"/>
          </rPr>
          <t>人工更新：量级</t>
        </r>
        <r>
          <rPr>
            <sz val="11"/>
            <color rgb="FF000000"/>
            <rFont val="Calibri"/>
            <family val="2"/>
          </rPr>
          <t xml:space="preserve">
</t>
        </r>
        <r>
          <rPr>
            <sz val="11"/>
            <color rgb="FF000000"/>
            <rFont val="Calibri"/>
            <family val="2"/>
          </rPr>
          <t xml:space="preserve">——from </t>
        </r>
        <r>
          <rPr>
            <sz val="11"/>
            <color rgb="FF000000"/>
            <rFont val="Calibri"/>
            <family val="2"/>
          </rPr>
          <t>策略中心</t>
        </r>
      </text>
    </comment>
    <comment ref="B198" authorId="0" shapeId="0" xr:uid="{00000000-0006-0000-0200-000004000000}">
      <text>
        <r>
          <rPr>
            <sz val="11"/>
            <color theme="1"/>
            <rFont val="宋体"/>
            <family val="2"/>
            <scheme val="minor"/>
          </rPr>
          <t>人工更新：量级
——from 达摩盘</t>
        </r>
      </text>
    </comment>
    <comment ref="B239" authorId="0" shapeId="0" xr:uid="{00000000-0006-0000-0200-000006000000}">
      <text>
        <r>
          <rPr>
            <sz val="11"/>
            <color theme="1"/>
            <rFont val="宋体"/>
            <family val="2"/>
            <scheme val="minor"/>
          </rPr>
          <t>人工更新
——from 策略中心</t>
        </r>
      </text>
    </comment>
    <comment ref="B259" authorId="0" shapeId="0" xr:uid="{00000000-0006-0000-0200-000007000000}">
      <text>
        <r>
          <rPr>
            <sz val="11"/>
            <color theme="1"/>
            <rFont val="宋体"/>
            <family val="2"/>
            <scheme val="minor"/>
          </rPr>
          <t>人工更新
——from 达摩盘</t>
        </r>
      </text>
    </comment>
    <comment ref="Q260" authorId="0" shapeId="0" xr:uid="{00000000-0006-0000-0200-000008000000}">
      <text>
        <r>
          <rPr>
            <sz val="11"/>
            <color theme="1"/>
            <rFont val="宋体"/>
            <family val="2"/>
            <scheme val="minor"/>
          </rPr>
          <t>人工更新：公式</t>
        </r>
      </text>
    </comment>
    <comment ref="C285" authorId="0" shapeId="0" xr:uid="{00000000-0006-0000-0200-000009000000}">
      <text>
        <r>
          <rPr>
            <sz val="11"/>
            <color theme="1"/>
            <rFont val="宋体"/>
            <family val="2"/>
            <scheme val="minor"/>
          </rPr>
          <t>人工更新
——from 策略中心</t>
        </r>
      </text>
    </comment>
    <comment ref="B320" authorId="0" shapeId="0" xr:uid="{00000000-0006-0000-0200-00000C000000}">
      <text>
        <r>
          <rPr>
            <sz val="11"/>
            <color theme="1"/>
            <rFont val="宋体"/>
            <family val="2"/>
            <scheme val="minor"/>
          </rPr>
          <t>人工更新：公式
&amp;型号类型打标</t>
        </r>
      </text>
    </comment>
    <comment ref="B330" authorId="0" shapeId="0" xr:uid="{00000000-0006-0000-0200-00000D000000}">
      <text>
        <r>
          <rPr>
            <sz val="11"/>
            <color theme="1"/>
            <rFont val="宋体"/>
            <family val="2"/>
            <scheme val="minor"/>
          </rPr>
          <t>人工更新：TOP渠道</t>
        </r>
      </text>
    </comment>
  </commentList>
</comments>
</file>

<file path=xl/sharedStrings.xml><?xml version="1.0" encoding="utf-8"?>
<sst xmlns="http://schemas.openxmlformats.org/spreadsheetml/2006/main" count="41393" uniqueCount="12406">
  <si>
    <t>数据来源：生意参谋</t>
  </si>
  <si>
    <t>店铺整体生意表现</t>
  </si>
  <si>
    <t>2023-店铺整体</t>
  </si>
  <si>
    <t>2022-店铺整体</t>
  </si>
  <si>
    <t>1月</t>
  </si>
  <si>
    <t>2月</t>
  </si>
  <si>
    <t>3月</t>
  </si>
  <si>
    <t>4月</t>
  </si>
  <si>
    <t>5月</t>
  </si>
  <si>
    <t>6月</t>
  </si>
  <si>
    <t>7月</t>
  </si>
  <si>
    <t>8月</t>
  </si>
  <si>
    <t>9月</t>
  </si>
  <si>
    <t>10月</t>
  </si>
  <si>
    <t>11月</t>
  </si>
  <si>
    <t>12月</t>
  </si>
  <si>
    <t>量级</t>
  </si>
  <si>
    <t>支付金额</t>
  </si>
  <si>
    <t>支付买家数</t>
  </si>
  <si>
    <t>访客数</t>
  </si>
  <si>
    <t>支付件数</t>
  </si>
  <si>
    <t>支付转化率</t>
  </si>
  <si>
    <t>客单价</t>
  </si>
  <si>
    <t>件单价</t>
  </si>
  <si>
    <t>同比</t>
  </si>
  <si>
    <t>支付转化率（pp）</t>
  </si>
  <si>
    <t>2023-店铺货品结构-GMV</t>
  </si>
  <si>
    <t>2022-店铺货品结构-GMV</t>
  </si>
  <si>
    <t>咖啡机</t>
  </si>
  <si>
    <t>咖啡</t>
  </si>
  <si>
    <t>胶囊咖啡</t>
  </si>
  <si>
    <t>其他咖啡</t>
  </si>
  <si>
    <t>其他</t>
  </si>
  <si>
    <t>占比</t>
  </si>
  <si>
    <t>2023-店铺货品结构-购买人数</t>
  </si>
  <si>
    <t>2022-店铺货品结构-购买人数</t>
  </si>
  <si>
    <t>2023-店铺货品结构-客单价</t>
  </si>
  <si>
    <t>2022-店铺货品结构-客单价</t>
  </si>
  <si>
    <t>店铺整体新老客情况</t>
  </si>
  <si>
    <t>新客GMV</t>
  </si>
  <si>
    <t>新客人数</t>
  </si>
  <si>
    <t>新客客单价</t>
  </si>
  <si>
    <t>老客GMV</t>
  </si>
  <si>
    <t>老客人数</t>
  </si>
  <si>
    <t>老客客单价</t>
  </si>
  <si>
    <t>占比增幅</t>
  </si>
  <si>
    <t>店铺(广告&amp;平台)流量布局及转化率变化</t>
  </si>
  <si>
    <t>一级</t>
  </si>
  <si>
    <t>二级</t>
  </si>
  <si>
    <t>三级</t>
  </si>
  <si>
    <t>访客数-同比月</t>
  </si>
  <si>
    <t>访客数-本月</t>
  </si>
  <si>
    <t>转化率-同比月</t>
  </si>
  <si>
    <t>转化率-本月</t>
  </si>
  <si>
    <t>支付人数-同比月</t>
  </si>
  <si>
    <t>支付人数-本月</t>
  </si>
  <si>
    <t>支付人数同比</t>
  </si>
  <si>
    <t>访客数同比</t>
  </si>
  <si>
    <t>转化率同比</t>
  </si>
  <si>
    <t>广告流量</t>
  </si>
  <si>
    <t>效果广告</t>
  </si>
  <si>
    <t>万相台</t>
  </si>
  <si>
    <t>引力魔方</t>
  </si>
  <si>
    <t>直通车</t>
  </si>
  <si>
    <t>品牌广告</t>
  </si>
  <si>
    <t>品销宝- 品牌专区</t>
  </si>
  <si>
    <t>超级互动城</t>
  </si>
  <si>
    <t>品销宝- 明星店铺</t>
  </si>
  <si>
    <t>内容广告</t>
  </si>
  <si>
    <t>超级短视频</t>
  </si>
  <si>
    <t>超级直播</t>
  </si>
  <si>
    <t>短直联动</t>
  </si>
  <si>
    <t>站外广告</t>
  </si>
  <si>
    <t>淘宝客</t>
  </si>
  <si>
    <t>UD效果投放</t>
  </si>
  <si>
    <t>流量宝</t>
  </si>
  <si>
    <t>平台流量</t>
  </si>
  <si>
    <t>淘内待分类</t>
  </si>
  <si>
    <t>汇总</t>
  </si>
  <si>
    <t>手淘淘宝直播</t>
  </si>
  <si>
    <t>手淘搜索</t>
  </si>
  <si>
    <t>手淘推荐</t>
  </si>
  <si>
    <t>我的淘宝</t>
  </si>
  <si>
    <t>购物车</t>
  </si>
  <si>
    <t>手淘旺信</t>
  </si>
  <si>
    <t>Nespresso相关搜索词情况</t>
  </si>
  <si>
    <t>站内品牌词相关搜索词搜索人数</t>
  </si>
  <si>
    <t>23.10搜索词</t>
  </si>
  <si>
    <t>22.10月</t>
  </si>
  <si>
    <t>23.10月</t>
  </si>
  <si>
    <t>小红书品牌词相关词搜索热度值</t>
  </si>
  <si>
    <t>小红书热度值数据留存</t>
  </si>
  <si>
    <t>23.3搜索词</t>
  </si>
  <si>
    <t>nespresso</t>
  </si>
  <si>
    <t>nespresso胶囊</t>
  </si>
  <si>
    <t>nespresso胶囊咖啡机</t>
  </si>
  <si>
    <t>nespresso咖啡</t>
  </si>
  <si>
    <t>nespresso咖啡胶囊</t>
  </si>
  <si>
    <t>nespresso vertuo</t>
  </si>
  <si>
    <t>nespresso咖啡机</t>
  </si>
  <si>
    <t>胶囊咖啡机nespresso</t>
  </si>
  <si>
    <t>nespresso胶囊咖啡</t>
  </si>
  <si>
    <t>胶囊咖啡nespresso</t>
  </si>
  <si>
    <t>咖啡机市场大盘数据</t>
  </si>
  <si>
    <t>2023 咖啡机市场大盘</t>
  </si>
  <si>
    <t>2022 咖啡机市场大盘</t>
  </si>
  <si>
    <t>销售金额</t>
  </si>
  <si>
    <t>购买人数</t>
  </si>
  <si>
    <t>访客人数</t>
  </si>
  <si>
    <t>咖啡机市场品牌格局</t>
  </si>
  <si>
    <t>全渠道咖啡机市场品牌集中度</t>
  </si>
  <si>
    <t>2022 全渠道咖啡机市场品牌GMV</t>
  </si>
  <si>
    <t>Top1</t>
  </si>
  <si>
    <t>Top2</t>
  </si>
  <si>
    <t>Top3</t>
  </si>
  <si>
    <t>Top4-10</t>
  </si>
  <si>
    <t>Top11-20</t>
  </si>
  <si>
    <t>其他商家</t>
  </si>
  <si>
    <t>全渠道咖啡机市场Top品牌市占率</t>
  </si>
  <si>
    <t>TOP3 品牌</t>
  </si>
  <si>
    <t>23年</t>
  </si>
  <si>
    <t>22年</t>
  </si>
  <si>
    <t>TOP10 品牌</t>
  </si>
  <si>
    <t>Top10品牌GMV排行</t>
  </si>
  <si>
    <t>排名变化</t>
  </si>
  <si>
    <t>品牌名</t>
  </si>
  <si>
    <t>GMV</t>
  </si>
  <si>
    <t>GMV同比</t>
  </si>
  <si>
    <t>品牌市占率</t>
  </si>
  <si>
    <t>变化</t>
  </si>
  <si>
    <t>GMV_同比月</t>
  </si>
  <si>
    <t>市场</t>
  </si>
  <si>
    <t>-</t>
  </si>
  <si>
    <t>咖啡机市场品牌分销情况</t>
  </si>
  <si>
    <t>咖啡机品牌官旗控盘率变化</t>
  </si>
  <si>
    <t>咖啡机品牌官旗&amp;分销增长情况</t>
  </si>
  <si>
    <t>Top10品牌官旗GMV</t>
  </si>
  <si>
    <t>排名</t>
  </si>
  <si>
    <t>品牌</t>
  </si>
  <si>
    <t>22年11月控盘率</t>
  </si>
  <si>
    <t>23年11月控盘率</t>
  </si>
  <si>
    <t>品牌GMV同比</t>
  </si>
  <si>
    <t>官旗GMV同比</t>
  </si>
  <si>
    <t>分销GMV同比</t>
  </si>
  <si>
    <t>官旗名称</t>
  </si>
  <si>
    <t>22.11</t>
  </si>
  <si>
    <t>delonghi德龙旗舰店</t>
  </si>
  <si>
    <t>Gemilai格米莱旗舰店</t>
  </si>
  <si>
    <t>barsetto电器旗舰店</t>
  </si>
  <si>
    <t>飞利浦电器旗舰店</t>
  </si>
  <si>
    <t>NESPRESSO官方旗舰店</t>
  </si>
  <si>
    <t>柏翠旗舰店</t>
  </si>
  <si>
    <t>SMEG电器旗舰店</t>
  </si>
  <si>
    <t>breville铂富旗舰店</t>
  </si>
  <si>
    <t>maximsdeparis旗舰店</t>
  </si>
  <si>
    <t>Drcoffee咖博士旗舰店</t>
  </si>
  <si>
    <t>Nespresso官旗咖啡机数据</t>
  </si>
  <si>
    <t>需手摘</t>
  </si>
  <si>
    <t>2023 官旗咖啡机</t>
  </si>
  <si>
    <t>2022 官旗咖啡机</t>
  </si>
  <si>
    <t>官旗咖啡机</t>
  </si>
  <si>
    <t>2023.10</t>
  </si>
  <si>
    <t>本月</t>
  </si>
  <si>
    <t>大盘同比</t>
  </si>
  <si>
    <t>人</t>
  </si>
  <si>
    <t>咖啡机人群变化</t>
  </si>
  <si>
    <t>咖啡机购买人群画像（Nespresso官旗 vs. 行业）</t>
  </si>
  <si>
    <t>标签</t>
  </si>
  <si>
    <t>2311店铺咖啡机购买人群</t>
  </si>
  <si>
    <t>2211店铺咖啡机购买人群</t>
  </si>
  <si>
    <t>2311行业咖啡机购买人群</t>
  </si>
  <si>
    <t>2211行业咖啡机购买人群</t>
  </si>
  <si>
    <t>店铺人数同比</t>
  </si>
  <si>
    <t>行业人数同比</t>
  </si>
  <si>
    <t>性别</t>
  </si>
  <si>
    <t>男</t>
  </si>
  <si>
    <t>女</t>
  </si>
  <si>
    <t>年龄</t>
  </si>
  <si>
    <t>[18,24]</t>
  </si>
  <si>
    <t>[25,29]</t>
  </si>
  <si>
    <t>[30,34]</t>
  </si>
  <si>
    <t>[35,39]</t>
  </si>
  <si>
    <t>[40,44]</t>
  </si>
  <si>
    <t>[45,49]</t>
  </si>
  <si>
    <t>&gt;=50</t>
  </si>
  <si>
    <t>城市等级</t>
  </si>
  <si>
    <t>购买力</t>
  </si>
  <si>
    <t>L1</t>
  </si>
  <si>
    <t>L2</t>
  </si>
  <si>
    <t>L3</t>
  </si>
  <si>
    <t>L4</t>
  </si>
  <si>
    <t>L5</t>
  </si>
  <si>
    <t>店铺咖啡机新老客情况</t>
  </si>
  <si>
    <t>2023-店铺咖啡机</t>
  </si>
  <si>
    <t>2022-店铺咖啡机</t>
  </si>
  <si>
    <t>咖啡机新客购买人群画像</t>
  </si>
  <si>
    <t>数据来源：策略中心</t>
  </si>
  <si>
    <t>咖啡机购买人群画像（店铺咖啡机购买 vs. 店铺咖啡机新客）</t>
  </si>
  <si>
    <t>2311店铺咖啡机品牌新客</t>
  </si>
  <si>
    <t>2311店铺咖啡机品牌老客</t>
  </si>
  <si>
    <t>[40,49]</t>
  </si>
  <si>
    <t>准1</t>
  </si>
  <si>
    <t>店铺咖啡机品牌新客来源</t>
  </si>
  <si>
    <t>2309近半年店铺咖啡机品牌新客来源</t>
  </si>
  <si>
    <t>一级类目购买偏好</t>
  </si>
  <si>
    <t>TGI</t>
  </si>
  <si>
    <t>叶子类目Top1</t>
  </si>
  <si>
    <t>偏好购买品牌Top 5（按TGI排序）</t>
  </si>
  <si>
    <t>咖啡/麦片/冲饮</t>
  </si>
  <si>
    <t>300-350</t>
  </si>
  <si>
    <t>住宅家具</t>
  </si>
  <si>
    <t>家居饰品</t>
  </si>
  <si>
    <t>生活电器</t>
  </si>
  <si>
    <t>模玩/动漫/周边/娃圈三坑/桌游</t>
  </si>
  <si>
    <t>泡泡玛特、迪士尼、万代</t>
  </si>
  <si>
    <t>电子/电工</t>
  </si>
  <si>
    <t>240-260</t>
  </si>
  <si>
    <t>店铺咖啡机老客复购</t>
  </si>
  <si>
    <t>咖啡机老客复购情况</t>
  </si>
  <si>
    <t>老客复购</t>
  </si>
  <si>
    <t>Nespresso官旗咖啡机老客（前365d购买Nes官旗咖啡机）</t>
  </si>
  <si>
    <t>人数环比</t>
  </si>
  <si>
    <t>复购官旗</t>
  </si>
  <si>
    <t>复购官旗咖啡机</t>
  </si>
  <si>
    <t>复购分销店</t>
  </si>
  <si>
    <t>复购分销店咖啡机</t>
  </si>
  <si>
    <t>流失至竞品</t>
  </si>
  <si>
    <t>流失至竞品咖啡机</t>
  </si>
  <si>
    <t>&lt;2000</t>
  </si>
  <si>
    <t>老客复购-型号升级</t>
  </si>
  <si>
    <t>型号升级</t>
  </si>
  <si>
    <t>型号升级客</t>
  </si>
  <si>
    <t>环比</t>
  </si>
  <si>
    <t>升级率</t>
  </si>
  <si>
    <t>Nespresso官旗平价咖啡机老客（前365d购买Nes官旗2000元以下咖啡机）</t>
  </si>
  <si>
    <t>店铺2k以下咖啡机老客</t>
  </si>
  <si>
    <t>复购胶囊咖啡</t>
  </si>
  <si>
    <t>本店咖啡机老客-购买本店胶囊咖啡</t>
  </si>
  <si>
    <t>老客</t>
  </si>
  <si>
    <t>复购</t>
  </si>
  <si>
    <t>本店咖啡机老客-购买竞品胶囊咖啡</t>
  </si>
  <si>
    <t>本店咖啡机老客</t>
  </si>
  <si>
    <t>复购本品牌</t>
  </si>
  <si>
    <t>胶囊咖啡机市场老客</t>
  </si>
  <si>
    <t>胶囊咖啡机市场老客-购买胶囊咖啡品类</t>
  </si>
  <si>
    <t>市场胶囊咖啡机老客</t>
  </si>
  <si>
    <t>连带/流失率</t>
  </si>
  <si>
    <t>本店咖啡机&amp;胶囊咖啡-连带率</t>
  </si>
  <si>
    <t>本店咖啡机流失至竞品胶囊咖啡-流失率</t>
  </si>
  <si>
    <t>胶囊咖啡机市场连带胶囊咖啡-连带率benchmark</t>
  </si>
  <si>
    <t>Nespresso近90天对竞品兴趣客抢夺率</t>
  </si>
  <si>
    <t>占比环比变化(pp)</t>
  </si>
  <si>
    <t>同时浏览</t>
  </si>
  <si>
    <t>本品购买人数</t>
  </si>
  <si>
    <t>竞品购买人数</t>
  </si>
  <si>
    <t>购买率(本品vs.竞品)</t>
  </si>
  <si>
    <t>本品竞争力</t>
  </si>
  <si>
    <t>本品购买率</t>
  </si>
  <si>
    <t>竞品购买率</t>
  </si>
  <si>
    <t>starbucks/星巴克</t>
  </si>
  <si>
    <t>Nespresso</t>
  </si>
  <si>
    <t>德龙</t>
  </si>
  <si>
    <t>NESPRESSO/奈斯派索</t>
  </si>
  <si>
    <t>百胜图</t>
  </si>
  <si>
    <t>Nestle/雀巢</t>
  </si>
  <si>
    <t>飞利浦</t>
  </si>
  <si>
    <t>Peet's</t>
  </si>
  <si>
    <t>多趣酷思</t>
  </si>
  <si>
    <t>DOLCE GUSTO</t>
  </si>
  <si>
    <t>格米莱</t>
  </si>
  <si>
    <t>L'OR（法国）</t>
  </si>
  <si>
    <t>柏翠</t>
  </si>
  <si>
    <t>Illy</t>
  </si>
  <si>
    <t>Nescafe/雀巢咖啡</t>
  </si>
  <si>
    <t>LAVAZZA/拉瓦萨</t>
  </si>
  <si>
    <t>咖啡机老客销量净变化</t>
  </si>
  <si>
    <t>transformQty</t>
  </si>
  <si>
    <t>上月</t>
  </si>
  <si>
    <t>name</t>
  </si>
  <si>
    <t>netProfitBrandId</t>
  </si>
  <si>
    <t>净流出品牌TOP5</t>
  </si>
  <si>
    <t>scishare/心想</t>
  </si>
  <si>
    <t>krups</t>
  </si>
  <si>
    <t>MIJIA/米家</t>
  </si>
  <si>
    <t>SUPOR/苏泊尔</t>
  </si>
  <si>
    <t>Donlim/东菱</t>
  </si>
  <si>
    <t>Barsetto/百胜图</t>
  </si>
  <si>
    <t>Omnicup</t>
  </si>
  <si>
    <t>Breville/铂富</t>
  </si>
  <si>
    <t>Delonghi/德龙</t>
  </si>
  <si>
    <t>T-Colors</t>
  </si>
  <si>
    <t>网易严选</t>
  </si>
  <si>
    <t>ONE CUP</t>
  </si>
  <si>
    <t>净流入品牌TOP5</t>
  </si>
  <si>
    <t>DR.COFFEE/咖博士</t>
  </si>
  <si>
    <t>Philips/飞利浦</t>
  </si>
  <si>
    <t>Stelang/雪特朗</t>
  </si>
  <si>
    <t>OTHER</t>
  </si>
  <si>
    <t>Petrus/柏翠</t>
  </si>
  <si>
    <t>百胜图咖啡</t>
  </si>
  <si>
    <t>货</t>
  </si>
  <si>
    <t>咖啡机市场单品格局</t>
  </si>
  <si>
    <t>Top300商品上榜个数</t>
  </si>
  <si>
    <t>咖啡机类型</t>
  </si>
  <si>
    <t>半自动咖啡机</t>
  </si>
  <si>
    <t>全自动咖啡机</t>
  </si>
  <si>
    <t>胶囊咖啡机</t>
  </si>
  <si>
    <t>TOP300中胶囊咖啡机商品个数</t>
  </si>
  <si>
    <t>Top300中胶囊咖啡机交易金额占比</t>
  </si>
  <si>
    <t>月份</t>
  </si>
  <si>
    <t>TOP100中胶囊咖啡机商品个数</t>
  </si>
  <si>
    <t>TOP300中胶囊咖啡机交易金额</t>
  </si>
  <si>
    <t>占比（占咖啡机行业）</t>
  </si>
  <si>
    <t>咖啡机市场单品排名</t>
  </si>
  <si>
    <t>TOP 单品（SPU）</t>
  </si>
  <si>
    <t>销售金额(指数)同比</t>
  </si>
  <si>
    <t>销量(指数)同比</t>
  </si>
  <si>
    <t>价格(指数)同比</t>
  </si>
  <si>
    <t>销售金额(指数) 同比</t>
  </si>
  <si>
    <t>Barsetto/百胜图 BAE02S</t>
  </si>
  <si>
    <t>半自动</t>
  </si>
  <si>
    <t>Delonghi/德龙 E LattePro</t>
  </si>
  <si>
    <t>全自动</t>
  </si>
  <si>
    <t>格米莱 CRM3145</t>
  </si>
  <si>
    <t>Philips/飞利浦 EP3146/82</t>
  </si>
  <si>
    <t>Petrus/柏翠 PE3366</t>
  </si>
  <si>
    <t>Stelang/雪特朗 AC-517E</t>
  </si>
  <si>
    <t>Delonghi/德龙 EC9255.Wl</t>
  </si>
  <si>
    <t>Delonghi/德龙 EC9155.W</t>
  </si>
  <si>
    <t>Delonghi/德龙 ECAM450.86.T</t>
  </si>
  <si>
    <t>Delonghi/德龙 S2</t>
  </si>
  <si>
    <t>店铺Top5咖啡机单品</t>
  </si>
  <si>
    <t>TOP10单品</t>
  </si>
  <si>
    <t>*首图</t>
  </si>
  <si>
    <t>型号系列</t>
  </si>
  <si>
    <t>成交金额</t>
  </si>
  <si>
    <t>GMV占比</t>
  </si>
  <si>
    <t>成交金额同比</t>
  </si>
  <si>
    <t>GMV占比变化</t>
  </si>
  <si>
    <t>去年同期排名</t>
  </si>
  <si>
    <t>客单价同比</t>
  </si>
  <si>
    <t>成交金额_去年同期</t>
  </si>
  <si>
    <t>TOP5</t>
  </si>
  <si>
    <t>场</t>
  </si>
  <si>
    <t>咖啡机流量</t>
  </si>
  <si>
    <t>转化率pp</t>
  </si>
  <si>
    <t>手淘拍立淘</t>
  </si>
  <si>
    <t>咖啡机流量 vs. 竞品</t>
  </si>
  <si>
    <t>格米莱旗舰店</t>
  </si>
  <si>
    <t>Dolce Gusto官方旗舰店</t>
  </si>
  <si>
    <t>总UV</t>
  </si>
  <si>
    <t>UV占比</t>
  </si>
  <si>
    <t>UD品牌投放</t>
  </si>
  <si>
    <t>咖啡机品类搜索词</t>
  </si>
  <si>
    <t>TOP100 搜索词环比增速排名</t>
  </si>
  <si>
    <t>搜索词</t>
  </si>
  <si>
    <t>搜索人数</t>
  </si>
  <si>
    <t>增速</t>
  </si>
  <si>
    <t>咖啡机小型家用</t>
  </si>
  <si>
    <t>德龙咖啡机</t>
  </si>
  <si>
    <t>咖啡机研磨一体</t>
  </si>
  <si>
    <t>全自动咖啡机家用</t>
  </si>
  <si>
    <t>咖啡机 全自动</t>
  </si>
  <si>
    <t>格米莱咖啡机</t>
  </si>
  <si>
    <t>柏翠咖啡机</t>
  </si>
  <si>
    <t>小熊咖啡机</t>
  </si>
  <si>
    <t>咖啡市场大盘数据</t>
  </si>
  <si>
    <t>2023 咖啡市场大盘</t>
  </si>
  <si>
    <t>2022 咖啡市场大盘</t>
  </si>
  <si>
    <t>2022.10</t>
  </si>
  <si>
    <t>品类结构拆解</t>
  </si>
  <si>
    <t>2023 咖啡市场品类拆解</t>
  </si>
  <si>
    <t>2022 咖啡市场品类拆解</t>
  </si>
  <si>
    <t>速溶咖啡</t>
  </si>
  <si>
    <t>咖啡豆</t>
  </si>
  <si>
    <t>挂耳咖啡</t>
  </si>
  <si>
    <t>咖啡液</t>
  </si>
  <si>
    <t>咖啡粉</t>
  </si>
  <si>
    <t>胶囊咖啡市场大盘数据</t>
  </si>
  <si>
    <t>2023 胶囊咖啡市场大盘</t>
  </si>
  <si>
    <t>2022 胶囊咖啡市场大盘</t>
  </si>
  <si>
    <t>胶囊咖啡市场品牌格局</t>
  </si>
  <si>
    <t>全渠道胶囊咖啡市场品牌集中度</t>
  </si>
  <si>
    <t>2022 全渠道胶囊咖啡市场品牌GMV</t>
  </si>
  <si>
    <t>Top3-10</t>
  </si>
  <si>
    <t>全渠道胶囊咖啡市场Top品牌市占率</t>
  </si>
  <si>
    <t>TOP2 品牌</t>
  </si>
  <si>
    <t>胶囊咖啡机市场品牌分销情况</t>
  </si>
  <si>
    <t>胶囊咖啡机品牌官旗控盘率变化</t>
  </si>
  <si>
    <t>胶囊咖啡机品牌官旗&amp;分销增长情况</t>
  </si>
  <si>
    <t>星巴克家享咖啡旗舰店</t>
  </si>
  <si>
    <t>PEET&amp;rsquo;S官方旗舰店</t>
  </si>
  <si>
    <t>隅田川旗舰店</t>
  </si>
  <si>
    <t>lor旗舰店</t>
  </si>
  <si>
    <t>illy旗舰店</t>
  </si>
  <si>
    <t>Nespresso官旗咖啡&amp;胶囊咖啡数据</t>
  </si>
  <si>
    <t>官旗咖啡</t>
  </si>
  <si>
    <t>2023 官旗咖啡</t>
  </si>
  <si>
    <t>2022 官旗咖啡</t>
  </si>
  <si>
    <t>官旗胶囊咖啡</t>
  </si>
  <si>
    <t>2023 官旗胶囊咖啡</t>
  </si>
  <si>
    <t>2022 官旗胶囊咖啡</t>
  </si>
  <si>
    <t>胶囊咖啡占比：</t>
  </si>
  <si>
    <t>胶囊咖啡人群变化</t>
  </si>
  <si>
    <t>胶囊咖啡购买人群画像（Nespresso官旗 vs. 行业）</t>
  </si>
  <si>
    <t>2311店铺胶囊咖啡购买人群</t>
  </si>
  <si>
    <t>2211店铺胶囊咖啡购买人群</t>
  </si>
  <si>
    <t>2311行业胶囊咖啡购买人群</t>
  </si>
  <si>
    <t>2211行业胶囊咖啡购买人群</t>
  </si>
  <si>
    <t>店铺人数同比变化</t>
  </si>
  <si>
    <t>行业人数同比变化</t>
  </si>
  <si>
    <t>策略中心</t>
  </si>
  <si>
    <t>店铺胶囊咖啡新老客情况</t>
  </si>
  <si>
    <t>2023-店铺胶囊咖啡</t>
  </si>
  <si>
    <t>2022-店铺胶囊咖啡</t>
  </si>
  <si>
    <t>胶囊咖啡新客购买人群画像</t>
  </si>
  <si>
    <t>时间</t>
  </si>
  <si>
    <t>2311店铺胶囊咖啡品牌新客</t>
  </si>
  <si>
    <t>2311店铺胶囊咖啡品牌老客</t>
  </si>
  <si>
    <t>店铺胶囊咖啡品牌新客来源</t>
  </si>
  <si>
    <t>叶子类目Top1 (按TGI)</t>
  </si>
  <si>
    <t>厨房电器</t>
  </si>
  <si>
    <t>保健食品/膳食营养补充食品</t>
  </si>
  <si>
    <t>复合维生素/矿物质</t>
  </si>
  <si>
    <t>自用闲置转让</t>
  </si>
  <si>
    <t>店铺胶囊咖啡老客复购</t>
  </si>
  <si>
    <t>老客复购品类</t>
  </si>
  <si>
    <t>老客复购品牌</t>
  </si>
  <si>
    <t>Nespresso近90天胶囊咖啡市场兴趣客抢夺率</t>
  </si>
  <si>
    <t>人数</t>
  </si>
  <si>
    <t>复购率</t>
  </si>
  <si>
    <t>浏览</t>
  </si>
  <si>
    <t>购买率
(本品vs.竞品)</t>
  </si>
  <si>
    <t>Nespresso老客复购人数</t>
  </si>
  <si>
    <t>星巴克</t>
  </si>
  <si>
    <t>Nespresso老客人数</t>
  </si>
  <si>
    <t>星巴克老客复购人数</t>
  </si>
  <si>
    <t>星巴克老客人数</t>
  </si>
  <si>
    <t>illy老客复购人数</t>
  </si>
  <si>
    <t>illy老客人数</t>
  </si>
  <si>
    <t>老客复购品牌（vs.竞品）</t>
  </si>
  <si>
    <t>复购人数环比</t>
  </si>
  <si>
    <t>胶囊咖啡老客复购情况</t>
  </si>
  <si>
    <t>Nespresso官旗胶囊咖啡老客（前365d购买Nes官旗胶囊咖啡）</t>
  </si>
  <si>
    <t>复购本品牌胶囊咖啡</t>
  </si>
  <si>
    <t>流失至竞品胶囊咖啡</t>
  </si>
  <si>
    <t>复购店铺咖啡机</t>
  </si>
  <si>
    <t>市场胶囊咖啡老客（前365d购买胶囊咖啡品类）</t>
  </si>
  <si>
    <t>复购胶囊咖啡机</t>
  </si>
  <si>
    <t>胶囊咖啡人群流失情况</t>
  </si>
  <si>
    <t>市场胶囊咖啡老客复购品牌流向</t>
  </si>
  <si>
    <t>agf</t>
  </si>
  <si>
    <t>TASOGARE/隅田川</t>
  </si>
  <si>
    <t>胶囊咖啡市场单品排名</t>
  </si>
  <si>
    <t>NESPRESSO/奈斯派索 温和淡雅套装</t>
  </si>
  <si>
    <t>NESPRESSO/奈斯派索 全明星15条</t>
  </si>
  <si>
    <t>TASOGARE/隅田川 胶囊组合</t>
  </si>
  <si>
    <t>NESPRESSO/奈斯派索 浓醇一刻15条套装</t>
  </si>
  <si>
    <t>NESPRESSO/奈斯派索 遇意悠长10条</t>
  </si>
  <si>
    <t>NESPRESSO/奈斯派索 人气精选10条</t>
  </si>
  <si>
    <t>starbucks/星巴克 216任选6条</t>
  </si>
  <si>
    <t>Peet's 胶囊装</t>
  </si>
  <si>
    <t>starbucks/星巴克 8口味80粒</t>
  </si>
  <si>
    <t>Nespresso GMV占比</t>
  </si>
  <si>
    <t>店铺Top5胶囊咖啡单品</t>
  </si>
  <si>
    <t>23年11月 店铺Top5单品</t>
  </si>
  <si>
    <t>22年10月 店铺Top5单品</t>
  </si>
  <si>
    <t>TOP5单品</t>
  </si>
  <si>
    <t>胶囊颗数</t>
  </si>
  <si>
    <t>胶囊咖啡流量</t>
  </si>
  <si>
    <t>品牌特秀</t>
  </si>
  <si>
    <t>胶囊咖啡流量 vs. 竞品</t>
  </si>
  <si>
    <t>一级渠道分布</t>
  </si>
  <si>
    <t>PEET’S官方旗舰店</t>
  </si>
  <si>
    <t>胶囊咖啡品类搜索词</t>
  </si>
  <si>
    <t>咖啡胶囊</t>
  </si>
  <si>
    <t>星巴克胶囊咖啡</t>
  </si>
  <si>
    <t>雀巢胶囊咖啡</t>
  </si>
  <si>
    <t>胶囊咖啡 胶囊</t>
  </si>
  <si>
    <t>雀巢咖啡胶囊</t>
  </si>
  <si>
    <t>多趣酷思胶囊</t>
  </si>
  <si>
    <t>illy咖啡胶囊</t>
  </si>
  <si>
    <t>时间范围</t>
  </si>
  <si>
    <t>支付金额_同比值</t>
  </si>
  <si>
    <t>支付买家数_同比值</t>
  </si>
  <si>
    <t>访客数_同比值</t>
  </si>
  <si>
    <t>支付件数_同比值</t>
  </si>
  <si>
    <t>支付转化率_同比值</t>
  </si>
  <si>
    <t>客单价_同比值</t>
  </si>
  <si>
    <t>件单价_同比值</t>
  </si>
  <si>
    <t>支付金额_同比</t>
  </si>
  <si>
    <t>支付买家数_同比</t>
  </si>
  <si>
    <t>访客数_同比</t>
  </si>
  <si>
    <t>支付件数_同比</t>
  </si>
  <si>
    <t>支付转化率_同比</t>
  </si>
  <si>
    <t>客单价_同比</t>
  </si>
  <si>
    <t>件单价_同比</t>
  </si>
  <si>
    <t>新客gmv</t>
  </si>
  <si>
    <t>老客gmv</t>
  </si>
  <si>
    <t>新客gmv_同比值</t>
  </si>
  <si>
    <t>新客人数_同比值</t>
  </si>
  <si>
    <t>新客客单价_同比值</t>
  </si>
  <si>
    <t>老客gmv_同比值</t>
  </si>
  <si>
    <t>老客人数_同比值</t>
  </si>
  <si>
    <t>老客客单价_同比值</t>
  </si>
  <si>
    <t>新客gmv_同比</t>
  </si>
  <si>
    <t>新客人数_同比</t>
  </si>
  <si>
    <t>新客客单价_同比</t>
  </si>
  <si>
    <t>老客gmv_同比</t>
  </si>
  <si>
    <t>老客人数_同比</t>
  </si>
  <si>
    <t>老客客单价_同比</t>
  </si>
  <si>
    <t>新客gmv占比增幅</t>
  </si>
  <si>
    <t>新客人数占比增幅</t>
  </si>
  <si>
    <t>老客gmv占比增幅</t>
  </si>
  <si>
    <t>老客人数占比增幅</t>
  </si>
  <si>
    <t>支付金额_咖啡机</t>
  </si>
  <si>
    <t>支付金额_咖啡</t>
  </si>
  <si>
    <t>支付金额_胶囊咖啡</t>
  </si>
  <si>
    <t>支付金额_其他咖啡</t>
  </si>
  <si>
    <t>支付金额_其他</t>
  </si>
  <si>
    <t>支付金额_咖啡机_占比</t>
  </si>
  <si>
    <t>支付金额_咖啡_占比</t>
  </si>
  <si>
    <t>支付金额_胶囊咖啡_占比</t>
  </si>
  <si>
    <t>支付金额_其他咖啡_占比</t>
  </si>
  <si>
    <t>支付金额_其他_占比</t>
  </si>
  <si>
    <t>支付买家数_咖啡机</t>
  </si>
  <si>
    <t>支付买家数_咖啡</t>
  </si>
  <si>
    <t>支付买家数_胶囊咖啡</t>
  </si>
  <si>
    <t>支付买家数_其他咖啡</t>
  </si>
  <si>
    <t>支付买家数_其他</t>
  </si>
  <si>
    <t>支付买家数_咖啡机_占比all</t>
  </si>
  <si>
    <t>支付买家数_咖啡_占比all</t>
  </si>
  <si>
    <t>支付买家数_胶囊咖啡_占比all</t>
  </si>
  <si>
    <t>支付买家数_其他咖啡_占比all</t>
  </si>
  <si>
    <t>支付买家数_其他_占比all</t>
  </si>
  <si>
    <t>支付买家数_咖啡机_占比</t>
  </si>
  <si>
    <t>支付买家数_胶囊咖啡_占比</t>
  </si>
  <si>
    <t>支付买家数_其他咖啡_占比</t>
  </si>
  <si>
    <t>客单价_咖啡机</t>
  </si>
  <si>
    <t>客单价_咖啡</t>
  </si>
  <si>
    <t>客单价_胶囊咖啡</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</si>
  <si>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</si>
  <si>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</si>
  <si>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</si>
  <si>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</si>
  <si>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</si>
  <si>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</si>
  <si>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</si>
  <si>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</si>
  <si>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</si>
  <si>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</si>
  <si>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</si>
  <si>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</si>
  <si>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</si>
  <si>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</si>
  <si>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</si>
  <si>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</si>
  <si>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</si>
  <si>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</si>
  <si>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</si>
  <si>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</si>
  <si>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</si>
  <si>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</si>
  <si>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</si>
  <si>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</si>
  <si>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chl</t>
  </si>
  <si>
    <t>访客数_同比月</t>
  </si>
  <si>
    <t>访客数_本月</t>
  </si>
  <si>
    <t>支付转化率_同比月</t>
  </si>
  <si>
    <t>支付转化率_本月</t>
  </si>
  <si>
    <t>支付人数_同比月</t>
  </si>
  <si>
    <t>支付人数_本月</t>
  </si>
  <si>
    <t>支付人数_同比</t>
  </si>
  <si>
    <t>rk_uv</t>
  </si>
  <si>
    <t>rk_ad</t>
  </si>
  <si>
    <t>平台流量-汇总-汇总</t>
  </si>
  <si>
    <t>平台流量-手淘搜索-汇总</t>
  </si>
  <si>
    <t>平台流量-手淘淘宝直播-汇总</t>
  </si>
  <si>
    <t>平台流量-手淘推荐-汇总</t>
  </si>
  <si>
    <t>平台流量-我的淘宝-汇总</t>
  </si>
  <si>
    <t>平台流量-购物车-汇总</t>
  </si>
  <si>
    <t>平台流量-淘内待分类-汇总</t>
  </si>
  <si>
    <t>首页推荐-直播</t>
  </si>
  <si>
    <t>平台流量-手淘推荐-首页推荐-直播</t>
  </si>
  <si>
    <t>平台流量-手淘拍立淘-汇总</t>
  </si>
  <si>
    <t>首页推荐-微详情</t>
  </si>
  <si>
    <t>平台流量-手淘推荐-首页推荐-微详情</t>
  </si>
  <si>
    <t>逛逛</t>
  </si>
  <si>
    <t>平台流量-逛逛-汇总</t>
  </si>
  <si>
    <t>平台流量-手淘旺信-汇总</t>
  </si>
  <si>
    <t>其他猜你喜欢</t>
  </si>
  <si>
    <t>平台流量-手淘推荐-其他猜你喜欢</t>
  </si>
  <si>
    <t>天猫榜单</t>
  </si>
  <si>
    <t>平台流量-天猫榜单-汇总</t>
  </si>
  <si>
    <t>关注</t>
  </si>
  <si>
    <t>平台流量-关注-汇总</t>
  </si>
  <si>
    <t>百亿补贴</t>
  </si>
  <si>
    <t>平台流量-百亿补贴-汇总</t>
  </si>
  <si>
    <t>短视频全屏页上下滑</t>
  </si>
  <si>
    <t>平台流量-短视频全屏页上下滑-汇总</t>
  </si>
  <si>
    <t>手淘其他店铺</t>
  </si>
  <si>
    <t>平台流量-手淘其他店铺-汇总</t>
  </si>
  <si>
    <t>手机天猫</t>
  </si>
  <si>
    <t>平台流量-手机天猫-汇总</t>
  </si>
  <si>
    <t>首页推荐-短视频</t>
  </si>
  <si>
    <t>平台流量-手淘推荐-首页推荐-短视频</t>
  </si>
  <si>
    <t>日常营销活动</t>
  </si>
  <si>
    <t>平台流量-日常营销活动-汇总</t>
  </si>
  <si>
    <t>一淘</t>
  </si>
  <si>
    <t>平台流量-一淘-汇总</t>
  </si>
  <si>
    <t>淘口令分享</t>
  </si>
  <si>
    <t>平台流量-淘口令分享-汇总</t>
  </si>
  <si>
    <t>店铺超链</t>
  </si>
  <si>
    <t>平台流量-手淘其他店铺-店铺超链</t>
  </si>
  <si>
    <t>商品详情页头图推荐</t>
  </si>
  <si>
    <t>平台流量-手淘其他店铺-商品详情页头图推荐</t>
  </si>
  <si>
    <t>手猫搜索</t>
  </si>
  <si>
    <t>平台流量-手机天猫-手猫搜索</t>
  </si>
  <si>
    <t>淘外网站</t>
  </si>
  <si>
    <t>平台流量-淘外网站-汇总</t>
  </si>
  <si>
    <t>手淘消息中心</t>
  </si>
  <si>
    <t>平台流量-手淘消息中心-汇总</t>
  </si>
  <si>
    <t>购后推荐</t>
  </si>
  <si>
    <t>平台流量-手淘推荐-购后推荐</t>
  </si>
  <si>
    <t>其他入口榜单</t>
  </si>
  <si>
    <t>平台流量-天猫榜单-其他入口榜单</t>
  </si>
  <si>
    <t>手淘问大家</t>
  </si>
  <si>
    <t>平台流量-手淘问大家-汇总</t>
  </si>
  <si>
    <t>手猫免费其他</t>
  </si>
  <si>
    <t>平台流量-手机天猫-手猫免费其他</t>
  </si>
  <si>
    <t>直接访问</t>
  </si>
  <si>
    <t>平台流量-直接访问-汇总</t>
  </si>
  <si>
    <t>芭芭农场</t>
  </si>
  <si>
    <t>平台流量-芭芭农场-汇总</t>
  </si>
  <si>
    <t>大促会场</t>
  </si>
  <si>
    <t>平台流量-大促会场-汇总</t>
  </si>
  <si>
    <t>聚划算会场</t>
  </si>
  <si>
    <t>平台流量-聚划算会场-汇总</t>
  </si>
  <si>
    <t>榜单会场</t>
  </si>
  <si>
    <t>平台流量-大促会场-榜单会场</t>
  </si>
  <si>
    <t>手猫首页</t>
  </si>
  <si>
    <t>平台流量-手机天猫-手猫首页</t>
  </si>
  <si>
    <t>闲鱼</t>
  </si>
  <si>
    <t>平台流量-闲鱼-汇总</t>
  </si>
  <si>
    <t>手机浏览器访问淘宝</t>
  </si>
  <si>
    <t>平台流量-手机浏览器访问淘宝-汇总</t>
  </si>
  <si>
    <t>购中推荐</t>
  </si>
  <si>
    <t>平台流量-手淘推荐-购中推荐</t>
  </si>
  <si>
    <t>手猫商品详情</t>
  </si>
  <si>
    <t>平台流量-手机天猫-手猫商品详情</t>
  </si>
  <si>
    <t>手猫其他店铺</t>
  </si>
  <si>
    <t>平台流量-手机天猫-手猫其他店铺</t>
  </si>
  <si>
    <t>手机浏览器访问天猫</t>
  </si>
  <si>
    <t>平台流量-手机天猫-手机浏览器访问天猫</t>
  </si>
  <si>
    <t>淘宝特价版</t>
  </si>
  <si>
    <t>平台流量-淘宝特价版-汇总</t>
  </si>
  <si>
    <t>淘宝跨境站点</t>
  </si>
  <si>
    <t>平台流量-淘宝跨境站点-汇总</t>
  </si>
  <si>
    <t>主会场</t>
  </si>
  <si>
    <t>平台流量-大促会场-主会场</t>
  </si>
  <si>
    <t>手淘我的评价</t>
  </si>
  <si>
    <t>平台流量-手淘我的评价-汇总</t>
  </si>
  <si>
    <t>天猫U先试用</t>
  </si>
  <si>
    <t>平台流量-天猫U先试用-汇总</t>
  </si>
  <si>
    <t>天猫小黑盒</t>
  </si>
  <si>
    <t>平台流量-天猫小黑盒-汇总</t>
  </si>
  <si>
    <t>手猫消息中心</t>
  </si>
  <si>
    <t>平台流量-手机天猫-手猫消息中心</t>
  </si>
  <si>
    <t>天猫关注</t>
  </si>
  <si>
    <t>平台流量-天猫关注-汇总</t>
  </si>
  <si>
    <t>手猫旺信聊天</t>
  </si>
  <si>
    <t>平台流量-手机天猫-手猫旺信聊天</t>
  </si>
  <si>
    <t>手淘淘金币</t>
  </si>
  <si>
    <t>平台流量-手淘淘金币-汇总</t>
  </si>
  <si>
    <t>红包省钱卡</t>
  </si>
  <si>
    <t>平台流量-红包省钱卡-汇总</t>
  </si>
  <si>
    <t>每日好店</t>
  </si>
  <si>
    <t>平台流量-每日好店-汇总</t>
  </si>
  <si>
    <t>手淘有好货</t>
  </si>
  <si>
    <t>平台流量-手淘有好货-汇总</t>
  </si>
  <si>
    <t>手淘充值</t>
  </si>
  <si>
    <t>平台流量-手淘充值-汇总</t>
  </si>
  <si>
    <t>88VIP频道</t>
  </si>
  <si>
    <t>平台流量-88VIP频道-汇总</t>
  </si>
  <si>
    <t>阿里拍卖</t>
  </si>
  <si>
    <t>平台流量-阿里拍卖-汇总</t>
  </si>
  <si>
    <t>飞猪</t>
  </si>
  <si>
    <t>平台流量-飞猪-汇总</t>
  </si>
  <si>
    <t>淘工厂直营</t>
  </si>
  <si>
    <t>平台流量-淘工厂直营-汇总</t>
  </si>
  <si>
    <t>天猫超市</t>
  </si>
  <si>
    <t>平台流量-天猫超市-汇总</t>
  </si>
  <si>
    <t>手淘有好价</t>
  </si>
  <si>
    <t>平台流量-手淘有好价-汇总</t>
  </si>
  <si>
    <t>裂变券引流</t>
  </si>
  <si>
    <t>平台流量-裂变券引流-汇总</t>
  </si>
  <si>
    <t>广告流量-汇总-汇总</t>
  </si>
  <si>
    <t>广告流量-效果广告-汇总</t>
  </si>
  <si>
    <t>广告流量-效果广告-万相台</t>
  </si>
  <si>
    <t>广告流量-效果广告-引力魔方</t>
  </si>
  <si>
    <t>广告流量-内容广告-汇总</t>
  </si>
  <si>
    <t>广告流量-内容广告-超级短视频</t>
  </si>
  <si>
    <t>广告流量-效果广告-直通车</t>
  </si>
  <si>
    <t>广告流量-品牌广告-汇总</t>
  </si>
  <si>
    <t>广告流量-品牌广告-品销宝- 品牌专区</t>
  </si>
  <si>
    <t>广告流量-站外广告-汇总</t>
  </si>
  <si>
    <t>广告流量-站外广告-淘宝客</t>
  </si>
  <si>
    <t>广告流量-内容广告-超级直播</t>
  </si>
  <si>
    <t>广告流量-站外广告-UD效果投放</t>
  </si>
  <si>
    <t>广告流量-品牌广告-品销宝- 明星店铺</t>
  </si>
  <si>
    <t>广告流量-站外广告-流量宝</t>
  </si>
  <si>
    <t>类目</t>
  </si>
  <si>
    <t>ctds</t>
  </si>
  <si>
    <t>商品访客数</t>
  </si>
  <si>
    <t>商品访客数_同比值</t>
  </si>
  <si>
    <t>商品访客数_同比</t>
  </si>
  <si>
    <t>咖啡-2022.01</t>
  </si>
  <si>
    <t>咖啡-2022.02</t>
  </si>
  <si>
    <t>咖啡-2022.03</t>
  </si>
  <si>
    <t>咖啡-2022.04</t>
  </si>
  <si>
    <t>咖啡-2022.05</t>
  </si>
  <si>
    <t>咖啡-2022.06</t>
  </si>
  <si>
    <t>咖啡-2022.07</t>
  </si>
  <si>
    <t>咖啡-2022.08</t>
  </si>
  <si>
    <t>咖啡-2022.09</t>
  </si>
  <si>
    <t>咖啡-2022.10</t>
  </si>
  <si>
    <t>咖啡-2022.11</t>
  </si>
  <si>
    <t>咖啡-2022.12</t>
  </si>
  <si>
    <t>咖啡-2023.01</t>
  </si>
  <si>
    <t>咖啡-2023.02</t>
  </si>
  <si>
    <t>咖啡-2023.03</t>
  </si>
  <si>
    <t>咖啡-2023.04</t>
  </si>
  <si>
    <t>咖啡-2023.05</t>
  </si>
  <si>
    <t>咖啡-2023.06</t>
  </si>
  <si>
    <t>咖啡-2023.07</t>
  </si>
  <si>
    <t>咖啡-2023.08</t>
  </si>
  <si>
    <t>咖啡-2023.09</t>
  </si>
  <si>
    <t>咖啡-2023.10</t>
  </si>
  <si>
    <t>咖啡-2023.11</t>
  </si>
  <si>
    <t>咖啡-2023.12</t>
  </si>
  <si>
    <t>咖啡机-2022.01</t>
  </si>
  <si>
    <t>咖啡机-2022.02</t>
  </si>
  <si>
    <t>咖啡机-2022.03</t>
  </si>
  <si>
    <t>咖啡机-2022.04</t>
  </si>
  <si>
    <t>咖啡机-2022.05</t>
  </si>
  <si>
    <t>咖啡机-2022.06</t>
  </si>
  <si>
    <t>咖啡机-2022.07</t>
  </si>
  <si>
    <t>咖啡机-2022.08</t>
  </si>
  <si>
    <t>咖啡机-2022.09</t>
  </si>
  <si>
    <t>咖啡机-2022.10</t>
  </si>
  <si>
    <t>咖啡机-2022.11</t>
  </si>
  <si>
    <t>咖啡机-2022.12</t>
  </si>
  <si>
    <t>咖啡机-2023.01</t>
  </si>
  <si>
    <t>咖啡机-2023.02</t>
  </si>
  <si>
    <t>咖啡机-2023.03</t>
  </si>
  <si>
    <t>咖啡机-2023.04</t>
  </si>
  <si>
    <t>咖啡机-2023.05</t>
  </si>
  <si>
    <t>咖啡机-2023.06</t>
  </si>
  <si>
    <t>咖啡机-2023.07</t>
  </si>
  <si>
    <t>咖啡机-2023.08</t>
  </si>
  <si>
    <t>咖啡机-2023.09</t>
  </si>
  <si>
    <t>咖啡机-2023.10</t>
  </si>
  <si>
    <t>咖啡机-2023.11</t>
  </si>
  <si>
    <t>咖啡机-2023.12</t>
  </si>
  <si>
    <t>胶囊咖啡-2022.01</t>
  </si>
  <si>
    <t>胶囊咖啡-2022.02</t>
  </si>
  <si>
    <t>胶囊咖啡-2022.03</t>
  </si>
  <si>
    <t>胶囊咖啡-2022.04</t>
  </si>
  <si>
    <t>胶囊咖啡-2022.05</t>
  </si>
  <si>
    <t>胶囊咖啡-2022.06</t>
  </si>
  <si>
    <t>胶囊咖啡-2022.07</t>
  </si>
  <si>
    <t>胶囊咖啡-2022.08</t>
  </si>
  <si>
    <t>胶囊咖啡-2022.09</t>
  </si>
  <si>
    <t>胶囊咖啡-2022.10</t>
  </si>
  <si>
    <t>胶囊咖啡-2022.11</t>
  </si>
  <si>
    <t>胶囊咖啡-2022.12</t>
  </si>
  <si>
    <t>胶囊咖啡-2023.01</t>
  </si>
  <si>
    <t>胶囊咖啡-2023.02</t>
  </si>
  <si>
    <t>胶囊咖啡-2023.03</t>
  </si>
  <si>
    <t>胶囊咖啡-2023.04</t>
  </si>
  <si>
    <t>胶囊咖啡-2023.05</t>
  </si>
  <si>
    <t>胶囊咖啡-2023.06</t>
  </si>
  <si>
    <t>胶囊咖啡-2023.07</t>
  </si>
  <si>
    <t>胶囊咖啡-2023.08</t>
  </si>
  <si>
    <t>胶囊咖啡-2023.09</t>
  </si>
  <si>
    <t>胶囊咖啡-2023.10</t>
  </si>
  <si>
    <t>胶囊咖啡-2023.11</t>
  </si>
  <si>
    <t>胶囊咖啡-2023.12</t>
  </si>
  <si>
    <t>ctchl</t>
  </si>
  <si>
    <t>咖啡机-平台流量-汇总-汇总</t>
  </si>
  <si>
    <t>咖啡机-平台流量-手淘搜索-汇总</t>
  </si>
  <si>
    <t>咖啡机-平台流量-手淘淘宝直播-汇总</t>
  </si>
  <si>
    <t>咖啡机-平台流量-我的淘宝-汇总</t>
  </si>
  <si>
    <t>咖啡机-平台流量-购物车-汇总</t>
  </si>
  <si>
    <t>咖啡机-平台流量-手淘拍立淘-汇总</t>
  </si>
  <si>
    <t>咖啡机-平台流量-淘内待分类-汇总</t>
  </si>
  <si>
    <t>咖啡机-平台流量-手淘旺信-汇总</t>
  </si>
  <si>
    <t>咖啡机-平台流量-手淘推荐-汇总</t>
  </si>
  <si>
    <t>咖啡机-平台流量-逛逛-汇总</t>
  </si>
  <si>
    <t>咖啡机-平台流量-天猫榜单-汇总</t>
  </si>
  <si>
    <t>咖啡机-平台流量-手淘推荐-其他猜你喜欢</t>
  </si>
  <si>
    <t>咖啡机-平台流量-短视频全屏页上下滑-汇总</t>
  </si>
  <si>
    <t>咖啡机-平台流量-手淘推荐-首页推荐-微详情</t>
  </si>
  <si>
    <t>搜索入口榜单</t>
  </si>
  <si>
    <t>平台流量-天猫榜单-搜索入口榜单</t>
  </si>
  <si>
    <t>咖啡机-平台流量-天猫榜单-搜索入口榜单</t>
  </si>
  <si>
    <t>咖啡机-平台流量-淘口令分享-汇总</t>
  </si>
  <si>
    <t>咖啡机-平台流量-手淘其他店铺-汇总</t>
  </si>
  <si>
    <t>咖啡机-平台流量-手机天猫-汇总</t>
  </si>
  <si>
    <t>咖啡机-平台流量-淘外网站-汇总</t>
  </si>
  <si>
    <t>咖啡机-平台流量-日常营销活动-汇总</t>
  </si>
  <si>
    <t>商品详情页入口榜单</t>
  </si>
  <si>
    <t>平台流量-天猫榜单-商品详情页入口榜单</t>
  </si>
  <si>
    <t>咖啡机-平台流量-天猫榜单-商品详情页入口榜单</t>
  </si>
  <si>
    <t>咖啡机-平台流量-手机天猫-手猫搜索</t>
  </si>
  <si>
    <t>咖啡机-平台流量-手淘其他店铺-商品详情页头图推荐</t>
  </si>
  <si>
    <t>咖啡机-平台流量-一淘-汇总</t>
  </si>
  <si>
    <t>咖啡机-平台流量-天猫榜单-其他入口榜单</t>
  </si>
  <si>
    <t>咖啡机-平台流量-手淘消息中心-汇总</t>
  </si>
  <si>
    <t>咖啡机-平台流量-手淘问大家-汇总</t>
  </si>
  <si>
    <t>咖啡机-平台流量-直接访问-汇总</t>
  </si>
  <si>
    <t>咖啡机-平台流量-手淘其他店铺-店铺超链</t>
  </si>
  <si>
    <t>咖啡机-平台流量-闲鱼-汇总</t>
  </si>
  <si>
    <t>咖啡机-平台流量-手淘推荐-首页推荐-直播</t>
  </si>
  <si>
    <t>咖啡机-平台流量-芭芭农场-汇总</t>
  </si>
  <si>
    <t>咖啡机-平台流量-手机天猫-手猫免费其他</t>
  </si>
  <si>
    <t>咖啡机-平台流量-手机浏览器访问淘宝-汇总</t>
  </si>
  <si>
    <t>咖啡机-平台流量-手机天猫-手猫首页</t>
  </si>
  <si>
    <t>咖啡机-平台流量-大促会场-汇总</t>
  </si>
  <si>
    <t>咖啡机-平台流量-手淘推荐-购后推荐</t>
  </si>
  <si>
    <t>咖啡机-平台流量-手机天猫-手猫商品详情</t>
  </si>
  <si>
    <t>咖啡机-平台流量-手机天猫-手猫其他店铺</t>
  </si>
  <si>
    <t>咖啡机-平台流量-手机天猫-手机浏览器访问天猫</t>
  </si>
  <si>
    <t>咖啡机-平台流量-淘宝特价版-汇总</t>
  </si>
  <si>
    <t>咖啡机-平台流量-手淘我的评价-汇总</t>
  </si>
  <si>
    <t>咖啡机-平台流量-天猫关注-汇总</t>
  </si>
  <si>
    <t>咖啡机-平台流量-天猫小黑盒-汇总</t>
  </si>
  <si>
    <t>咖啡机-平台流量-手机天猫-手猫旺信聊天</t>
  </si>
  <si>
    <t>咖啡机-平台流量-手淘推荐-购中推荐</t>
  </si>
  <si>
    <t>咖啡机-平台流量-手机天猫-手猫消息中心</t>
  </si>
  <si>
    <t>咖啡机-平台流量-红包省钱卡-汇总</t>
  </si>
  <si>
    <t>咖啡机-平台流量-淘宝跨境站点-汇总</t>
  </si>
  <si>
    <t>咖啡机-平台流量-手淘有好货-汇总</t>
  </si>
  <si>
    <t>咖啡机-平台流量-手淘充值-汇总</t>
  </si>
  <si>
    <t>咖啡机-平台流量-每日好店-汇总</t>
  </si>
  <si>
    <t>咖啡机-平台流量-大促会场-主会场</t>
  </si>
  <si>
    <t>咖啡机-平台流量-手淘淘金币-汇总</t>
  </si>
  <si>
    <t>咖啡机-平台流量-手淘推荐-首页推荐-短视频</t>
  </si>
  <si>
    <t>咖啡机-平台流量-88VIP频道-汇总</t>
  </si>
  <si>
    <t>咖啡机-平台流量-天猫U先试用-汇总</t>
  </si>
  <si>
    <t>咖啡机-平台流量-手淘有好价-汇总</t>
  </si>
  <si>
    <t>推荐云主题</t>
  </si>
  <si>
    <t>平台流量-手淘推荐-推荐云主题</t>
  </si>
  <si>
    <t>咖啡机-平台流量-手淘推荐-推荐云主题</t>
  </si>
  <si>
    <t>手猫扫码</t>
  </si>
  <si>
    <t>平台流量-手机天猫-手猫扫码</t>
  </si>
  <si>
    <t>咖啡机-平台流量-手机天猫-手猫扫码</t>
  </si>
  <si>
    <t>咖啡机-平台流量-淘工厂直营-汇总</t>
  </si>
  <si>
    <t>淘鲜达</t>
  </si>
  <si>
    <t>平台流量-淘鲜达-汇总</t>
  </si>
  <si>
    <t>咖啡机-平台流量-淘鲜达-汇总</t>
  </si>
  <si>
    <t>盒马</t>
  </si>
  <si>
    <t>平台流量-盒马-汇总</t>
  </si>
  <si>
    <t>咖啡机-平台流量-盒马-汇总</t>
  </si>
  <si>
    <t>手猫开屏</t>
  </si>
  <si>
    <t>平台流量-手机天猫-手猫开屏</t>
  </si>
  <si>
    <t>咖啡机-平台流量-手机天猫-手猫开屏</t>
  </si>
  <si>
    <t>手猫天猫快抢购</t>
  </si>
  <si>
    <t>平台流量-手机天猫-手猫天猫快抢购</t>
  </si>
  <si>
    <t>咖啡机-平台流量-手机天猫-手猫天猫快抢购</t>
  </si>
  <si>
    <t>手猫天猫好物</t>
  </si>
  <si>
    <t>平台流量-手机天猫-手猫天猫好物</t>
  </si>
  <si>
    <t>咖啡机-平台流量-手机天猫-手猫天猫好物</t>
  </si>
  <si>
    <t>红包签到</t>
  </si>
  <si>
    <t>平台流量-红包签到-汇总</t>
  </si>
  <si>
    <t>咖啡机-平台流量-红包签到-汇总</t>
  </si>
  <si>
    <t>手猫天猫国际</t>
  </si>
  <si>
    <t>平台流量-手机天猫-手猫天猫国际</t>
  </si>
  <si>
    <t>咖啡机-平台流量-手机天猫-手猫天猫国际</t>
  </si>
  <si>
    <t>咖啡机-平台流量-裂变券引流-汇总</t>
  </si>
  <si>
    <t>热点会场</t>
  </si>
  <si>
    <t>平台流量-大促会场-热点会场</t>
  </si>
  <si>
    <t>咖啡机-平台流量-大促会场-热点会场</t>
  </si>
  <si>
    <t>榜单会场-必买榜</t>
  </si>
  <si>
    <t>平台流量-大促会场-榜单会场-必买榜</t>
  </si>
  <si>
    <t>咖啡机-平台流量-大促会场-榜单会场-必买榜</t>
  </si>
  <si>
    <t>阿里妈妈权益会场</t>
  </si>
  <si>
    <t>平台流量-阿里妈妈权益会场-汇总</t>
  </si>
  <si>
    <t>咖啡机-平台流量-阿里妈妈权益会场-汇总</t>
  </si>
  <si>
    <t>咖啡机-平台流量-阿里拍卖-汇总</t>
  </si>
  <si>
    <t>领券中心</t>
  </si>
  <si>
    <t>平台流量-领券中心-汇总</t>
  </si>
  <si>
    <t>咖啡机-平台流量-领券中心-汇总</t>
  </si>
  <si>
    <t>咖啡机-平台流量-飞猪-汇总</t>
  </si>
  <si>
    <t>飞猪首页</t>
  </si>
  <si>
    <t>平台流量-飞猪-飞猪首页</t>
  </si>
  <si>
    <t>咖啡机-平台流量-飞猪-飞猪首页</t>
  </si>
  <si>
    <t>全民寻宝</t>
  </si>
  <si>
    <t>平台流量-全民寻宝-汇总</t>
  </si>
  <si>
    <t>咖啡机-平台流量-全民寻宝-汇总</t>
  </si>
  <si>
    <t>分享购物车活动</t>
  </si>
  <si>
    <t>平台流量-分享购物车活动-汇总</t>
  </si>
  <si>
    <t>咖啡机-平台流量-分享购物车活动-汇总</t>
  </si>
  <si>
    <t>品牌新享频道</t>
  </si>
  <si>
    <t>平台流量-品牌新享频道-汇总</t>
  </si>
  <si>
    <t>咖啡机-平台流量-品牌新享频道-汇总</t>
  </si>
  <si>
    <t>品牌福利中心</t>
  </si>
  <si>
    <t>平台流量-品牌福利中心-汇总</t>
  </si>
  <si>
    <t>咖啡机-平台流量-品牌福利中心-汇总</t>
  </si>
  <si>
    <t>飞猪频道</t>
  </si>
  <si>
    <t>平台流量-飞猪-飞猪频道</t>
  </si>
  <si>
    <t>咖啡机-平台流量-飞猪-飞猪频道</t>
  </si>
  <si>
    <t>大麦</t>
  </si>
  <si>
    <t>平台流量-大麦-汇总</t>
  </si>
  <si>
    <t>咖啡机-平台流量-大麦-汇总</t>
  </si>
  <si>
    <t>飞猪酒店频道</t>
  </si>
  <si>
    <t>平台流量-飞猪-飞猪酒店频道</t>
  </si>
  <si>
    <t>咖啡机-平台流量-飞猪-飞猪酒店频道</t>
  </si>
  <si>
    <t>天猫好房</t>
  </si>
  <si>
    <t>平台流量-天猫好房-汇总</t>
  </si>
  <si>
    <t>咖啡机-平台流量-天猫好房-汇总</t>
  </si>
  <si>
    <t>飞猪超级新发线</t>
  </si>
  <si>
    <t>平台流量-飞猪-飞猪超级新发线</t>
  </si>
  <si>
    <t>咖啡机-平台流量-飞猪-飞猪超级新发线</t>
  </si>
  <si>
    <t>飞猪订单</t>
  </si>
  <si>
    <t>平台流量-飞猪-飞猪订单</t>
  </si>
  <si>
    <t>咖啡机-平台流量-飞猪-飞猪订单</t>
  </si>
  <si>
    <t>天猫热点</t>
  </si>
  <si>
    <t>平台流量-天猫热点-汇总</t>
  </si>
  <si>
    <t>咖啡机-平台流量-天猫热点-汇总</t>
  </si>
  <si>
    <t>咖啡机-平台流量-天猫超市-汇总</t>
  </si>
  <si>
    <t>天猫超级品类日</t>
  </si>
  <si>
    <t>平台流量-天猫超级品类日-汇总</t>
  </si>
  <si>
    <t>咖啡机-平台流量-天猫超级品类日-汇总</t>
  </si>
  <si>
    <t>飞猪行程</t>
  </si>
  <si>
    <t>平台流量-飞猪-飞猪行程</t>
  </si>
  <si>
    <t>咖啡机-平台流量-飞猪-飞猪行程</t>
  </si>
  <si>
    <t>飞猪福利中心</t>
  </si>
  <si>
    <t>平台流量-飞猪-飞猪福利中心</t>
  </si>
  <si>
    <t>咖啡机-平台流量-飞猪-飞猪福利中心</t>
  </si>
  <si>
    <t>飞猪直播</t>
  </si>
  <si>
    <t>平台流量-飞猪-飞猪直播</t>
  </si>
  <si>
    <t>咖啡机-平台流量-飞猪-飞猪直播</t>
  </si>
  <si>
    <t>手淘买家秀</t>
  </si>
  <si>
    <t>平台流量-手淘买家秀-汇总</t>
  </si>
  <si>
    <t>咖啡机-平台流量-手淘买家秀-汇总</t>
  </si>
  <si>
    <t>手淘买手圈</t>
  </si>
  <si>
    <t>平台流量-手淘买手圈-汇总</t>
  </si>
  <si>
    <t>咖啡机-平台流量-手淘买手圈-汇总</t>
  </si>
  <si>
    <t>手淘会员俱乐部</t>
  </si>
  <si>
    <t>平台流量-手淘会员俱乐部-汇总</t>
  </si>
  <si>
    <t>咖啡机-平台流量-手淘会员俱乐部-汇总</t>
  </si>
  <si>
    <t>飞猪目的地</t>
  </si>
  <si>
    <t>平台流量-飞猪-飞猪目的地</t>
  </si>
  <si>
    <t>咖啡机-平台流量-飞猪-飞猪目的地</t>
  </si>
  <si>
    <t>手淘全球购频道</t>
  </si>
  <si>
    <t>平台流量-手淘全球购频道-汇总</t>
  </si>
  <si>
    <t>咖啡机-平台流量-手淘全球购频道-汇总</t>
  </si>
  <si>
    <t>飞猪特价</t>
  </si>
  <si>
    <t>平台流量-飞猪-飞猪特价</t>
  </si>
  <si>
    <t>咖啡机-平台流量-飞猪-飞猪特价</t>
  </si>
  <si>
    <t>手淘分类导航</t>
  </si>
  <si>
    <t>平台流量-手淘分类导航-汇总</t>
  </si>
  <si>
    <t>咖啡机-平台流量-手淘分类导航-汇总</t>
  </si>
  <si>
    <t>手淘发现</t>
  </si>
  <si>
    <t>平台流量-手淘发现-汇总</t>
  </si>
  <si>
    <t>咖啡机-平台流量-手淘发现-汇总</t>
  </si>
  <si>
    <t>手淘发表评价</t>
  </si>
  <si>
    <t>平台流量-手淘发表评价-汇总</t>
  </si>
  <si>
    <t>咖啡机-平台流量-手淘发表评价-汇总</t>
  </si>
  <si>
    <t>手淘品牌街</t>
  </si>
  <si>
    <t>平台流量-手淘品牌街-汇总</t>
  </si>
  <si>
    <t>咖啡机-平台流量-手淘品牌街-汇总</t>
  </si>
  <si>
    <t>手淘品质穿搭</t>
  </si>
  <si>
    <t>平台流量-手淘品质穿搭-汇总</t>
  </si>
  <si>
    <t>咖啡机-平台流量-手淘品质穿搭-汇总</t>
  </si>
  <si>
    <t>手淘喵鲜生</t>
  </si>
  <si>
    <t>平台流量-手淘喵鲜生-汇总</t>
  </si>
  <si>
    <t>咖啡机-平台流量-手淘喵鲜生-汇总</t>
  </si>
  <si>
    <t>手淘天天特卖</t>
  </si>
  <si>
    <t>平台流量-手淘天天特卖-汇总</t>
  </si>
  <si>
    <t>咖啡机-平台流量-手淘天天特卖-汇总</t>
  </si>
  <si>
    <t>手淘天猫国际</t>
  </si>
  <si>
    <t>平台流量-手淘天猫国际-汇总</t>
  </si>
  <si>
    <t>咖啡机-平台流量-手淘天猫国际-汇总</t>
  </si>
  <si>
    <t>手淘天猫首页</t>
  </si>
  <si>
    <t>平台流量-手淘天猫首页-汇总</t>
  </si>
  <si>
    <t>咖啡机-平台流量-手淘天猫首页-汇总</t>
  </si>
  <si>
    <t>手淘必买清单</t>
  </si>
  <si>
    <t>平台流量-手淘必买清单-汇总</t>
  </si>
  <si>
    <t>咖啡机-平台流量-手淘必买清单-汇总</t>
  </si>
  <si>
    <t>飞猪消息中心</t>
  </si>
  <si>
    <t>平台流量-飞猪-飞猪消息中心</t>
  </si>
  <si>
    <t>咖啡机-平台流量-飞猪-飞猪消息中心</t>
  </si>
  <si>
    <t>手淘我的足迹</t>
  </si>
  <si>
    <t>平台流量-手淘我的足迹-汇总</t>
  </si>
  <si>
    <t>咖啡机-平台流量-手淘我的足迹-汇总</t>
  </si>
  <si>
    <t>手淘房产</t>
  </si>
  <si>
    <t>平台流量-手淘房产-汇总</t>
  </si>
  <si>
    <t>咖啡机-平台流量-手淘房产-汇总</t>
  </si>
  <si>
    <t>手淘扫一扫</t>
  </si>
  <si>
    <t>平台流量-手淘扫一扫-汇总</t>
  </si>
  <si>
    <t>咖啡机-平台流量-手淘扫一扫-汇总</t>
  </si>
  <si>
    <t>手淘找相似</t>
  </si>
  <si>
    <t>平台流量-手淘找相似-汇总</t>
  </si>
  <si>
    <t>咖啡机-平台流量-手淘找相似-汇总</t>
  </si>
  <si>
    <t>飞猪活动营销</t>
  </si>
  <si>
    <t>平台流量-飞猪-飞猪活动营销</t>
  </si>
  <si>
    <t>咖啡机-平台流量-飞猪-飞猪活动营销</t>
  </si>
  <si>
    <t>飞猪旅行主题</t>
  </si>
  <si>
    <t>平台流量-飞猪-飞猪旅行主题</t>
  </si>
  <si>
    <t>咖啡机-平台流量-飞猪-飞猪旅行主题</t>
  </si>
  <si>
    <t>飞猪旅游度假频道</t>
  </si>
  <si>
    <t>平台流量-飞猪-飞猪旅游度假频道</t>
  </si>
  <si>
    <t>咖啡机-平台流量-飞猪-飞猪旅游度假频道</t>
  </si>
  <si>
    <t>手淘摇一摇</t>
  </si>
  <si>
    <t>平台流量-手淘摇一摇-汇总</t>
  </si>
  <si>
    <t>咖啡机-平台流量-手淘摇一摇-汇总</t>
  </si>
  <si>
    <t>手淘收藏夹</t>
  </si>
  <si>
    <t>平台流量-手淘收藏夹-汇总</t>
  </si>
  <si>
    <t>咖啡机-平台流量-手淘收藏夹-汇总</t>
  </si>
  <si>
    <t>飞猪搜索</t>
  </si>
  <si>
    <t>平台流量-飞猪-飞猪搜索</t>
  </si>
  <si>
    <t>咖啡机-平台流量-飞猪-飞猪搜索</t>
  </si>
  <si>
    <t>飞猪周边游频道</t>
  </si>
  <si>
    <t>平台流量-飞猪-飞猪周边游频道</t>
  </si>
  <si>
    <t>咖啡机-平台流量-飞猪-飞猪周边游频道</t>
  </si>
  <si>
    <t>手淘极有家</t>
  </si>
  <si>
    <t>平台流量-手淘极有家-汇总</t>
  </si>
  <si>
    <t>咖啡机-平台流量-手淘极有家-汇总</t>
  </si>
  <si>
    <t>手淘每日新品</t>
  </si>
  <si>
    <t>平台流量-手淘每日新品-汇总</t>
  </si>
  <si>
    <t>咖啡机-平台流量-手淘每日新品-汇总</t>
  </si>
  <si>
    <t>手淘汇吃</t>
  </si>
  <si>
    <t>平台流量-手淘汇吃-汇总</t>
  </si>
  <si>
    <t>咖啡机-平台流量-手淘汇吃-汇总</t>
  </si>
  <si>
    <t>飞猪发现</t>
  </si>
  <si>
    <t>平台流量-飞猪-飞猪发现</t>
  </si>
  <si>
    <t>咖啡机-平台流量-飞猪-飞猪发现</t>
  </si>
  <si>
    <t>飞猪卡券包</t>
  </si>
  <si>
    <t>平台流量-飞猪-飞猪卡券包</t>
  </si>
  <si>
    <t>咖啡机-平台流量-飞猪-飞猪卡券包</t>
  </si>
  <si>
    <t>手淘淘抢购</t>
  </si>
  <si>
    <t>平台流量-手淘淘抢购-汇总</t>
  </si>
  <si>
    <t>咖啡机-平台流量-手淘淘抢购-汇总</t>
  </si>
  <si>
    <t>飞猪出境游频道</t>
  </si>
  <si>
    <t>平台流量-飞猪-飞猪出境游频道</t>
  </si>
  <si>
    <t>咖啡机-平台流量-飞猪-飞猪出境游频道</t>
  </si>
  <si>
    <t>手淘游戏中心</t>
  </si>
  <si>
    <t>平台流量-手淘游戏中心-汇总</t>
  </si>
  <si>
    <t>咖啡机-平台流量-手淘游戏中心-汇总</t>
  </si>
  <si>
    <t>手淘潮电街</t>
  </si>
  <si>
    <t>平台流量-手淘潮电街-汇总</t>
  </si>
  <si>
    <t>咖啡机-平台流量-手淘潮电街-汇总</t>
  </si>
  <si>
    <t>手淘确认订单</t>
  </si>
  <si>
    <t>平台流量-手淘确认订单-汇总</t>
  </si>
  <si>
    <t>咖啡机-平台流量-手淘确认订单-汇总</t>
  </si>
  <si>
    <t>手淘社区</t>
  </si>
  <si>
    <t>平台流量-手淘社区-汇总</t>
  </si>
  <si>
    <t>咖啡机-平台流量-手淘社区-汇总</t>
  </si>
  <si>
    <t>手淘红包卡券</t>
  </si>
  <si>
    <t>平台流量-手淘红包卡券-汇总</t>
  </si>
  <si>
    <t>咖啡机-平台流量-手淘红包卡券-汇总</t>
  </si>
  <si>
    <t>飞猪内容其他</t>
  </si>
  <si>
    <t>平台流量-飞猪-飞猪内容其他</t>
  </si>
  <si>
    <t>咖啡机-平台流量-飞猪-飞猪内容其他</t>
  </si>
  <si>
    <t>手淘首页</t>
  </si>
  <si>
    <t>平台流量-手淘首页-汇总</t>
  </si>
  <si>
    <t>咖啡机-平台流量-手淘首页-汇总</t>
  </si>
  <si>
    <t>飞猪其他</t>
  </si>
  <si>
    <t>平台流量-飞猪-飞猪其他</t>
  </si>
  <si>
    <t>咖啡机-平台流量-飞猪-飞猪其他</t>
  </si>
  <si>
    <t>有好货图文</t>
  </si>
  <si>
    <t>平台流量-有好货图文-汇总</t>
  </si>
  <si>
    <t>咖啡机-平台流量-有好货图文-汇总</t>
  </si>
  <si>
    <t>有好货短视频</t>
  </si>
  <si>
    <t>平台流量-有好货短视频-汇总</t>
  </si>
  <si>
    <t>咖啡机-平台流量-有好货短视频-汇总</t>
  </si>
  <si>
    <t>每平每屋</t>
  </si>
  <si>
    <t>平台流量-每平每屋-汇总</t>
  </si>
  <si>
    <t>咖啡机-平台流量-每平每屋-汇总</t>
  </si>
  <si>
    <t>每平每屋频道</t>
  </si>
  <si>
    <t>平台流量-每平每屋频道-汇总</t>
  </si>
  <si>
    <t>咖啡机-平台流量-每平每屋频道-汇总</t>
  </si>
  <si>
    <t>飞猪会员中心</t>
  </si>
  <si>
    <t>平台流量-飞猪-飞猪会员中心</t>
  </si>
  <si>
    <t>咖啡机-平台流量-飞猪-飞猪会员中心</t>
  </si>
  <si>
    <t>手猫私房红包</t>
  </si>
  <si>
    <t>平台流量-手机天猫-手猫私房红包</t>
  </si>
  <si>
    <t>咖啡机-平台流量-手机天猫-手猫私房红包</t>
  </si>
  <si>
    <t>手猫福利雷达</t>
  </si>
  <si>
    <t>平台流量-手机天猫-手猫福利雷达</t>
  </si>
  <si>
    <t>咖啡机-平台流量-手机天猫-手猫福利雷达</t>
  </si>
  <si>
    <t>淘宝吃货</t>
  </si>
  <si>
    <t>平台流量-淘宝吃货-汇总</t>
  </si>
  <si>
    <t>咖啡机-平台流量-淘宝吃货-汇总</t>
  </si>
  <si>
    <t>淘宝必逛</t>
  </si>
  <si>
    <t>平台流量-淘宝必逛-汇总</t>
  </si>
  <si>
    <t>咖啡机-平台流量-淘宝必逛-汇总</t>
  </si>
  <si>
    <t>手猫新人频道</t>
  </si>
  <si>
    <t>平台流量-手机天猫-手猫新人频道</t>
  </si>
  <si>
    <t>咖啡机-平台流量-手机天猫-手猫新人频道</t>
  </si>
  <si>
    <t>咖啡机-广告流量-汇总-汇总</t>
  </si>
  <si>
    <t>咖啡机-广告流量-效果广告-汇总</t>
  </si>
  <si>
    <t>咖啡机-广告流量-效果广告-万相台</t>
  </si>
  <si>
    <t>咖啡机-广告流量-效果广告-引力魔方</t>
  </si>
  <si>
    <t>咖啡机-广告流量-效果广告-直通车</t>
  </si>
  <si>
    <t>咖啡机-广告流量-站外广告-汇总</t>
  </si>
  <si>
    <t>咖啡机-广告流量-品牌广告-汇总</t>
  </si>
  <si>
    <t>咖啡机-广告流量-品牌广告-品销宝- 品牌专区</t>
  </si>
  <si>
    <t>咖啡机-广告流量-站外广告-淘宝客</t>
  </si>
  <si>
    <t>咖啡机-广告流量-内容广告-汇总</t>
  </si>
  <si>
    <t>咖啡机-广告流量-内容广告-超级短视频</t>
  </si>
  <si>
    <t>咖啡机-广告流量-站外广告-UD效果投放</t>
  </si>
  <si>
    <t>咖啡机-广告流量-内容广告-超级直播</t>
  </si>
  <si>
    <t>咖啡机-广告流量-品牌广告-品销宝- 明星店铺</t>
  </si>
  <si>
    <t>咖啡机-广告流量-站外广告-流量宝</t>
  </si>
  <si>
    <t>广告流量-站外广告-UD品牌投放</t>
  </si>
  <si>
    <t>咖啡机-广告流量-站外广告-UD品牌投放</t>
  </si>
  <si>
    <t>胶囊咖啡-平台流量-汇总-汇总</t>
  </si>
  <si>
    <t>胶囊咖啡-平台流量-手淘搜索-汇总</t>
  </si>
  <si>
    <t>胶囊咖啡-平台流量-我的淘宝-汇总</t>
  </si>
  <si>
    <t>胶囊咖啡-平台流量-购物车-汇总</t>
  </si>
  <si>
    <t>胶囊咖啡-平台流量-手淘淘宝直播-汇总</t>
  </si>
  <si>
    <t>胶囊咖啡-平台流量-淘内待分类-汇总</t>
  </si>
  <si>
    <t>胶囊咖啡-平台流量-手淘推荐-汇总</t>
  </si>
  <si>
    <t>胶囊咖啡-平台流量-手淘旺信-汇总</t>
  </si>
  <si>
    <t>胶囊咖啡-平台流量-手淘推荐-首页推荐-微详情</t>
  </si>
  <si>
    <t>胶囊咖啡-平台流量-逛逛-汇总</t>
  </si>
  <si>
    <t>胶囊咖啡-平台流量-天猫榜单-汇总</t>
  </si>
  <si>
    <t>胶囊咖啡-平台流量-手淘拍立淘-汇总</t>
  </si>
  <si>
    <t>胶囊咖啡-平台流量-短视频全屏页上下滑-汇总</t>
  </si>
  <si>
    <t>胶囊咖啡-平台流量-手淘推荐-其他猜你喜欢</t>
  </si>
  <si>
    <t>胶囊咖啡-平台流量-手机天猫-汇总</t>
  </si>
  <si>
    <t>胶囊咖啡-平台流量-手淘其他店铺-汇总</t>
  </si>
  <si>
    <t>胶囊咖啡-平台流量-日常营销活动-汇总</t>
  </si>
  <si>
    <t>胶囊咖啡-平台流量-一淘-汇总</t>
  </si>
  <si>
    <t>胶囊咖啡-平台流量-天猫榜单-搜索入口榜单</t>
  </si>
  <si>
    <t>胶囊咖啡-平台流量-天猫榜单-商品详情页入口榜单</t>
  </si>
  <si>
    <t>胶囊咖啡-平台流量-手机天猫-手猫搜索</t>
  </si>
  <si>
    <t>胶囊咖啡-平台流量-手淘其他店铺-商品详情页头图推荐</t>
  </si>
  <si>
    <t>胶囊咖啡-平台流量-淘口令分享-汇总</t>
  </si>
  <si>
    <t>胶囊咖啡-平台流量-手淘其他店铺-店铺超链</t>
  </si>
  <si>
    <t>胶囊咖啡-平台流量-手机天猫-手猫免费其他</t>
  </si>
  <si>
    <t>胶囊咖啡-平台流量-天猫榜单-其他入口榜单</t>
  </si>
  <si>
    <t>胶囊咖啡-平台流量-大促会场-汇总</t>
  </si>
  <si>
    <t>胶囊咖啡-平台流量-淘外网站-汇总</t>
  </si>
  <si>
    <t>胶囊咖啡-平台流量-手淘消息中心-汇总</t>
  </si>
  <si>
    <t>胶囊咖啡-平台流量-手淘问大家-汇总</t>
  </si>
  <si>
    <t>胶囊咖啡-平台流量-手淘推荐-首页推荐-直播</t>
  </si>
  <si>
    <t>胶囊咖啡-平台流量-手机浏览器访问淘宝-汇总</t>
  </si>
  <si>
    <t>胶囊咖啡-平台流量-直接访问-汇总</t>
  </si>
  <si>
    <t>胶囊咖啡-平台流量-芭芭农场-汇总</t>
  </si>
  <si>
    <t>胶囊咖啡-平台流量-手淘推荐-购后推荐</t>
  </si>
  <si>
    <t>胶囊咖啡-平台流量-手机天猫-手猫首页</t>
  </si>
  <si>
    <t>胶囊咖啡-平台流量-手机天猫-手猫其他店铺</t>
  </si>
  <si>
    <t>胶囊咖啡-平台流量-手机天猫-手猫商品详情</t>
  </si>
  <si>
    <t>胶囊咖啡-平台流量-手淘推荐-购中推荐</t>
  </si>
  <si>
    <t>胶囊咖啡-平台流量-大促会场-主会场</t>
  </si>
  <si>
    <t>胶囊咖啡-平台流量-淘宝特价版-汇总</t>
  </si>
  <si>
    <t>胶囊咖啡-平台流量-手机天猫-手机浏览器访问天猫</t>
  </si>
  <si>
    <t>胶囊咖啡-平台流量-手机天猫-手猫消息中心</t>
  </si>
  <si>
    <t>胶囊咖啡-平台流量-闲鱼-汇总</t>
  </si>
  <si>
    <t>胶囊咖啡-平台流量-天猫小黑盒-汇总</t>
  </si>
  <si>
    <t>胶囊咖啡-平台流量-天猫关注-汇总</t>
  </si>
  <si>
    <t>胶囊咖啡-平台流量-手机天猫-手猫旺信聊天</t>
  </si>
  <si>
    <t>胶囊咖啡-平台流量-红包省钱卡-汇总</t>
  </si>
  <si>
    <t>胶囊咖啡-平台流量-手淘我的评价-汇总</t>
  </si>
  <si>
    <t>胶囊咖啡-平台流量-每日好店-汇总</t>
  </si>
  <si>
    <t>胶囊咖啡-平台流量-天猫U先试用-汇总</t>
  </si>
  <si>
    <t>胶囊咖啡-平台流量-手淘推荐-首页推荐-短视频</t>
  </si>
  <si>
    <t>胶囊咖啡-平台流量-手淘淘金币-汇总</t>
  </si>
  <si>
    <t>胶囊咖啡-平台流量-淘宝跨境站点-汇总</t>
  </si>
  <si>
    <t>胶囊咖啡-平台流量-手淘有好货-汇总</t>
  </si>
  <si>
    <t>胶囊咖啡-平台流量-手淘充值-汇总</t>
  </si>
  <si>
    <t>胶囊咖啡-平台流量-88VIP频道-汇总</t>
  </si>
  <si>
    <t>胶囊咖啡-平台流量-阿里拍卖-汇总</t>
  </si>
  <si>
    <t>胶囊咖啡-平台流量-手淘发表评价-汇总</t>
  </si>
  <si>
    <t>胶囊咖啡-平台流量-手淘找相似-汇总</t>
  </si>
  <si>
    <t>胶囊咖啡-平台流量-手淘摇一摇-汇总</t>
  </si>
  <si>
    <t>胶囊咖啡-平台流量-手淘收藏夹-汇总</t>
  </si>
  <si>
    <t>胶囊咖啡-平台流量-手淘有好价-汇总</t>
  </si>
  <si>
    <t>胶囊咖啡-平台流量-手淘极有家-汇总</t>
  </si>
  <si>
    <t>胶囊咖啡-平台流量-手淘每日新品-汇总</t>
  </si>
  <si>
    <t>胶囊咖啡-平台流量-手淘汇吃-汇总</t>
  </si>
  <si>
    <t>胶囊咖啡-平台流量-手淘淘抢购-汇总</t>
  </si>
  <si>
    <t>胶囊咖啡-平台流量-手淘游戏中心-汇总</t>
  </si>
  <si>
    <t>胶囊咖啡-平台流量-手淘潮电街-汇总</t>
  </si>
  <si>
    <t>胶囊咖啡-平台流量-手淘确认订单-汇总</t>
  </si>
  <si>
    <t>胶囊咖啡-平台流量-手淘社区-汇总</t>
  </si>
  <si>
    <t>胶囊咖啡-平台流量-手淘红包卡券-汇总</t>
  </si>
  <si>
    <t>胶囊咖啡-平台流量-手淘首页-汇总</t>
  </si>
  <si>
    <t>胶囊咖啡-平台流量-有好货图文-汇总</t>
  </si>
  <si>
    <t>胶囊咖啡-平台流量-有好货短视频-汇总</t>
  </si>
  <si>
    <t>胶囊咖啡-平台流量-每平每屋-汇总</t>
  </si>
  <si>
    <t>胶囊咖啡-平台流量-每平每屋频道-汇总</t>
  </si>
  <si>
    <t>胶囊咖啡-平台流量-天猫超级品类日-汇总</t>
  </si>
  <si>
    <t>胶囊咖啡-平台流量-大促会场-榜单会场-必买榜</t>
  </si>
  <si>
    <t>胶囊咖啡-平台流量-大促会场-热点会场</t>
  </si>
  <si>
    <t>胶囊咖啡-平台流量-手机天猫-手猫天猫国际</t>
  </si>
  <si>
    <t>胶囊咖啡-平台流量-手机天猫-手猫天猫好物</t>
  </si>
  <si>
    <t>胶囊咖啡-平台流量-手机天猫-手猫天猫快抢购</t>
  </si>
  <si>
    <t>胶囊咖啡-平台流量-手机天猫-手猫开屏</t>
  </si>
  <si>
    <t>胶囊咖啡-平台流量-手机天猫-手猫扫码</t>
  </si>
  <si>
    <t>胶囊咖啡-平台流量-手机天猫-手猫新人频道</t>
  </si>
  <si>
    <t>胶囊咖啡-平台流量-手机天猫-手猫福利雷达</t>
  </si>
  <si>
    <t>胶囊咖啡-平台流量-手机天猫-手猫私房红包</t>
  </si>
  <si>
    <t>胶囊咖啡-平台流量-手淘推荐-推荐云主题</t>
  </si>
  <si>
    <t>胶囊咖啡-平台流量-飞猪-飞猪会员中心</t>
  </si>
  <si>
    <t>胶囊咖啡-平台流量-飞猪-飞猪其他</t>
  </si>
  <si>
    <t>胶囊咖啡-平台流量-飞猪-飞猪内容其他</t>
  </si>
  <si>
    <t>胶囊咖啡-平台流量-飞猪-飞猪出境游频道</t>
  </si>
  <si>
    <t>胶囊咖啡-平台流量-飞猪-飞猪卡券包</t>
  </si>
  <si>
    <t>胶囊咖啡-平台流量-飞猪-飞猪发现</t>
  </si>
  <si>
    <t>胶囊咖啡-平台流量-飞猪-飞猪周边游频道</t>
  </si>
  <si>
    <t>胶囊咖啡-平台流量-飞猪-飞猪搜索</t>
  </si>
  <si>
    <t>胶囊咖啡-平台流量-飞猪-飞猪旅游度假频道</t>
  </si>
  <si>
    <t>胶囊咖啡-平台流量-飞猪-飞猪旅行主题</t>
  </si>
  <si>
    <t>胶囊咖啡-平台流量-飞猪-飞猪活动营销</t>
  </si>
  <si>
    <t>胶囊咖啡-平台流量-飞猪-飞猪消息中心</t>
  </si>
  <si>
    <t>胶囊咖啡-平台流量-飞猪-飞猪特价</t>
  </si>
  <si>
    <t>胶囊咖啡-平台流量-飞猪-飞猪目的地</t>
  </si>
  <si>
    <t>胶囊咖啡-平台流量-飞猪-飞猪直播</t>
  </si>
  <si>
    <t>胶囊咖啡-平台流量-飞猪-飞猪福利中心</t>
  </si>
  <si>
    <t>胶囊咖啡-平台流量-飞猪-飞猪行程</t>
  </si>
  <si>
    <t>胶囊咖啡-平台流量-飞猪-飞猪订单</t>
  </si>
  <si>
    <t>胶囊咖啡-平台流量-飞猪-飞猪超级新发线</t>
  </si>
  <si>
    <t>胶囊咖啡-平台流量-飞猪-飞猪酒店频道</t>
  </si>
  <si>
    <t>胶囊咖啡-平台流量-飞猪-飞猪频道</t>
  </si>
  <si>
    <t>胶囊咖啡-平台流量-飞猪-飞猪首页</t>
  </si>
  <si>
    <t>胶囊咖啡-平台流量-全民寻宝-汇总</t>
  </si>
  <si>
    <t>胶囊咖啡-平台流量-分享购物车活动-汇总</t>
  </si>
  <si>
    <t>胶囊咖啡-平台流量-品牌新享频道-汇总</t>
  </si>
  <si>
    <t>胶囊咖啡-平台流量-品牌福利中心-汇总</t>
  </si>
  <si>
    <t>胶囊咖啡-平台流量-大麦-汇总</t>
  </si>
  <si>
    <t>胶囊咖啡-平台流量-天猫好房-汇总</t>
  </si>
  <si>
    <t>胶囊咖啡-平台流量-天猫热点-汇总</t>
  </si>
  <si>
    <t>胶囊咖啡-平台流量-天猫超市-汇总</t>
  </si>
  <si>
    <t>胶囊咖啡-平台流量-手淘买家秀-汇总</t>
  </si>
  <si>
    <t>胶囊咖啡-平台流量-手淘买手圈-汇总</t>
  </si>
  <si>
    <t>胶囊咖啡-平台流量-手淘会员俱乐部-汇总</t>
  </si>
  <si>
    <t>胶囊咖啡-平台流量-手淘全球购频道-汇总</t>
  </si>
  <si>
    <t>胶囊咖啡-平台流量-手淘分类导航-汇总</t>
  </si>
  <si>
    <t>胶囊咖啡-平台流量-手淘发现-汇总</t>
  </si>
  <si>
    <t>胶囊咖啡-平台流量-手淘品牌街-汇总</t>
  </si>
  <si>
    <t>胶囊咖啡-平台流量-手淘品质穿搭-汇总</t>
  </si>
  <si>
    <t>胶囊咖啡-平台流量-手淘喵鲜生-汇总</t>
  </si>
  <si>
    <t>胶囊咖啡-平台流量-手淘天天特卖-汇总</t>
  </si>
  <si>
    <t>胶囊咖啡-平台流量-手淘天猫国际-汇总</t>
  </si>
  <si>
    <t>胶囊咖啡-平台流量-手淘天猫首页-汇总</t>
  </si>
  <si>
    <t>胶囊咖啡-平台流量-手淘必买清单-汇总</t>
  </si>
  <si>
    <t>胶囊咖啡-平台流量-手淘我的足迹-汇总</t>
  </si>
  <si>
    <t>胶囊咖啡-平台流量-手淘房产-汇总</t>
  </si>
  <si>
    <t>胶囊咖啡-平台流量-手淘扫一扫-汇总</t>
  </si>
  <si>
    <t>胶囊咖啡-平台流量-淘宝吃货-汇总</t>
  </si>
  <si>
    <t>胶囊咖啡-平台流量-淘宝必逛-汇总</t>
  </si>
  <si>
    <t>胶囊咖啡-平台流量-淘工厂直营-汇总</t>
  </si>
  <si>
    <t>胶囊咖啡-平台流量-淘鲜达-汇总</t>
  </si>
  <si>
    <t>胶囊咖啡-平台流量-盒马-汇总</t>
  </si>
  <si>
    <t>胶囊咖啡-平台流量-红包签到-汇总</t>
  </si>
  <si>
    <t>胶囊咖啡-平台流量-裂变券引流-汇总</t>
  </si>
  <si>
    <t>胶囊咖啡-平台流量-阿里妈妈权益会场-汇总</t>
  </si>
  <si>
    <t>胶囊咖啡-平台流量-领券中心-汇总</t>
  </si>
  <si>
    <t>胶囊咖啡-平台流量-飞猪-汇总</t>
  </si>
  <si>
    <t>胶囊咖啡-广告流量-汇总-汇总</t>
  </si>
  <si>
    <t>胶囊咖啡-广告流量-效果广告-汇总</t>
  </si>
  <si>
    <t>胶囊咖啡-广告流量-效果广告-万相台</t>
  </si>
  <si>
    <t>胶囊咖啡-广告流量-效果广告-引力魔方</t>
  </si>
  <si>
    <t>胶囊咖啡-广告流量-效果广告-直通车</t>
  </si>
  <si>
    <t>胶囊咖啡-广告流量-内容广告-汇总</t>
  </si>
  <si>
    <t>胶囊咖啡-广告流量-内容广告-超级短视频</t>
  </si>
  <si>
    <t>胶囊咖啡-广告流量-品牌广告-汇总</t>
  </si>
  <si>
    <t>胶囊咖啡-广告流量-品牌广告-品销宝- 品牌专区</t>
  </si>
  <si>
    <t>胶囊咖啡-广告流量-站外广告-汇总</t>
  </si>
  <si>
    <t>胶囊咖啡-广告流量-站外广告-淘宝客</t>
  </si>
  <si>
    <t>胶囊咖啡-广告流量-站外广告-UD效果投放</t>
  </si>
  <si>
    <t>胶囊咖啡-广告流量-内容广告-超级直播</t>
  </si>
  <si>
    <t>胶囊咖啡-广告流量-品牌广告-品销宝- 明星店铺</t>
  </si>
  <si>
    <t>胶囊咖啡-广告流量-站外广告-流量宝</t>
  </si>
  <si>
    <t>胶囊咖啡-广告流量-站外广告-UD品牌投放</t>
  </si>
  <si>
    <t>品类</t>
  </si>
  <si>
    <t>ctrk</t>
  </si>
  <si>
    <t>ctitem</t>
  </si>
  <si>
    <t>ctrkyoy</t>
  </si>
  <si>
    <t>商品名称</t>
  </si>
  <si>
    <t>商品ID</t>
  </si>
  <si>
    <t>排名_同比月</t>
  </si>
  <si>
    <t>支付金额_同比月</t>
  </si>
  <si>
    <t>支付买家数_同比月</t>
  </si>
  <si>
    <t>客单价_同比月</t>
  </si>
  <si>
    <t>item_url</t>
  </si>
  <si>
    <t>型号类型</t>
  </si>
  <si>
    <t>咖啡机-1</t>
  </si>
  <si>
    <t>咖啡机-586640163633</t>
  </si>
  <si>
    <t>NESPRESSO 进口全自动家用小型雀巢胶囊咖啡机组合含胶囊咖啡50颗</t>
  </si>
  <si>
    <t>586640163633</t>
  </si>
  <si>
    <t>https://detail.tmall.com/item.htm?id=586640163633</t>
  </si>
  <si>
    <t>Essenza Mini+温和淡雅5条组合</t>
  </si>
  <si>
    <t>咖啡机-2</t>
  </si>
  <si>
    <t>咖啡机-556116251859</t>
  </si>
  <si>
    <t>NESPRESSO Essenza Mini 进口家用商用小型雀巢胶囊咖啡机</t>
  </si>
  <si>
    <t>556116251859</t>
  </si>
  <si>
    <t>https://detail.tmall.com/item.htm?id=556116251859</t>
  </si>
  <si>
    <t>Inissia套装</t>
  </si>
  <si>
    <t>咖啡机-3</t>
  </si>
  <si>
    <t>咖啡机-592646653099</t>
  </si>
  <si>
    <t>NESPRESSO Inissia 全自动雀巢家用进口咖啡机 含黑咖啡胶囊50颗</t>
  </si>
  <si>
    <t>592646653099</t>
  </si>
  <si>
    <t>https://detail.tmall.com/item.htm?id=592646653099</t>
  </si>
  <si>
    <t>Creatista Plus J520</t>
  </si>
  <si>
    <t>咖啡机-4</t>
  </si>
  <si>
    <t>咖啡机-617305356986</t>
  </si>
  <si>
    <t>咖啡机-15</t>
  </si>
  <si>
    <t>NESPRESSO  Pixie进口家用小型雀巢胶囊咖啡机 含黑咖啡胶囊50颗</t>
  </si>
  <si>
    <t>617305356986</t>
  </si>
  <si>
    <t>https://detail.tmall.com/item.htm?id=617305356986</t>
  </si>
  <si>
    <t>Pixie+MO</t>
  </si>
  <si>
    <t>咖啡机-5</t>
  </si>
  <si>
    <t>咖啡机-743176052190</t>
  </si>
  <si>
    <t>1月 新品胶囊咖啡 测试链接 请勿下单！测试 付款后不发货！</t>
  </si>
  <si>
    <t>743176052190</t>
  </si>
  <si>
    <t>https://detail.tmall.com/item.htm?id=743176052190</t>
  </si>
  <si>
    <t>Creatista Pro J620套装</t>
  </si>
  <si>
    <t>咖啡机-6</t>
  </si>
  <si>
    <t>咖啡机-537692468761</t>
  </si>
  <si>
    <t>咖啡机-7</t>
  </si>
  <si>
    <t>NESPRESSO Inissia全自动家用小型办公意式咖啡机 雀巢胶囊咖啡机</t>
  </si>
  <si>
    <t>537692468761</t>
  </si>
  <si>
    <t>https://detail.tmall.com/item.htm?id=537692468761</t>
  </si>
  <si>
    <t>Citiz+温和淡雅5条</t>
  </si>
  <si>
    <t>咖啡机-708433115802</t>
  </si>
  <si>
    <t>NESPRESSO Vertuo Pop全自动家用商用进口咖啡机 雀巢胶囊咖啡机</t>
  </si>
  <si>
    <t>708433115802</t>
  </si>
  <si>
    <t>https://detail.tmall.com/item.htm?id=708433115802</t>
  </si>
  <si>
    <t>Citiz C113</t>
  </si>
  <si>
    <t>咖啡机-8</t>
  </si>
  <si>
    <t>咖啡机-575326464777</t>
  </si>
  <si>
    <t>NESPRESSO Lattissima One 进口全自动家用商用雀巢胶囊咖啡机</t>
  </si>
  <si>
    <t>575326464777</t>
  </si>
  <si>
    <t>https://detail.tmall.com/item.htm?id=575326464777</t>
  </si>
  <si>
    <t>Essenza mini</t>
  </si>
  <si>
    <t>咖啡机-9</t>
  </si>
  <si>
    <t>咖啡机-653850004923</t>
  </si>
  <si>
    <t>咖啡机-11</t>
  </si>
  <si>
    <t>NESPRESSO Vertuo Plus全自动家用商用进口咖啡机 雀巢胶囊咖啡机</t>
  </si>
  <si>
    <t>653850004923</t>
  </si>
  <si>
    <t>https://detail.tmall.com/item.htm?id=653850004923</t>
  </si>
  <si>
    <t>Inissia 系列</t>
  </si>
  <si>
    <t>咖啡机-10</t>
  </si>
  <si>
    <t>咖啡机-708829480183</t>
  </si>
  <si>
    <t>NESPRESSO Citiz 家用商用小型雀巢胶囊咖啡机 含黑咖啡胶囊50颗</t>
  </si>
  <si>
    <t>708829480183</t>
  </si>
  <si>
    <t>https://detail.tmall.com/item.htm?id=708829480183</t>
  </si>
  <si>
    <t>Lattissima One</t>
  </si>
  <si>
    <t>咖啡机-750259739726</t>
  </si>
  <si>
    <t>NESPRESSO Vertuo Plus 进口家用胶囊咖啡机套装含50颗胶囊咖啡</t>
  </si>
  <si>
    <t>750259739726</t>
  </si>
  <si>
    <t>https://detail.tmall.com/item.htm?id=750259739726</t>
  </si>
  <si>
    <t>Lattissima One套装</t>
  </si>
  <si>
    <t>咖啡机-12</t>
  </si>
  <si>
    <t>咖啡机-536992032080</t>
  </si>
  <si>
    <t>NESPRESSO Pixie 进口小型家用商用智能全自动意式雀巢胶囊咖啡机</t>
  </si>
  <si>
    <t>536992032080</t>
  </si>
  <si>
    <t>https://detail.tmall.com/item.htm?id=536992032080</t>
  </si>
  <si>
    <t>Vertuo Plus+MO</t>
  </si>
  <si>
    <t>咖啡机-13</t>
  </si>
  <si>
    <t>咖啡机-626699987711</t>
  </si>
  <si>
    <t>Nespresso Gran Lattissima 全自动奶泡一体家用雀巢胶囊咖啡机</t>
  </si>
  <si>
    <t>626699987711</t>
  </si>
  <si>
    <t>https://detail.tmall.com/item.htm?id=626699987711</t>
  </si>
  <si>
    <t>Grand Lattissima</t>
  </si>
  <si>
    <t>咖啡机-14</t>
  </si>
  <si>
    <t>咖啡机-542275757538</t>
  </si>
  <si>
    <t>NESPRESSO Citiz 小型家用商用智能全自动意式雀巢胶囊咖啡机</t>
  </si>
  <si>
    <t>542275757538</t>
  </si>
  <si>
    <t>https://detail.tmall.com/item.htm?id=542275757538</t>
  </si>
  <si>
    <t>Creatista pro</t>
  </si>
  <si>
    <t>咖啡机-680691185131</t>
  </si>
  <si>
    <t>NESPRESSO J620 家用商用奶泡一体胶囊咖啡机含黑咖啡胶囊100颗</t>
  </si>
  <si>
    <t>680691185131</t>
  </si>
  <si>
    <t>https://detail.tmall.com/item.htm?id=680691185131</t>
  </si>
  <si>
    <t>Pixie C61</t>
  </si>
  <si>
    <t>咖啡机-16</t>
  </si>
  <si>
    <t>咖啡机-557605571048</t>
  </si>
  <si>
    <t>NESPRESSO Creatista Plus J520 奶泡一体家用商用雀巢胶囊咖啡机</t>
  </si>
  <si>
    <t>557605571048</t>
  </si>
  <si>
    <t>https://detail.tmall.com/item.htm?id=557605571048</t>
  </si>
  <si>
    <t>咖啡机-17</t>
  </si>
  <si>
    <t>咖啡机-710803647880</t>
  </si>
  <si>
    <t>【会员专享】NESPRESSO 家用小型雀巢胶囊咖啡机组合含20颗胶囊</t>
  </si>
  <si>
    <t>710803647880</t>
  </si>
  <si>
    <t>https://detail.tmall.com/item.htm?id=710803647880</t>
  </si>
  <si>
    <t>咖啡机-18</t>
  </si>
  <si>
    <t>咖啡机-577660056521</t>
  </si>
  <si>
    <t>咖啡机-29</t>
  </si>
  <si>
    <t>NESPRESSO Essenza Mini组合含奶泡机 进口全自动家用胶囊咖啡机</t>
  </si>
  <si>
    <t>577660056521</t>
  </si>
  <si>
    <t>https://detail.tmall.com/item.htm?id=577660056521</t>
  </si>
  <si>
    <t>咖啡机-19</t>
  </si>
  <si>
    <t>咖啡机-632083414666</t>
  </si>
  <si>
    <t>NESPRESSO  Creatista Pro J620 奶泡一体家用商用雀巢胶囊咖啡机</t>
  </si>
  <si>
    <t>632083414666</t>
  </si>
  <si>
    <t>https://detail.tmall.com/item.htm?id=632083414666</t>
  </si>
  <si>
    <t>咖啡机-20</t>
  </si>
  <si>
    <t>咖啡机-638055900770</t>
  </si>
  <si>
    <t>NESPRESSO Atelier 雀巢胶囊咖啡机可打奶泡办公家用全自动咖啡机</t>
  </si>
  <si>
    <t>638055900770</t>
  </si>
  <si>
    <t>https://detail.tmall.com/item.htm?id=638055900770</t>
  </si>
  <si>
    <t>咖啡机-21</t>
  </si>
  <si>
    <t>咖啡机-593031023346</t>
  </si>
  <si>
    <t>NESPRESSO Lattissima家用雀巢咖啡机奶泡一体含黑咖啡胶囊100颗</t>
  </si>
  <si>
    <t>593031023346</t>
  </si>
  <si>
    <t>https://detail.tmall.com/item.htm?id=593031023346</t>
  </si>
  <si>
    <t>咖啡机-22</t>
  </si>
  <si>
    <t>咖啡机-715114693627</t>
  </si>
  <si>
    <t>【会员专享】NESPRESSO J620全自动雀巢胶囊咖啡机组合含50颗胶囊</t>
  </si>
  <si>
    <t>715114693627</t>
  </si>
  <si>
    <t>https://detail.tmall.com/item.htm?id=715114693627</t>
  </si>
  <si>
    <t>咖啡机-23</t>
  </si>
  <si>
    <t>咖啡机-610405458232</t>
  </si>
  <si>
    <t>咖啡机-73</t>
  </si>
  <si>
    <t>NESPRESSO J520家用商用奶泡一体胶囊咖啡机含100颗黑咖啡胶囊</t>
  </si>
  <si>
    <t>610405458232</t>
  </si>
  <si>
    <t>https://detail.tmall.com/item.htm?id=610405458232</t>
  </si>
  <si>
    <t>咖啡机-24</t>
  </si>
  <si>
    <t>咖啡机-652901572851</t>
  </si>
  <si>
    <t>NESPRESSO Vertuo Next全自动家用商用进口咖啡机 雀巢胶囊咖啡机</t>
  </si>
  <si>
    <t>652901572851</t>
  </si>
  <si>
    <t>https://detail.tmall.com/item.htm?id=652901572851</t>
  </si>
  <si>
    <t>咖啡机-25</t>
  </si>
  <si>
    <t>咖啡机-667471834724</t>
  </si>
  <si>
    <t>咖啡机-26</t>
  </si>
  <si>
    <t>NESPRESSO Vertuo Next套装含奶泡机 全自动家用雀巢胶囊咖啡机</t>
  </si>
  <si>
    <t>667471834724</t>
  </si>
  <si>
    <t>https://detail.tmall.com/item.htm?id=667471834724</t>
  </si>
  <si>
    <t>咖啡机-574066975256</t>
  </si>
  <si>
    <t>咖啡机-32</t>
  </si>
  <si>
    <t>NESPRESSO Inissia组合含奶泡机 全自动家用办公雀巢胶囊咖啡机</t>
  </si>
  <si>
    <t>574066975256</t>
  </si>
  <si>
    <t>https://detail.tmall.com/item.htm?id=574066975256</t>
  </si>
  <si>
    <t>咖啡机-27</t>
  </si>
  <si>
    <t>咖啡机-654676634543</t>
  </si>
  <si>
    <t>NESPRESSO Vertuo Plus套装含奶泡机 全自动家用雀巢胶囊咖啡机</t>
  </si>
  <si>
    <t>654676634543</t>
  </si>
  <si>
    <t>https://detail.tmall.com/item.htm?id=654676634543</t>
  </si>
  <si>
    <t>咖啡机-28</t>
  </si>
  <si>
    <t>咖啡机-715508535863</t>
  </si>
  <si>
    <t>【会员专享】NESPRESSO 家用办公全自动雀巢胶囊咖啡机含50颗胶囊</t>
  </si>
  <si>
    <t>715508535863</t>
  </si>
  <si>
    <t>https://detail.tmall.com/item.htm?id=715508535863</t>
  </si>
  <si>
    <t>咖啡机-750118009576</t>
  </si>
  <si>
    <t>NESPRESSO Vertuo Next进口家用办公胶囊咖啡机含50颗黑咖啡胶囊</t>
  </si>
  <si>
    <t>750118009576</t>
  </si>
  <si>
    <t>https://detail.tmall.com/item.htm?id=750118009576</t>
  </si>
  <si>
    <t>咖啡机-30</t>
  </si>
  <si>
    <t>咖啡机-714866336812</t>
  </si>
  <si>
    <t>【会员专享】NESPRESSO J520全自动雀巢胶囊咖啡机组合含50颗胶囊</t>
  </si>
  <si>
    <t>714866336812</t>
  </si>
  <si>
    <t>https://detail.tmall.com/item.htm?id=714866336812</t>
  </si>
  <si>
    <t>咖啡机-31</t>
  </si>
  <si>
    <t>咖啡机-610993513185</t>
  </si>
  <si>
    <t>咖啡机-77</t>
  </si>
  <si>
    <t>NESPRESSO Citiz组合含奶泡机 全自动家用商用胶囊咖啡机</t>
  </si>
  <si>
    <t>610993513185</t>
  </si>
  <si>
    <t>https://detail.tmall.com/item.htm?id=610993513185</t>
  </si>
  <si>
    <t>咖啡机-754036701416</t>
  </si>
  <si>
    <t>NESPRESSO Vertuo Pop套装含奶泡机 全自动家用雀巢胶囊咖啡机</t>
  </si>
  <si>
    <t>754036701416</t>
  </si>
  <si>
    <t>https://detail.tmall.com/item.htm?id=754036701416</t>
  </si>
  <si>
    <t>咖啡机-33</t>
  </si>
  <si>
    <t>咖啡机-587064560191</t>
  </si>
  <si>
    <t>咖啡机-67</t>
  </si>
  <si>
    <t>NESPRESSO Pixie组合含奶泡机 进口家用办公全自动雀巢胶囊咖啡机</t>
  </si>
  <si>
    <t>587064560191</t>
  </si>
  <si>
    <t>https://detail.tmall.com/item.htm?id=587064560191</t>
  </si>
  <si>
    <t>咖啡机-34</t>
  </si>
  <si>
    <t>咖啡机-634464900702</t>
  </si>
  <si>
    <t>NESPRESSO Inissia 家用小型雀巢进口咖啡机 含黑咖啡胶囊100颗</t>
  </si>
  <si>
    <t>634464900702</t>
  </si>
  <si>
    <t>https://detail.tmall.com/item.htm?id=634464900702</t>
  </si>
  <si>
    <t>咖啡机-35</t>
  </si>
  <si>
    <t>咖啡机-719267694735</t>
  </si>
  <si>
    <t>NESPRESSO 小啡象 奶泡一体雀巢胶囊咖啡机 含意式浓缩50颗胶囊</t>
  </si>
  <si>
    <t>719267694735</t>
  </si>
  <si>
    <t>https://detail.tmall.com/item.htm?id=719267694735</t>
  </si>
  <si>
    <t>咖啡机-36</t>
  </si>
  <si>
    <t>咖啡机-645354059775</t>
  </si>
  <si>
    <t>NESPRESSO Essenza Plus 小型家用商用全自动进口雀巢胶囊咖啡机</t>
  </si>
  <si>
    <t>645354059775</t>
  </si>
  <si>
    <t>https://detail.tmall.com/item.htm?id=645354059775</t>
  </si>
  <si>
    <t>咖啡机-37</t>
  </si>
  <si>
    <t>咖啡机-724253397520</t>
  </si>
  <si>
    <t>NESPRESSO Pixie家用商用雀巢胶囊进口咖啡机 含温和淡雅50颗胶囊</t>
  </si>
  <si>
    <t>724253397520</t>
  </si>
  <si>
    <t>https://detail.tmall.com/item.htm?id=724253397520</t>
  </si>
  <si>
    <t>咖啡机-38</t>
  </si>
  <si>
    <t>咖啡机-745349623149</t>
  </si>
  <si>
    <t>NESPRESSO 进口全自动家用小型雀巢胶囊咖啡机组合含胶囊咖啡20颗</t>
  </si>
  <si>
    <t>745349623149</t>
  </si>
  <si>
    <t>https://detail.tmall.com/item.htm?id=745349623149</t>
  </si>
  <si>
    <t>咖啡机-39</t>
  </si>
  <si>
    <t>咖啡机-619445812298</t>
  </si>
  <si>
    <t>NESPRESSO 意式家用奶泡一体全自动雀巢胶囊咖啡机套装含30颗胶囊</t>
  </si>
  <si>
    <t>619445812298</t>
  </si>
  <si>
    <t>https://detail.tmall.com/item.htm?id=619445812298</t>
  </si>
  <si>
    <t>咖啡机-40</t>
  </si>
  <si>
    <t>咖啡机-679696771346</t>
  </si>
  <si>
    <t>【赵又廷同款】NESPRESSO J520全自动花式雀巢胶囊咖啡机奶泡一体</t>
  </si>
  <si>
    <t>679696771346</t>
  </si>
  <si>
    <t>https://detail.tmall.com/item.htm?id=679696771346</t>
  </si>
  <si>
    <t>咖啡机-41</t>
  </si>
  <si>
    <t>咖啡机-613273866940</t>
  </si>
  <si>
    <t>咖啡机-78</t>
  </si>
  <si>
    <t>NESPRESSO 意式进口家用办公全自动Pixie胶囊咖啡机套装含奶泡机</t>
  </si>
  <si>
    <t>613273866940</t>
  </si>
  <si>
    <t>https://detail.tmall.com/item.htm?id=613273866940</t>
  </si>
  <si>
    <t>咖啡机-42</t>
  </si>
  <si>
    <t>咖啡机-558743399392</t>
  </si>
  <si>
    <t>NESPRESSO Expert Milk 进口智能家用全自动胶囊咖啡机含奶泡机</t>
  </si>
  <si>
    <t>558743399392</t>
  </si>
  <si>
    <t>https://detail.tmall.com/item.htm?id=558743399392</t>
  </si>
  <si>
    <t>咖啡机-43</t>
  </si>
  <si>
    <t>咖啡机-679330127287</t>
  </si>
  <si>
    <t>咖啡机-80</t>
  </si>
  <si>
    <t>NESPRESSO 意式进口家用奶泡一体全自动胶囊咖啡机套装含30颗胶囊</t>
  </si>
  <si>
    <t>679330127287</t>
  </si>
  <si>
    <t>https://detail.tmall.com/item.htm?id=679330127287</t>
  </si>
  <si>
    <t>咖啡机-44</t>
  </si>
  <si>
    <t>咖啡机-727321076836</t>
  </si>
  <si>
    <t>NESPRESSO Vertuo Next 进口家用胶囊咖啡机套装 含14颗胶囊咖啡</t>
  </si>
  <si>
    <t>727321076836</t>
  </si>
  <si>
    <t>https://detail.tmall.com/item.htm?id=727321076836</t>
  </si>
  <si>
    <t>咖啡机-45</t>
  </si>
  <si>
    <t>咖啡机-584375286175</t>
  </si>
  <si>
    <t>咖啡机-48</t>
  </si>
  <si>
    <t>NESPRESSO/奈斯派索 F111 胶囊咖啡机套装含新春8条装</t>
  </si>
  <si>
    <t>584375286175</t>
  </si>
  <si>
    <t>https://detail.tmall.com/item.htm?id=584375286175</t>
  </si>
  <si>
    <t>咖啡机-46</t>
  </si>
  <si>
    <t>咖啡机-558532980093</t>
  </si>
  <si>
    <t>咖啡机-60</t>
  </si>
  <si>
    <t>NESPRESSO Expert 意式进口智能家用商用办公全自动胶囊咖啡机</t>
  </si>
  <si>
    <t>558532980093</t>
  </si>
  <si>
    <t>https://detail.tmall.com/item.htm?id=558532980093</t>
  </si>
  <si>
    <t>咖啡机-47</t>
  </si>
  <si>
    <t>咖啡机-644758605876</t>
  </si>
  <si>
    <t>咖啡机-85</t>
  </si>
  <si>
    <t>NESPRESSO 胶囊咖啡机套装家用全自动奶泡一体咖啡机含100颗胶囊</t>
  </si>
  <si>
    <t>644758605876</t>
  </si>
  <si>
    <t>https://detail.tmall.com/item.htm?id=644758605876</t>
  </si>
  <si>
    <t>咖啡机-757518449047</t>
  </si>
  <si>
    <t>NESPRESSO Inissia 全自动雀巢家用进口咖啡机 含浓遇新禧100颗</t>
  </si>
  <si>
    <t>757518449047</t>
  </si>
  <si>
    <t>https://detail.tmall.com/item.htm?id=757518449047</t>
  </si>
  <si>
    <t>咖啡机-49</t>
  </si>
  <si>
    <t>咖啡机-679126561768</t>
  </si>
  <si>
    <t>【会员专享】NESPRESSO Vertuo Next胶囊咖啡机套装含20颗胶囊</t>
  </si>
  <si>
    <t>679126561768</t>
  </si>
  <si>
    <t>https://detail.tmall.com/item.htm?id=679126561768</t>
  </si>
  <si>
    <t>咖啡机-50</t>
  </si>
  <si>
    <t>咖啡机-613026289509</t>
  </si>
  <si>
    <t>咖啡机-70</t>
  </si>
  <si>
    <t>NESPRESSO Citiz组合含奶泡机 进口全自动家用商用胶囊咖啡机</t>
  </si>
  <si>
    <t>613026289509</t>
  </si>
  <si>
    <t>https://detail.tmall.com/item.htm?id=613026289509</t>
  </si>
  <si>
    <t>咖啡机-51</t>
  </si>
  <si>
    <t>咖啡机-567318473281</t>
  </si>
  <si>
    <t>咖啡机-54</t>
  </si>
  <si>
    <t>NESPRESSO Pixie全自动意式家用咖啡机套装含100颗胶囊</t>
  </si>
  <si>
    <t>567318473281</t>
  </si>
  <si>
    <t>https://detail.tmall.com/item.htm?id=567318473281</t>
  </si>
  <si>
    <t>咖啡机-52</t>
  </si>
  <si>
    <t>咖啡机-536917478680</t>
  </si>
  <si>
    <t>咖啡机-81</t>
  </si>
  <si>
    <t>NESPRESSO/奈斯派索 Umilk C55欧洲进口全自动胶囊咖啡机含奶泡机</t>
  </si>
  <si>
    <t>536917478680</t>
  </si>
  <si>
    <t>https://detail.tmall.com/item.htm?id=536917478680</t>
  </si>
  <si>
    <t>咖啡机-53</t>
  </si>
  <si>
    <t>咖啡机-536886275535</t>
  </si>
  <si>
    <t>咖啡机-82</t>
  </si>
  <si>
    <t>NESPRESSO/奈斯派索  C122 胶囊咖啡机 家用全自动测试链接</t>
  </si>
  <si>
    <t>536886275535</t>
  </si>
  <si>
    <t>https://detail.tmall.com/item.htm?id=536886275535</t>
  </si>
  <si>
    <t>咖啡机-608148004786</t>
  </si>
  <si>
    <t>咖啡机-68</t>
  </si>
  <si>
    <t>NESPRESSO Inissia进口小型胶囊咖啡机套装含奶泡机和50颗胶囊</t>
  </si>
  <si>
    <t>608148004786</t>
  </si>
  <si>
    <t>https://detail.tmall.com/item.htm?id=608148004786</t>
  </si>
  <si>
    <t>咖啡机-55</t>
  </si>
  <si>
    <t>咖啡机-582771999995</t>
  </si>
  <si>
    <t>NESPRESSO/奈斯派索进口全自动胶囊咖啡机组合含限量咖啡品鉴套组</t>
  </si>
  <si>
    <t>582771999995</t>
  </si>
  <si>
    <t>https://detail.tmall.com/item.htm?id=582771999995</t>
  </si>
  <si>
    <t>咖啡机-56</t>
  </si>
  <si>
    <t>咖啡机-536987808649</t>
  </si>
  <si>
    <t>咖啡机-75</t>
  </si>
  <si>
    <t>NESPRESSO/奈斯派索 U系列 C50欧洲进口家用意式胶囊咖啡机</t>
  </si>
  <si>
    <t>536987808649</t>
  </si>
  <si>
    <t>https://detail.tmall.com/item.htm?id=536987808649</t>
  </si>
  <si>
    <t>咖啡机-57</t>
  </si>
  <si>
    <t>咖啡机-577145493421</t>
  </si>
  <si>
    <t>NESPRESSO 意式进口家用商用全自动胶囊咖啡机套装含100颗胶囊</t>
  </si>
  <si>
    <t>577145493421</t>
  </si>
  <si>
    <t>https://detail.tmall.com/item.htm?id=577145493421</t>
  </si>
  <si>
    <t>咖啡机-58</t>
  </si>
  <si>
    <t>咖啡机-600763744588</t>
  </si>
  <si>
    <t>NESPRESSO/奈斯派索 意式小型胶囊咖啡机套装含奶泡机和50颗胶囊</t>
  </si>
  <si>
    <t>600763744588</t>
  </si>
  <si>
    <t>https://detail.tmall.com/item.htm?id=600763744588</t>
  </si>
  <si>
    <t>咖啡机-59</t>
  </si>
  <si>
    <t>咖啡机-740919747904</t>
  </si>
  <si>
    <t>NESPRESSO Vertuo Plus 全自动雀巢胶囊咖啡机套装含80颗胶囊咖啡</t>
  </si>
  <si>
    <t>740919747904</t>
  </si>
  <si>
    <t>https://detail.tmall.com/item.htm?id=740919747904</t>
  </si>
  <si>
    <t>咖啡机-597622587132</t>
  </si>
  <si>
    <t>NESPRESSO/奈斯派索 意式家用小型胶囊咖啡机冰咖啡套装含奶泡机</t>
  </si>
  <si>
    <t>597622587132</t>
  </si>
  <si>
    <t>https://detail.tmall.com/item.htm?id=597622587132</t>
  </si>
  <si>
    <t>咖啡机-61</t>
  </si>
  <si>
    <t>咖啡机-653344569051</t>
  </si>
  <si>
    <t>NESPRESSO Vertuo Next套装含奶泡机 进口家用全自动胶囊咖啡机</t>
  </si>
  <si>
    <t>653344569051</t>
  </si>
  <si>
    <t>https://detail.tmall.com/item.htm?id=653344569051</t>
  </si>
  <si>
    <t>咖啡机-62</t>
  </si>
  <si>
    <t>咖啡机-576913548572</t>
  </si>
  <si>
    <t>NESPRESSO Lattissima Touch 意式进口全自动家用商用胶囊咖啡机</t>
  </si>
  <si>
    <t>576913548572</t>
  </si>
  <si>
    <t>https://detail.tmall.com/item.htm?id=576913548572</t>
  </si>
  <si>
    <t>咖啡机-63</t>
  </si>
  <si>
    <t>咖啡机-634827781327</t>
  </si>
  <si>
    <t>NESPRESSO 进口家用全自动胶囊咖啡机套装含十全十美100颗胶囊</t>
  </si>
  <si>
    <t>634827781327</t>
  </si>
  <si>
    <t>https://detail.tmall.com/item.htm?id=634827781327</t>
  </si>
  <si>
    <t>咖啡机-64</t>
  </si>
  <si>
    <t>咖啡机-612071360066</t>
  </si>
  <si>
    <t>NESPRESSO 小啡象 意式家用办公全自动雀巢胶囊咖啡机含50颗胶囊</t>
  </si>
  <si>
    <t>612071360066</t>
  </si>
  <si>
    <t>https://detail.tmall.com/item.htm?id=612071360066</t>
  </si>
  <si>
    <t>咖啡机-65</t>
  </si>
  <si>
    <t>咖啡机-694977644844</t>
  </si>
  <si>
    <t>NESPRESSO Pixie 新年限定雀巢胶囊咖啡机套装礼盒含30颗咖啡胶囊</t>
  </si>
  <si>
    <t>694977644844</t>
  </si>
  <si>
    <t>https://detail.tmall.com/item.htm?id=694977644844</t>
  </si>
  <si>
    <t>咖啡机-66</t>
  </si>
  <si>
    <t>咖啡机-736127314005</t>
  </si>
  <si>
    <t>NESPRESSO Vertuo Pop 进口胶囊咖啡机含150颗胶囊咖啡赠滑板</t>
  </si>
  <si>
    <t>736127314005</t>
  </si>
  <si>
    <t>https://detail.tmall.com/item.htm?id=736127314005</t>
  </si>
  <si>
    <t>咖啡机-625073696157</t>
  </si>
  <si>
    <t>咖啡机-76</t>
  </si>
  <si>
    <t>NESPRESSO Essenza Mini小型全自动胶囊咖啡机</t>
  </si>
  <si>
    <t>625073696157</t>
  </si>
  <si>
    <t>https://detail.tmall.com/item.htm?id=625073696157</t>
  </si>
  <si>
    <t>咖啡机-555977268577</t>
  </si>
  <si>
    <t>咖啡机-71</t>
  </si>
  <si>
    <t>NESPRESSO/奈斯派索Essenza Mini C30组合 胶囊咖啡机套装</t>
  </si>
  <si>
    <t>555977268577</t>
  </si>
  <si>
    <t>https://detail.tmall.com/item.htm?id=555977268577</t>
  </si>
  <si>
    <t>咖啡机-69</t>
  </si>
  <si>
    <t>咖啡机-690852125224</t>
  </si>
  <si>
    <t>直播NESPRESSO 意式进口全自动家用小型胶囊咖啡机组合含50颗胶囊</t>
  </si>
  <si>
    <t>690852125224</t>
  </si>
  <si>
    <t>https://detail.tmall.com/item.htm?id=690852125224</t>
  </si>
  <si>
    <t>咖啡机-617820680212</t>
  </si>
  <si>
    <t>NESPRESSO 胶囊咖啡机套装家用商用全自动花式咖啡机含100颗胶囊</t>
  </si>
  <si>
    <t>617820680212</t>
  </si>
  <si>
    <t>https://detail.tmall.com/item.htm?id=617820680212</t>
  </si>
  <si>
    <t>咖啡机-653709058449</t>
  </si>
  <si>
    <t>NESPRESSO Vertuo Next全自动胶囊咖啡机套装含大师匠心40颗胶囊</t>
  </si>
  <si>
    <t>653709058449</t>
  </si>
  <si>
    <t>https://detail.tmall.com/item.htm?id=653709058449</t>
  </si>
  <si>
    <t>咖啡机-72</t>
  </si>
  <si>
    <t>咖啡机-537154407573</t>
  </si>
  <si>
    <t>NESPRESSO/奈斯派索 Pixie Clips D60 进口意式全自动 胶囊咖啡机</t>
  </si>
  <si>
    <t>537154407573</t>
  </si>
  <si>
    <t>https://detail.tmall.com/item.htm?id=537154407573</t>
  </si>
  <si>
    <t>咖啡机-558692128608</t>
  </si>
  <si>
    <t>NESPRESSO Expert D80 家用办公意式进口智能全自动胶囊咖啡机</t>
  </si>
  <si>
    <t>558692128608</t>
  </si>
  <si>
    <t>https://detail.tmall.com/item.htm?id=558692128608</t>
  </si>
  <si>
    <t>咖啡机-74</t>
  </si>
  <si>
    <t>咖啡机-664769919021</t>
  </si>
  <si>
    <t>【限量首发】NESPRESSO Vertuo Next胶囊咖啡机套装含40颗胶囊</t>
  </si>
  <si>
    <t>664769919021</t>
  </si>
  <si>
    <t>https://detail.tmall.com/item.htm?id=664769919021</t>
  </si>
  <si>
    <t>咖啡机-575270024843</t>
  </si>
  <si>
    <t>NESPRESSO/奈斯派索胶囊全自动咖啡机套装组合及匠心系列5条装</t>
  </si>
  <si>
    <t>575270024843</t>
  </si>
  <si>
    <t>https://detail.tmall.com/item.htm?id=575270024843</t>
  </si>
  <si>
    <t>咖啡机-558900635261</t>
  </si>
  <si>
    <t>咖啡机-83</t>
  </si>
  <si>
    <t>NESPRESSO Expert Milk C85家用智能全自动胶囊咖啡机含奶泡机</t>
  </si>
  <si>
    <t>558900635261</t>
  </si>
  <si>
    <t>https://detail.tmall.com/item.htm?id=558900635261</t>
  </si>
  <si>
    <t>咖啡机-542294459641</t>
  </si>
  <si>
    <t>【12.12狂欢】NESPRESSO Citiz Milk Facelift 胶囊咖啡机 全自动</t>
  </si>
  <si>
    <t>542294459641</t>
  </si>
  <si>
    <t>https://detail.tmall.com/item.htm?id=542294459641</t>
  </si>
  <si>
    <t>咖啡机-556134149698</t>
  </si>
  <si>
    <t>NESPRESSO/奈斯派索 Essenza Mini D30组合 胶囊咖啡机</t>
  </si>
  <si>
    <t>556134149698</t>
  </si>
  <si>
    <t>https://detail.tmall.com/item.htm?id=556134149698</t>
  </si>
  <si>
    <t>咖啡机-79</t>
  </si>
  <si>
    <t>咖啡机-667470494270</t>
  </si>
  <si>
    <t>NESPRESSO Vertuo Next进口家用办公胶囊咖啡机含40颗黑咖啡胶囊</t>
  </si>
  <si>
    <t>667470494270</t>
  </si>
  <si>
    <t>https://detail.tmall.com/item.htm?id=667470494270</t>
  </si>
  <si>
    <t>咖啡机-537131333332</t>
  </si>
  <si>
    <t>咖啡机-87</t>
  </si>
  <si>
    <t>NESPRESSO/奈斯派索 Lattissima Touch F511进口全自动胶囊咖啡机</t>
  </si>
  <si>
    <t>537131333332</t>
  </si>
  <si>
    <t>https://detail.tmall.com/item.htm?id=537131333332</t>
  </si>
  <si>
    <t>咖啡机-652493290654</t>
  </si>
  <si>
    <t>【静家族推荐】NESPRESSO 全自动家用胶囊咖啡机组合含20颗胶囊</t>
  </si>
  <si>
    <t>652493290654</t>
  </si>
  <si>
    <t>https://detail.tmall.com/item.htm?id=652493290654</t>
  </si>
  <si>
    <t>咖啡机-666990918729</t>
  </si>
  <si>
    <t>NESPRESSO Vertuo Next全自动雀巢胶囊咖啡机套装含30颗胶囊咖啡</t>
  </si>
  <si>
    <t>666990918729</t>
  </si>
  <si>
    <t>https://detail.tmall.com/item.htm?id=666990918729</t>
  </si>
  <si>
    <t>咖啡机-577359475683</t>
  </si>
  <si>
    <t>NESPRESSO/奈斯派索Lattissima Pro咖啡机组合进口家用办公室商用</t>
  </si>
  <si>
    <t>577359475683</t>
  </si>
  <si>
    <t>https://detail.tmall.com/item.htm?id=577359475683</t>
  </si>
  <si>
    <t>咖啡机-84</t>
  </si>
  <si>
    <t>咖啡机-542261808201</t>
  </si>
  <si>
    <t>NESPRESSO Citiz 小型家用商用意式全自动咖啡机 小型胶囊咖啡机</t>
  </si>
  <si>
    <t>542261808201</t>
  </si>
  <si>
    <t>https://detail.tmall.com/item.htm?id=542261808201</t>
  </si>
  <si>
    <t>咖啡机-619749097114</t>
  </si>
  <si>
    <t>咖啡机-88</t>
  </si>
  <si>
    <t>NESPRESSO 雀巢胶囊咖啡机家用商用奶泡一体花式咖啡机含30颗胶囊</t>
  </si>
  <si>
    <t>619749097114</t>
  </si>
  <si>
    <t>https://detail.tmall.com/item.htm?id=619749097114</t>
  </si>
  <si>
    <t>咖啡机-86</t>
  </si>
  <si>
    <t>咖啡机-697526070459</t>
  </si>
  <si>
    <t>NESPRESSO Vertuo Next雀巢胶囊咖啡机套装含20颗胶囊及随行杯</t>
  </si>
  <si>
    <t>697526070459</t>
  </si>
  <si>
    <t>https://detail.tmall.com/item.htm?id=697526070459</t>
  </si>
  <si>
    <t>咖啡机-573858977547</t>
  </si>
  <si>
    <t>NESPRESSO Pixie Clips C60 迷你全自动家用胶囊咖啡机</t>
  </si>
  <si>
    <t>573858977547</t>
  </si>
  <si>
    <t>https://detail.tmall.com/item.htm?id=573858977547</t>
  </si>
  <si>
    <t>咖啡机-537621266109</t>
  </si>
  <si>
    <t>NESPRESSO/奈斯派索 Umilk D55欧洲进口家用胶囊咖啡机 含奶泡机</t>
  </si>
  <si>
    <t>537621266109</t>
  </si>
  <si>
    <t>https://detail.tmall.com/item.htm?id=537621266109</t>
  </si>
  <si>
    <t>咖啡机-89</t>
  </si>
  <si>
    <t>咖啡机-651451921606</t>
  </si>
  <si>
    <t>【Chiara联名款】NESPRESSO Essenza Mini全自动进口胶囊咖啡机</t>
  </si>
  <si>
    <t>651451921606</t>
  </si>
  <si>
    <t>https://detail.tmall.com/item.htm?id=651451921606</t>
  </si>
  <si>
    <t>咖啡机-90</t>
  </si>
  <si>
    <t>咖啡机-696520900362</t>
  </si>
  <si>
    <t>NESPRESSO 限量版CitiZ热情米兰雀巢胶囊咖啡机含20颗胶囊及杯组</t>
  </si>
  <si>
    <t>696520900362</t>
  </si>
  <si>
    <t>https://detail.tmall.com/item.htm?id=696520900362</t>
  </si>
  <si>
    <t>咖啡机-91</t>
  </si>
  <si>
    <t>咖啡机-695690946148</t>
  </si>
  <si>
    <t>NESPRESSO Inissia家用全自动胶囊咖啡机套装含新年新愿100颗胶囊</t>
  </si>
  <si>
    <t>695690946148</t>
  </si>
  <si>
    <t>https://detail.tmall.com/item.htm?id=695690946148</t>
  </si>
  <si>
    <t>咖啡机-92</t>
  </si>
  <si>
    <t>咖啡机-547538178673</t>
  </si>
  <si>
    <t>情人节-降100测试链接  请勿下单！付款后不发货！</t>
  </si>
  <si>
    <t>547538178673</t>
  </si>
  <si>
    <t>https://detail.tmall.com/item.htm?id=547538178673</t>
  </si>
  <si>
    <t>咖啡机-93</t>
  </si>
  <si>
    <t>咖啡机-584517027728</t>
  </si>
  <si>
    <t>NESPRESSO/奈斯派索 C60意式胶囊咖啡机组合含30颗胶囊</t>
  </si>
  <si>
    <t>584517027728</t>
  </si>
  <si>
    <t>https://detail.tmall.com/item.htm?id=584517027728</t>
  </si>
  <si>
    <t>咖啡机-94</t>
  </si>
  <si>
    <t>咖啡机-613028761185</t>
  </si>
  <si>
    <t>NESPRESSO Inissia组合含奶泡机 进口全自动家用办公胶囊咖啡机</t>
  </si>
  <si>
    <t>613028761185</t>
  </si>
  <si>
    <t>https://detail.tmall.com/item.htm?id=613028761185</t>
  </si>
  <si>
    <t>咖啡机-95</t>
  </si>
  <si>
    <t>咖啡机-537169868211</t>
  </si>
  <si>
    <t>NESPRESSO Lattissima Pro F456雀巢胶囊咖啡机 奶泡一体全自动</t>
  </si>
  <si>
    <t>537169868211</t>
  </si>
  <si>
    <t>https://detail.tmall.com/item.htm?id=537169868211</t>
  </si>
  <si>
    <t>咖啡机-96</t>
  </si>
  <si>
    <t>咖啡机-667356447612</t>
  </si>
  <si>
    <t>NESPRESSO Vertuo Plus全自动雀巢胶囊咖啡机套装含30颗胶囊咖啡</t>
  </si>
  <si>
    <t>667356447612</t>
  </si>
  <si>
    <t>https://detail.tmall.com/item.htm?id=667356447612</t>
  </si>
  <si>
    <t>咖啡机-97</t>
  </si>
  <si>
    <t>咖啡机-656448358491</t>
  </si>
  <si>
    <t>NESPRESSO Vertuo Plus 进口家用胶囊咖啡机套装含40颗胶囊咖啡</t>
  </si>
  <si>
    <t>656448358491</t>
  </si>
  <si>
    <t>https://detail.tmall.com/item.htm?id=656448358491</t>
  </si>
  <si>
    <t>咖啡机-98</t>
  </si>
  <si>
    <t>咖啡机-709307206062</t>
  </si>
  <si>
    <t>NESPRESSO Vertuo Pop雀巢胶囊咖啡机咖乐灵感盒含47颗胶囊咖啡</t>
  </si>
  <si>
    <t>709307206062</t>
  </si>
  <si>
    <t>https://detail.tmall.com/item.htm?id=709307206062</t>
  </si>
  <si>
    <t>咖啡机-99</t>
  </si>
  <si>
    <t>咖啡机-682401901652</t>
  </si>
  <si>
    <t>NESPRESSO Citiz 小型家用商用意式全自动咖啡机 智能胶囊咖啡机</t>
  </si>
  <si>
    <t>682401901652</t>
  </si>
  <si>
    <t>https://detail.tmall.com/item.htm?id=682401901652</t>
  </si>
  <si>
    <t>咖啡机-100</t>
  </si>
  <si>
    <t>咖啡机-584242237057</t>
  </si>
  <si>
    <t>NESPRESSO/奈斯派索 全自动胶囊咖啡机套装含新春8条装</t>
  </si>
  <si>
    <t>584242237057</t>
  </si>
  <si>
    <t>https://detail.tmall.com/item.htm?id=584242237057</t>
  </si>
  <si>
    <t>咖啡机-101</t>
  </si>
  <si>
    <t>咖啡机-623148928559</t>
  </si>
  <si>
    <t>NESPRESSO 意式进口全自动家用小型胶囊咖啡机组合含浓烈50颗胶囊</t>
  </si>
  <si>
    <t>623148928559</t>
  </si>
  <si>
    <t>https://detail.tmall.com/item.htm?id=623148928559</t>
  </si>
  <si>
    <t>咖啡机-102</t>
  </si>
  <si>
    <t>咖啡机-613273194697</t>
  </si>
  <si>
    <t>613273194697</t>
  </si>
  <si>
    <t>https://detail.tmall.com/item.htm?id=613273194697</t>
  </si>
  <si>
    <t>咖啡机-103</t>
  </si>
  <si>
    <t>咖啡机-609901100089</t>
  </si>
  <si>
    <t>NESPRESSO Pixie全自动意式家用胶囊咖啡机套装含新春100颗胶囊</t>
  </si>
  <si>
    <t>609901100089</t>
  </si>
  <si>
    <t>https://detail.tmall.com/item.htm?id=609901100089</t>
  </si>
  <si>
    <t>胶囊咖啡-1</t>
  </si>
  <si>
    <t>胶囊咖啡-550991640624</t>
  </si>
  <si>
    <t>胶囊咖啡-3</t>
  </si>
  <si>
    <t>NESPRESSO雀巢胶囊咖啡 瑞士原装进口美式浓缩黑咖啡套装50颗装</t>
  </si>
  <si>
    <t>550991640624</t>
  </si>
  <si>
    <t>https://detail.tmall.com/item.htm?id=550991640624</t>
  </si>
  <si>
    <t>胶囊咖啡-2</t>
  </si>
  <si>
    <t>胶囊咖啡-575424169613</t>
  </si>
  <si>
    <t>胶囊咖啡-9</t>
  </si>
  <si>
    <t>NESPRESSO雀巢胶囊咖啡套装 遇意悠长100颗装 进口美式意式黑咖啡</t>
  </si>
  <si>
    <t>575424169613</t>
  </si>
  <si>
    <t>https://detail.tmall.com/item.htm?id=575424169613</t>
  </si>
  <si>
    <t>胶囊咖啡-575262100826</t>
  </si>
  <si>
    <t>NESPRESSO雀巢胶囊咖啡150颗装进口黑咖啡赠杯碟套装新用户礼遇</t>
  </si>
  <si>
    <t>575262100826</t>
  </si>
  <si>
    <t>https://detail.tmall.com/item.htm?id=575262100826</t>
  </si>
  <si>
    <t>胶囊咖啡-4</t>
  </si>
  <si>
    <t>胶囊咖啡-538630835742</t>
  </si>
  <si>
    <t>胶囊咖啡-6</t>
  </si>
  <si>
    <t>NESPRESSO雀巢胶囊咖啡套装 人气精选100颗装 进口美式意式黑咖啡</t>
  </si>
  <si>
    <t>538630835742</t>
  </si>
  <si>
    <t>https://detail.tmall.com/item.htm?id=538630835742</t>
  </si>
  <si>
    <t>胶囊咖啡-5</t>
  </si>
  <si>
    <t>胶囊咖啡-536883223682</t>
  </si>
  <si>
    <t>胶囊咖啡-8</t>
  </si>
  <si>
    <t>NESPRESSO雀巢胶囊咖啡 意式浓烈套装 进口美式浓烈黑咖啡50颗装</t>
  </si>
  <si>
    <t>536883223682</t>
  </si>
  <si>
    <t>https://detail.tmall.com/item.htm?id=536883223682</t>
  </si>
  <si>
    <t>胶囊咖啡-739943137420</t>
  </si>
  <si>
    <t>NESPRESSO胶囊咖啡 节日限量版胶囊咖啡 瑞士进口黑咖啡30颗装</t>
  </si>
  <si>
    <t>739943137420</t>
  </si>
  <si>
    <t>https://detail.tmall.com/item.htm?id=739943137420</t>
  </si>
  <si>
    <t>胶囊咖啡-7</t>
  </si>
  <si>
    <t>胶囊咖啡-575423533200</t>
  </si>
  <si>
    <t>NESPRESSO雀巢胶囊咖啡 全明星精选150颗 进口美式意式黑咖啡包邮</t>
  </si>
  <si>
    <t>575423533200</t>
  </si>
  <si>
    <t>https://detail.tmall.com/item.htm?id=575423533200</t>
  </si>
  <si>
    <t>胶囊咖啡-537023048925</t>
  </si>
  <si>
    <t>胶囊咖啡-10</t>
  </si>
  <si>
    <t>NESPRESSO雀巢胶囊咖啡 阿佩奇欧 瑞士进口意式浓缩黑咖啡10颗装</t>
  </si>
  <si>
    <t>537023048925</t>
  </si>
  <si>
    <t>https://detail.tmall.com/item.htm?id=537023048925</t>
  </si>
  <si>
    <t>胶囊咖啡-598555548827</t>
  </si>
  <si>
    <t>胶囊咖啡-11</t>
  </si>
  <si>
    <t>NESPRESSO雀巢胶囊咖啡 咖啡大师之作 进口美式浓缩黑咖啡30颗装</t>
  </si>
  <si>
    <t>598555548827</t>
  </si>
  <si>
    <t>https://detail.tmall.com/item.htm?id=598555548827</t>
  </si>
  <si>
    <t>胶囊咖啡-752404182503</t>
  </si>
  <si>
    <t>NESPRESSO雀巢胶囊咖啡套装 人气节日精选  美式浓缩咖啡150颗装</t>
  </si>
  <si>
    <t>752404182503</t>
  </si>
  <si>
    <t>https://detail.tmall.com/item.htm?id=752404182503</t>
  </si>
  <si>
    <t>胶囊咖啡-537022584998</t>
  </si>
  <si>
    <t>胶囊咖啡-12</t>
  </si>
  <si>
    <t>NESPRESSO雀巢胶囊咖啡 芮斯崔朵 瑞士进口意式浓缩黑咖啡10颗装</t>
  </si>
  <si>
    <t>537022584998</t>
  </si>
  <si>
    <t>https://detail.tmall.com/item.htm?id=537022584998</t>
  </si>
  <si>
    <t>胶囊咖啡-575642587989</t>
  </si>
  <si>
    <t>胶囊咖啡-14</t>
  </si>
  <si>
    <t>NESPRESSO雀巢胶囊咖啡 大师匠心 意式美式浓缩黑咖啡50颗装</t>
  </si>
  <si>
    <t>575642587989</t>
  </si>
  <si>
    <t>https://detail.tmall.com/item.htm?id=575642587989</t>
  </si>
  <si>
    <t>胶囊咖啡-13</t>
  </si>
  <si>
    <t>胶囊咖啡-743823471823</t>
  </si>
  <si>
    <t>NESPRESSO胶囊咖啡 限量版杯中绮境礼盒 美式浓缩黑咖啡120颗装</t>
  </si>
  <si>
    <t>743823471823</t>
  </si>
  <si>
    <t>https://detail.tmall.com/item.htm?id=743823471823</t>
  </si>
  <si>
    <t>胶囊咖啡-598814305746</t>
  </si>
  <si>
    <t>胶囊咖啡-18</t>
  </si>
  <si>
    <t>NESPRESSO雀巢胶囊咖啡 黑咖啡200颗 美式意式黑咖啡胶囊包邮</t>
  </si>
  <si>
    <t>598814305746</t>
  </si>
  <si>
    <t>https://detail.tmall.com/item.htm?id=598814305746</t>
  </si>
  <si>
    <t>胶囊咖啡-15</t>
  </si>
  <si>
    <t>胶囊咖啡-653702646461</t>
  </si>
  <si>
    <t>胶囊咖啡-19</t>
  </si>
  <si>
    <t>NESPRESSO雀巢胶囊咖啡 Vertuo系列 迎新套装100颗装美式黑咖啡</t>
  </si>
  <si>
    <t>653702646461</t>
  </si>
  <si>
    <t>https://detail.tmall.com/item.htm?id=653702646461</t>
  </si>
  <si>
    <t>胶囊咖啡-16</t>
  </si>
  <si>
    <t>胶囊咖啡-612580074961</t>
  </si>
  <si>
    <t>NESPRESSO雀巢胶囊咖啡 那不勒斯 瑞士进口意式浓缩黑咖啡10颗装</t>
  </si>
  <si>
    <t>612580074961</t>
  </si>
  <si>
    <t>https://detail.tmall.com/item.htm?id=612580074961</t>
  </si>
  <si>
    <t>胶囊咖啡-17</t>
  </si>
  <si>
    <t>胶囊咖啡-652898872291</t>
  </si>
  <si>
    <t>胶囊咖啡-33</t>
  </si>
  <si>
    <t>NESPRESSO雀巢胶囊咖啡 Vertuo系列馥郁浓醇80颗装进口美式黑咖啡</t>
  </si>
  <si>
    <t>652898872291</t>
  </si>
  <si>
    <t>https://detail.tmall.com/item.htm?id=652898872291</t>
  </si>
  <si>
    <t>胶囊咖啡-537168248088</t>
  </si>
  <si>
    <t>NESPRESSO雀巢胶囊咖啡 黄金焦糖风味进口意式浓缩黑咖啡10颗装</t>
  </si>
  <si>
    <t>537168248088</t>
  </si>
  <si>
    <t>https://detail.tmall.com/item.htm?id=537168248088</t>
  </si>
  <si>
    <t>胶囊咖啡-536946706627</t>
  </si>
  <si>
    <t>胶囊咖啡-20</t>
  </si>
  <si>
    <t>NESPRESSO雀巢胶囊咖啡 卡莎 瑞士原装进口意式浓缩黑咖啡10颗装</t>
  </si>
  <si>
    <t>536946706627</t>
  </si>
  <si>
    <t>https://detail.tmall.com/item.htm?id=536946706627</t>
  </si>
  <si>
    <t>胶囊咖啡-536832643380</t>
  </si>
  <si>
    <t>胶囊咖啡-24</t>
  </si>
  <si>
    <t>NESPRESSO雀巢胶囊咖啡 罗马 瑞士原装进口意式浓缩黑咖啡10颗装</t>
  </si>
  <si>
    <t>536832643380</t>
  </si>
  <si>
    <t>https://detail.tmall.com/item.htm?id=536832643380</t>
  </si>
  <si>
    <t>胶囊咖啡-21</t>
  </si>
  <si>
    <t>胶囊咖啡-709251817689</t>
  </si>
  <si>
    <t>NESPRESSO雀巢胶囊咖啡 榛果风味咖啡 进口意式浓缩黑咖啡10颗装</t>
  </si>
  <si>
    <t>709251817689</t>
  </si>
  <si>
    <t>https://detail.tmall.com/item.htm?id=709251817689</t>
  </si>
  <si>
    <t>胶囊咖啡-22</t>
  </si>
  <si>
    <t>胶囊咖啡-655559413027</t>
  </si>
  <si>
    <t>胶囊咖啡-27</t>
  </si>
  <si>
    <t>NESPRESSO雀巢胶囊咖啡 Vertuo系列套装组合 120颗装美式黑咖啡</t>
  </si>
  <si>
    <t>655559413027</t>
  </si>
  <si>
    <t>https://detail.tmall.com/item.htm?id=655559413027</t>
  </si>
  <si>
    <t>胶囊咖啡-23</t>
  </si>
  <si>
    <t>胶囊咖啡-575642883230</t>
  </si>
  <si>
    <t>NESPRESSO雀巢胶囊咖啡 环球之旅套装 瑞士进口黑咖啡100颗装包邮</t>
  </si>
  <si>
    <t>575642883230</t>
  </si>
  <si>
    <t>https://detail.tmall.com/item.htm?id=575642883230</t>
  </si>
  <si>
    <t>胶囊咖啡-537025628149</t>
  </si>
  <si>
    <t>胶囊咖啡-25</t>
  </si>
  <si>
    <t>NESPRESSO雀巢胶囊咖啡 沃鲁托瑞士 进口意式浓缩黑咖啡10颗装</t>
  </si>
  <si>
    <t>537025628149</t>
  </si>
  <si>
    <t>https://detail.tmall.com/item.htm?id=537025628149</t>
  </si>
  <si>
    <t>胶囊咖啡-537167348690</t>
  </si>
  <si>
    <t>NESPRESSO雀巢胶囊咖啡 丝绒黑巧风味进口意式浓缩黑咖啡10颗装</t>
  </si>
  <si>
    <t>537167348690</t>
  </si>
  <si>
    <t>https://detail.tmall.com/item.htm?id=537167348690</t>
  </si>
  <si>
    <t>胶囊咖啡-26</t>
  </si>
  <si>
    <t>胶囊咖啡-719478119848</t>
  </si>
  <si>
    <t>NESPRESSO雀巢胶囊咖啡 Vertuo系列咖啡师创意之选系列风味40颗装</t>
  </si>
  <si>
    <t>719478119848</t>
  </si>
  <si>
    <t>https://detail.tmall.com/item.htm?id=719478119848</t>
  </si>
  <si>
    <t>胶囊咖啡-575266268108</t>
  </si>
  <si>
    <t>胶囊咖啡-36</t>
  </si>
  <si>
    <t>NESPRESSO雀巢胶囊咖啡 邂逅浓醇 美式意式黑咖啡胶囊100颗装包邮</t>
  </si>
  <si>
    <t>575266268108</t>
  </si>
  <si>
    <t>https://detail.tmall.com/item.htm?id=575266268108</t>
  </si>
  <si>
    <t>胶囊咖啡-28</t>
  </si>
  <si>
    <t>胶囊咖啡-703738272202</t>
  </si>
  <si>
    <t>NESPRESSO Original系列胶囊咖啡 美式意式黑咖啡胶囊100颗装包邮</t>
  </si>
  <si>
    <t>703738272202</t>
  </si>
  <si>
    <t>https://detail.tmall.com/item.htm?id=703738272202</t>
  </si>
  <si>
    <t>胶囊咖啡-29</t>
  </si>
  <si>
    <t>胶囊咖啡-718856268255</t>
  </si>
  <si>
    <t>NESPRESSO雀巢胶囊咖啡 大师匠心胶囊及清洁剂套装 黑咖啡50颗装</t>
  </si>
  <si>
    <t>718856268255</t>
  </si>
  <si>
    <t>https://detail.tmall.com/item.htm?id=718856268255</t>
  </si>
  <si>
    <t>胶囊咖啡-30</t>
  </si>
  <si>
    <t>胶囊咖啡-575203124541</t>
  </si>
  <si>
    <t>NESPRESSO雀巢胶囊咖啡 大师匠心哥伦比亚进口浓缩黑咖啡10颗装</t>
  </si>
  <si>
    <t>575203124541</t>
  </si>
  <si>
    <t>https://detail.tmall.com/item.htm?id=575203124541</t>
  </si>
  <si>
    <t>胶囊咖啡-31</t>
  </si>
  <si>
    <t>胶囊咖啡-537017631679</t>
  </si>
  <si>
    <t>NESPRESSO雀巢胶囊咖啡 香草蛋挞风味 进口意式浓缩黑咖啡10颗装</t>
  </si>
  <si>
    <t>537017631679</t>
  </si>
  <si>
    <t>https://detail.tmall.com/item.htm?id=537017631679</t>
  </si>
  <si>
    <t>胶囊咖啡-32</t>
  </si>
  <si>
    <t>胶囊咖啡-739038593429</t>
  </si>
  <si>
    <t>NESPRESSO胶囊咖啡 焦糖坚果酥风味瑞士进口美式浓缩黑咖啡10颗装</t>
  </si>
  <si>
    <t>739038593429</t>
  </si>
  <si>
    <t>https://detail.tmall.com/item.htm?id=739038593429</t>
  </si>
  <si>
    <t>胶囊咖啡-536952474316</t>
  </si>
  <si>
    <t>NESPRESSO雀巢胶囊咖啡 阿佩奇欧低咖啡因 意式浓缩黑咖啡10颗装</t>
  </si>
  <si>
    <t>536952474316</t>
  </si>
  <si>
    <t>https://detail.tmall.com/item.htm?id=536952474316</t>
  </si>
  <si>
    <t>胶囊咖啡-34</t>
  </si>
  <si>
    <t>胶囊咖啡-675081331921</t>
  </si>
  <si>
    <t>NESPRESSO雀巢胶囊咖啡 巴黎浓缩咖啡 进口意式浓缩黑咖啡10颗装</t>
  </si>
  <si>
    <t>675081331921</t>
  </si>
  <si>
    <t>https://detail.tmall.com/item.htm?id=675081331921</t>
  </si>
  <si>
    <t>胶囊咖啡-35</t>
  </si>
  <si>
    <t>胶囊咖啡-575264900524</t>
  </si>
  <si>
    <t>NESPRESSO雀巢胶囊咖啡套装 浓遇啡凡150颗装 意式进口浓缩黑咖啡</t>
  </si>
  <si>
    <t>575264900524</t>
  </si>
  <si>
    <t>https://detail.tmall.com/item.htm?id=575264900524</t>
  </si>
  <si>
    <t>胶囊咖啡-575200992951</t>
  </si>
  <si>
    <t>胶囊咖啡-37</t>
  </si>
  <si>
    <t>NESPRESSO雀巢胶囊咖啡 大师匠心埃塞俄比亚进口浓缩黑咖啡10颗装</t>
  </si>
  <si>
    <t>575200992951</t>
  </si>
  <si>
    <t>https://detail.tmall.com/item.htm?id=575200992951</t>
  </si>
  <si>
    <t>胶囊咖啡-537027808029</t>
  </si>
  <si>
    <t>胶囊咖啡-38</t>
  </si>
  <si>
    <t>NESPRESSO雀巢胶囊咖啡 沃鲁托低咖啡因意式浓缩黑咖啡10颗装</t>
  </si>
  <si>
    <t>537027808029</t>
  </si>
  <si>
    <t>https://detail.tmall.com/item.htm?id=537027808029</t>
  </si>
  <si>
    <t>胶囊咖啡-537123945437</t>
  </si>
  <si>
    <t>NESPRESSO雀巢胶囊咖啡 东京大杯 瑞士进口意式浓缩黑咖啡10颗装</t>
  </si>
  <si>
    <t>537123945437</t>
  </si>
  <si>
    <t>https://detail.tmall.com/item.htm?id=537123945437</t>
  </si>
  <si>
    <t>胶囊咖啡-39</t>
  </si>
  <si>
    <t>胶囊咖啡-537024292471</t>
  </si>
  <si>
    <t>NESPRESSO雀巢胶囊咖啡 莉梵朵 瑞士进口意式浓缩黑咖啡10颗装</t>
  </si>
  <si>
    <t>537024292471</t>
  </si>
  <si>
    <t>https://detail.tmall.com/item.htm?id=537024292471</t>
  </si>
  <si>
    <t>胶囊咖啡-40</t>
  </si>
  <si>
    <t>胶囊咖啡-679188415870</t>
  </si>
  <si>
    <t>胶囊咖啡-111</t>
  </si>
  <si>
    <t>12月 WO赠品更换 测试测试链接 请勿下单！测试 付款后不发货！</t>
  </si>
  <si>
    <t>679188415870</t>
  </si>
  <si>
    <t>https://detail.tmall.com/item.htm?id=679188415870</t>
  </si>
  <si>
    <t>胶囊咖啡-41</t>
  </si>
  <si>
    <t>胶囊咖啡-738685880145</t>
  </si>
  <si>
    <t>NESPRESSO胶囊咖啡 节日限量版胶囊咖啡 瑞士进口黑咖啡50颗装</t>
  </si>
  <si>
    <t>738685880145</t>
  </si>
  <si>
    <t>https://detail.tmall.com/item.htm?id=738685880145</t>
  </si>
  <si>
    <t>胶囊咖啡-42</t>
  </si>
  <si>
    <t>胶囊咖啡-719089973975</t>
  </si>
  <si>
    <t>【粉丝礼遇】NESPRESSO雀巢胶囊咖啡套装 含大师匠心50颗装及杯垫</t>
  </si>
  <si>
    <t>719089973975</t>
  </si>
  <si>
    <t>https://detail.tmall.com/item.htm?id=719089973975</t>
  </si>
  <si>
    <t>胶囊咖啡-43</t>
  </si>
  <si>
    <t>胶囊咖啡-536986793105</t>
  </si>
  <si>
    <t>NESPRESSO雀巢胶囊咖啡 卡碧其欧 瑞士进口意式浓缩黑咖啡10颗装</t>
  </si>
  <si>
    <t>536986793105</t>
  </si>
  <si>
    <t>https://detail.tmall.com/item.htm?id=536986793105</t>
  </si>
  <si>
    <t>胶囊咖啡-44</t>
  </si>
  <si>
    <t>胶囊咖啡-704484175268</t>
  </si>
  <si>
    <t>704484175268</t>
  </si>
  <si>
    <t>https://detail.tmall.com/item.htm?id=704484175268</t>
  </si>
  <si>
    <t>胶囊咖啡-45</t>
  </si>
  <si>
    <t>胶囊咖啡-537123625070</t>
  </si>
  <si>
    <t>NESPRESSO雀巢胶囊咖啡 斯德哥尔摩大杯进口意式浓缩黑咖啡10颗装</t>
  </si>
  <si>
    <t>537123625070</t>
  </si>
  <si>
    <t>https://detail.tmall.com/item.htm?id=537123625070</t>
  </si>
  <si>
    <t>胶囊咖啡-46</t>
  </si>
  <si>
    <t>胶囊咖啡-612581270245</t>
  </si>
  <si>
    <t>NESPRESSO雀巢胶囊咖啡 威尼斯 瑞士进口意式浓缩黑咖啡10颗装</t>
  </si>
  <si>
    <t>612581270245</t>
  </si>
  <si>
    <t>https://detail.tmall.com/item.htm?id=612581270245</t>
  </si>
  <si>
    <t>胶囊咖啡-47</t>
  </si>
  <si>
    <t>胶囊咖啡-751697465054</t>
  </si>
  <si>
    <t>适用于Nespresso OL 咖啡机 NESPRESSO 香草蛋挞黑咖啡10颗装</t>
  </si>
  <si>
    <t>751697465054</t>
  </si>
  <si>
    <t>https://detail.tmall.com/item.htm?id=751697465054</t>
  </si>
  <si>
    <t>胶囊咖啡-48</t>
  </si>
  <si>
    <t>胶囊咖啡-635143030279</t>
  </si>
  <si>
    <t>NESPRESSO雀巢胶囊咖啡 上海大杯瑞士进口意式黑咖啡胶囊10颗装</t>
  </si>
  <si>
    <t>635143030279</t>
  </si>
  <si>
    <t>https://detail.tmall.com/item.htm?id=635143030279</t>
  </si>
  <si>
    <t>胶囊咖啡-49</t>
  </si>
  <si>
    <t>胶囊咖啡-592890095614</t>
  </si>
  <si>
    <t>NESPRESSO雀巢胶囊咖啡 咖啡大师之作斯库诺进口浓缩黑咖啡10颗装</t>
  </si>
  <si>
    <t>592890095614</t>
  </si>
  <si>
    <t>https://detail.tmall.com/item.htm?id=592890095614</t>
  </si>
  <si>
    <t>胶囊咖啡-50</t>
  </si>
  <si>
    <t>胶囊咖啡-726968670932</t>
  </si>
  <si>
    <t>适用于Nespresso OL 咖啡机 NESPRESSO 伊斯坦布尔黑咖啡10颗装</t>
  </si>
  <si>
    <t>726968670932</t>
  </si>
  <si>
    <t>https://detail.tmall.com/item.htm?id=726968670932</t>
  </si>
  <si>
    <t>胶囊咖啡-51</t>
  </si>
  <si>
    <t>胶囊咖啡-537085138362</t>
  </si>
  <si>
    <t>NESPRESSO雀巢胶囊咖啡 开普敦大杯 进口意式浓缩黑咖啡10颗装</t>
  </si>
  <si>
    <t>537085138362</t>
  </si>
  <si>
    <t>https://detail.tmall.com/item.htm?id=537085138362</t>
  </si>
  <si>
    <t>胶囊咖啡-52</t>
  </si>
  <si>
    <t>胶囊咖啡-703736788439</t>
  </si>
  <si>
    <t>703736788439</t>
  </si>
  <si>
    <t>https://detail.tmall.com/item.htm?id=703736788439</t>
  </si>
  <si>
    <t>胶囊咖啡-53</t>
  </si>
  <si>
    <t>胶囊咖啡-537127825310</t>
  </si>
  <si>
    <t>NESPRESSO雀巢胶囊咖啡 维也纳大杯 进口意式浓缩黑咖啡10颗装</t>
  </si>
  <si>
    <t>537127825310</t>
  </si>
  <si>
    <t>https://detail.tmall.com/item.htm?id=537127825310</t>
  </si>
  <si>
    <t>胶囊咖啡-54</t>
  </si>
  <si>
    <t>胶囊咖啡-597186869409</t>
  </si>
  <si>
    <t>胶囊咖啡-57</t>
  </si>
  <si>
    <t>NESPRESSO雀巢胶囊咖啡 咖啡大师之作绮亚罗进口浓缩黑咖啡10颗装</t>
  </si>
  <si>
    <t>597186869409</t>
  </si>
  <si>
    <t>https://detail.tmall.com/item.htm?id=597186869409</t>
  </si>
  <si>
    <t>胶囊咖啡-55</t>
  </si>
  <si>
    <t>胶囊咖啡-592336196256</t>
  </si>
  <si>
    <t>NESPRESSO雀巢胶囊咖啡 咖啡大师之作科托进口浓缩黑咖啡10颗装</t>
  </si>
  <si>
    <t>592336196256</t>
  </si>
  <si>
    <t>https://detail.tmall.com/item.htm?id=592336196256</t>
  </si>
  <si>
    <t>胶囊咖啡-56</t>
  </si>
  <si>
    <t>胶囊咖啡-741131041994</t>
  </si>
  <si>
    <t>NESPRESSO胶囊咖啡 限量版20号咖啡胶囊 进口美式浓缩黑咖啡5颗装</t>
  </si>
  <si>
    <t>741131041994</t>
  </si>
  <si>
    <t>https://detail.tmall.com/item.htm?id=741131041994</t>
  </si>
  <si>
    <t>胶囊咖啡-654090167214</t>
  </si>
  <si>
    <t>胶囊咖啡-61</t>
  </si>
  <si>
    <t>NESPRESSO雀巢胶囊咖啡 Vertuo系列大师匠心40颗装进口美式黑咖啡</t>
  </si>
  <si>
    <t>654090167214</t>
  </si>
  <si>
    <t>https://detail.tmall.com/item.htm?id=654090167214</t>
  </si>
  <si>
    <t>胶囊咖啡-58</t>
  </si>
  <si>
    <t>胶囊咖啡-575475986994</t>
  </si>
  <si>
    <t>NESPRESSO雀巢胶囊咖啡 大师匠心尼加拉瓜进口浓缩黑咖啡10颗装</t>
  </si>
  <si>
    <t>575475986994</t>
  </si>
  <si>
    <t>https://detail.tmall.com/item.htm?id=575475986994</t>
  </si>
  <si>
    <t>胶囊咖啡-59</t>
  </si>
  <si>
    <t>胶囊咖啡-728355997458</t>
  </si>
  <si>
    <t>NESPRESSO胶囊咖啡 滴滤风格咖啡胶囊套装进口美式浓缩咖啡20颗装</t>
  </si>
  <si>
    <t>728355997458</t>
  </si>
  <si>
    <t>https://detail.tmall.com/item.htm?id=728355997458</t>
  </si>
  <si>
    <t>胶囊咖啡-60</t>
  </si>
  <si>
    <t>胶囊咖啡-575480370672</t>
  </si>
  <si>
    <t>NESPRESSO雀巢胶囊咖啡 大师匠心印度尼西亚进口浓缩黑咖啡10颗装</t>
  </si>
  <si>
    <t>575480370672</t>
  </si>
  <si>
    <t>https://detail.tmall.com/item.htm?id=575480370672</t>
  </si>
  <si>
    <t>胶囊咖啡-739039197902</t>
  </si>
  <si>
    <t>NESPRESSO胶囊咖啡 节日暖心香料风味 进口美式浓缩黑咖啡10颗装</t>
  </si>
  <si>
    <t>739039197902</t>
  </si>
  <si>
    <t>https://detail.tmall.com/item.htm?id=739039197902</t>
  </si>
  <si>
    <t>胶囊咖啡-62</t>
  </si>
  <si>
    <t>胶囊咖啡-654312423744</t>
  </si>
  <si>
    <t>胶囊咖啡-67</t>
  </si>
  <si>
    <t>NESPRESSO雀巢胶囊咖啡 Vertuo系列 浓醇双份浓缩黑咖啡10颗装</t>
  </si>
  <si>
    <t>654312423744</t>
  </si>
  <si>
    <t>https://detail.tmall.com/item.htm?id=654312423744</t>
  </si>
  <si>
    <t>胶囊咖啡-63</t>
  </si>
  <si>
    <t>胶囊咖啡-671006404909</t>
  </si>
  <si>
    <t>NESPRESSO雀巢胶囊咖啡 里约热内卢 进口意式浓缩黑咖啡10颗装</t>
  </si>
  <si>
    <t>671006404909</t>
  </si>
  <si>
    <t>https://detail.tmall.com/item.htm?id=671006404909</t>
  </si>
  <si>
    <t>胶囊咖啡-64</t>
  </si>
  <si>
    <t>胶囊咖啡-638191074198</t>
  </si>
  <si>
    <t>NESPRESSO雀巢胶囊咖啡 布宜诺斯艾利斯大杯 浓缩黑咖啡10颗装</t>
  </si>
  <si>
    <t>638191074198</t>
  </si>
  <si>
    <t>https://detail.tmall.com/item.htm?id=638191074198</t>
  </si>
  <si>
    <t>胶囊咖啡-65</t>
  </si>
  <si>
    <t>胶囊咖啡-653937722799</t>
  </si>
  <si>
    <t>NESPRESSO雀巢胶囊咖啡 Vertuo系列 浓烈咖啡 浓缩黑咖啡10颗装</t>
  </si>
  <si>
    <t>653937722799</t>
  </si>
  <si>
    <t>https://detail.tmall.com/item.htm?id=653937722799</t>
  </si>
  <si>
    <t>胶囊咖啡-66</t>
  </si>
  <si>
    <t>胶囊咖啡-653550873914</t>
  </si>
  <si>
    <t>胶囊咖啡-79</t>
  </si>
  <si>
    <t>NESPRESSO雀巢胶囊咖啡 Vertuo系列 阿尔缇西欧浓缩黑咖啡10颗装</t>
  </si>
  <si>
    <t>653550873914</t>
  </si>
  <si>
    <t>https://detail.tmall.com/item.htm?id=653550873914</t>
  </si>
  <si>
    <t>胶囊咖啡-739037369757</t>
  </si>
  <si>
    <t>NESPRESSO胶囊咖啡 节日意式浓缩黑咖啡进口美式浓缩黑咖啡10颗装</t>
  </si>
  <si>
    <t>739037369757</t>
  </si>
  <si>
    <t>https://detail.tmall.com/item.htm?id=739037369757</t>
  </si>
  <si>
    <t>胶囊咖啡-68</t>
  </si>
  <si>
    <t>胶囊咖啡-654324567766</t>
  </si>
  <si>
    <t>NESPRESSO雀巢胶囊咖啡 Vertuo系列 梅乐奇欧 浓缩黑咖啡10颗装</t>
  </si>
  <si>
    <t>654324567766</t>
  </si>
  <si>
    <t>https://detail.tmall.com/item.htm?id=654324567766</t>
  </si>
  <si>
    <t>胶囊咖啡-69</t>
  </si>
  <si>
    <t>胶囊咖啡-743822723764</t>
  </si>
  <si>
    <t>NESPRESSO Vertuo系列 限量版杯中绮境礼盒瑞士进口黑咖啡100颗装</t>
  </si>
  <si>
    <t>743822723764</t>
  </si>
  <si>
    <t>https://detail.tmall.com/item.htm?id=743822723764</t>
  </si>
  <si>
    <t>胶囊咖啡-70</t>
  </si>
  <si>
    <t>胶囊咖啡-735328816719</t>
  </si>
  <si>
    <t>适用于Nespresso OL 咖啡机NESPRESSO胶囊咖啡浓郁滴滤10颗装</t>
  </si>
  <si>
    <t>735328816719</t>
  </si>
  <si>
    <t>https://detail.tmall.com/item.htm?id=735328816719</t>
  </si>
  <si>
    <t>胶囊咖啡-71</t>
  </si>
  <si>
    <t>胶囊咖啡-740039670667</t>
  </si>
  <si>
    <t>NESPRESSO Vertuo系列胶囊咖啡 节日限量版 瑞士进口黑咖啡30颗装</t>
  </si>
  <si>
    <t>740039670667</t>
  </si>
  <si>
    <t>https://detail.tmall.com/item.htm?id=740039670667</t>
  </si>
  <si>
    <t>胶囊咖啡-72</t>
  </si>
  <si>
    <t>胶囊咖啡-653933926911</t>
  </si>
  <si>
    <t>胶囊咖啡-99</t>
  </si>
  <si>
    <t>NESPRESSO雀巢胶囊咖啡 Vertuo系列 隆迪欧 进口浓缩黑咖啡10颗装</t>
  </si>
  <si>
    <t>653933926911</t>
  </si>
  <si>
    <t>https://detail.tmall.com/item.htm?id=653933926911</t>
  </si>
  <si>
    <t>胶囊咖啡-73</t>
  </si>
  <si>
    <t>胶囊咖啡-653563741720</t>
  </si>
  <si>
    <t>NESPRESSO雀巢胶囊咖啡 Vertuo系列 史道米欧 浓缩黑咖啡10颗装</t>
  </si>
  <si>
    <t>653563741720</t>
  </si>
  <si>
    <t>https://detail.tmall.com/item.htm?id=653563741720</t>
  </si>
  <si>
    <t>胶囊咖啡-74</t>
  </si>
  <si>
    <t>胶囊咖啡-671725494247</t>
  </si>
  <si>
    <t>NESPRESSO雀巢胶囊咖啡 伊斯坦布尔 进口意式浓缩黑咖啡10颗装</t>
  </si>
  <si>
    <t>671725494247</t>
  </si>
  <si>
    <t>https://detail.tmall.com/item.htm?id=671725494247</t>
  </si>
  <si>
    <t>胶囊咖啡-75</t>
  </si>
  <si>
    <t>胶囊咖啡-654322227169</t>
  </si>
  <si>
    <t>胶囊咖啡-77</t>
  </si>
  <si>
    <t>NESPRESSO雀巢胶囊咖啡 Vertuo系列烤榛果风味浓缩黑咖啡10颗装</t>
  </si>
  <si>
    <t>654322227169</t>
  </si>
  <si>
    <t>https://detail.tmall.com/item.htm?id=654322227169</t>
  </si>
  <si>
    <t>胶囊咖啡-76</t>
  </si>
  <si>
    <t>胶囊咖啡-654321067011</t>
  </si>
  <si>
    <t>胶囊咖啡-86</t>
  </si>
  <si>
    <t>NESPRESSO雀巢胶囊咖啡 Vertuo系列 墨西哥进口浓缩黑咖啡10颗装</t>
  </si>
  <si>
    <t>654321067011</t>
  </si>
  <si>
    <t>https://detail.tmall.com/item.htm?id=654321067011</t>
  </si>
  <si>
    <t>胶囊咖啡-656278319040</t>
  </si>
  <si>
    <t>胶囊咖啡-106</t>
  </si>
  <si>
    <t>NESPRESSO雀巢胶囊咖啡 Vertuo系列 阿尔缇西欧轻茵黑咖啡10颗装</t>
  </si>
  <si>
    <t>656278319040</t>
  </si>
  <si>
    <t>https://detail.tmall.com/item.htm?id=656278319040</t>
  </si>
  <si>
    <t>胶囊咖啡-78</t>
  </si>
  <si>
    <t>胶囊咖啡-653934562207</t>
  </si>
  <si>
    <t>NESPRESSO雀巢胶囊咖啡 Vertuo系列 哥斯达黎加浓缩黑咖啡10颗装</t>
  </si>
  <si>
    <t>653934562207</t>
  </si>
  <si>
    <t>https://detail.tmall.com/item.htm?id=653934562207</t>
  </si>
  <si>
    <t>胶囊咖啡-654324535284</t>
  </si>
  <si>
    <t>NESPRESSO雀巢胶囊咖啡 Vertuo系列 达西欧进口浓缩黑咖啡10颗装</t>
  </si>
  <si>
    <t>654324535284</t>
  </si>
  <si>
    <t>https://detail.tmall.com/item.htm?id=654324535284</t>
  </si>
  <si>
    <t>胶囊咖啡-80</t>
  </si>
  <si>
    <t>胶囊咖啡-681893321553</t>
  </si>
  <si>
    <t>胶囊咖啡-102</t>
  </si>
  <si>
    <t>NESPRESSO雀巢胶囊咖啡 Vertuo系列 丝滑浓享浓缩黑咖啡10颗装</t>
  </si>
  <si>
    <t>681893321553</t>
  </si>
  <si>
    <t>https://detail.tmall.com/item.htm?id=681893321553</t>
  </si>
  <si>
    <t>胶囊咖啡-81</t>
  </si>
  <si>
    <t>胶囊咖啡-653559557401</t>
  </si>
  <si>
    <t>NESPRESSO雀巢胶囊咖啡 Vertuo系列 福尔塔多 浓缩黑咖啡10颗装</t>
  </si>
  <si>
    <t>653559557401</t>
  </si>
  <si>
    <t>https://detail.tmall.com/item.htm?id=653559557401</t>
  </si>
  <si>
    <t>胶囊咖啡-82</t>
  </si>
  <si>
    <t>胶囊咖啡-655062512924</t>
  </si>
  <si>
    <t>胶囊咖啡-97</t>
  </si>
  <si>
    <t>NESPRESSO雀巢胶囊咖啡 Vertuo系列 奥拉斐 进口浓缩黑咖啡10颗装</t>
  </si>
  <si>
    <t>655062512924</t>
  </si>
  <si>
    <t>https://detail.tmall.com/item.htm?id=655062512924</t>
  </si>
  <si>
    <t>胶囊咖啡-83</t>
  </si>
  <si>
    <t>胶囊咖啡-751551892557</t>
  </si>
  <si>
    <t>适用于Nespresso OL 咖啡机 NESPRESSO  温和滴滤黑咖啡10颗装</t>
  </si>
  <si>
    <t>751551892557</t>
  </si>
  <si>
    <t>https://detail.tmall.com/item.htm?id=751551892557</t>
  </si>
  <si>
    <t>胶囊咖啡-84</t>
  </si>
  <si>
    <t>胶囊咖啡-653560361544</t>
  </si>
  <si>
    <t>NESPRESSO雀巢胶囊咖啡 Vertuo系列 哥伦比亚 浓缩黑咖啡10颗装</t>
  </si>
  <si>
    <t>653560361544</t>
  </si>
  <si>
    <t>https://detail.tmall.com/item.htm?id=653560361544</t>
  </si>
  <si>
    <t>胶囊咖啡-85</t>
  </si>
  <si>
    <t>胶囊咖啡-654311191803</t>
  </si>
  <si>
    <t>胶囊咖啡-100</t>
  </si>
  <si>
    <t>NESPRESSO雀巢胶囊咖啡 Vertuo系列 沃缇索 进口浓缩黑咖啡10颗装</t>
  </si>
  <si>
    <t>654311191803</t>
  </si>
  <si>
    <t>https://detail.tmall.com/item.htm?id=654311191803</t>
  </si>
  <si>
    <t>胶囊咖啡-654313127369</t>
  </si>
  <si>
    <t>NESPRESSO雀巢胶囊咖啡 Vertuo系列 轻柔双份浓缩黑咖啡10颗装</t>
  </si>
  <si>
    <t>654313127369</t>
  </si>
  <si>
    <t>https://detail.tmall.com/item.htm?id=654313127369</t>
  </si>
  <si>
    <t>胶囊咖啡-87</t>
  </si>
  <si>
    <t>胶囊咖啡-655064568592</t>
  </si>
  <si>
    <t>胶囊咖啡-91</t>
  </si>
  <si>
    <t>NESPRESSO雀巢胶囊咖啡 Vertuo系列梅乐奇欧低因进口黑咖啡10颗装</t>
  </si>
  <si>
    <t>655064568592</t>
  </si>
  <si>
    <t>https://detail.tmall.com/item.htm?id=655064568592</t>
  </si>
  <si>
    <t>胶囊咖啡-88</t>
  </si>
  <si>
    <t>胶囊咖啡-653545149224</t>
  </si>
  <si>
    <t>NESPRESSO雀巢胶囊咖啡 Vertuo系列 迪沃利托浓缩黑咖啡10颗装</t>
  </si>
  <si>
    <t>653545149224</t>
  </si>
  <si>
    <t>https://detail.tmall.com/item.htm?id=653545149224</t>
  </si>
  <si>
    <t>胶囊咖啡-89</t>
  </si>
  <si>
    <t>胶囊咖啡-653935406584</t>
  </si>
  <si>
    <t>胶囊咖啡-96</t>
  </si>
  <si>
    <t>NESPRESSO雀巢胶囊咖啡 Vertuo系列 埃塞俄比亚浓缩黑咖啡10颗装</t>
  </si>
  <si>
    <t>653935406584</t>
  </si>
  <si>
    <t>https://detail.tmall.com/item.htm?id=653935406584</t>
  </si>
  <si>
    <t>胶囊咖啡-90</t>
  </si>
  <si>
    <t>胶囊咖啡-665781149773</t>
  </si>
  <si>
    <t>NESPRESSO雀巢胶囊咖啡 Vertuo系列甜美双份浓缩进口黑咖啡10颗装</t>
  </si>
  <si>
    <t>665781149773</t>
  </si>
  <si>
    <t>https://detail.tmall.com/item.htm?id=665781149773</t>
  </si>
  <si>
    <t>胶囊咖啡-653131516603</t>
  </si>
  <si>
    <t>胶囊咖啡-95</t>
  </si>
  <si>
    <t>NESPRESSO雀巢胶囊咖啡 Vertuo系列 轻茵咖啡 低因黑咖啡10颗装</t>
  </si>
  <si>
    <t>653131516603</t>
  </si>
  <si>
    <t>https://detail.tmall.com/item.htm?id=653131516603</t>
  </si>
  <si>
    <t>胶囊咖啡-92</t>
  </si>
  <si>
    <t>胶囊咖啡-655514445519</t>
  </si>
  <si>
    <t>NESPRESSO雀巢胶囊咖啡 Vertuo系列 伊涅兹欧 浓缩黑咖啡10颗装</t>
  </si>
  <si>
    <t>655514445519</t>
  </si>
  <si>
    <t>https://detail.tmall.com/item.htm?id=655514445519</t>
  </si>
  <si>
    <t>胶囊咖啡-93</t>
  </si>
  <si>
    <t>胶囊咖啡-654325079411</t>
  </si>
  <si>
    <t>NESPRESSO雀巢胶囊咖啡 Vertuo系列 索雷利欧 浓缩黑咖啡10颗装</t>
  </si>
  <si>
    <t>654325079411</t>
  </si>
  <si>
    <t>https://detail.tmall.com/item.htm?id=654325079411</t>
  </si>
  <si>
    <t>胶囊咖啡-94</t>
  </si>
  <si>
    <t>胶囊咖啡-681540608806</t>
  </si>
  <si>
    <t>NESPRESSO雀巢胶囊咖啡 Vertuo系列  馥郁可可风味黑咖啡10颗装</t>
  </si>
  <si>
    <t>681540608806</t>
  </si>
  <si>
    <t>https://detail.tmall.com/item.htm?id=681540608806</t>
  </si>
  <si>
    <t>胶囊咖啡-653128068276</t>
  </si>
  <si>
    <t>NESPRESSO雀巢胶囊咖啡 Vertuo系列甜心香草风味浓缩黑咖啡10颗装</t>
  </si>
  <si>
    <t>653128068276</t>
  </si>
  <si>
    <t>https://detail.tmall.com/item.htm?id=653128068276</t>
  </si>
  <si>
    <t>胶囊咖啡-655514337275</t>
  </si>
  <si>
    <t>胶囊咖啡-104</t>
  </si>
  <si>
    <t>NESPRESSO雀巢胶囊咖啡 Vertuo系列福尔塔多低因进口黑咖啡10颗装</t>
  </si>
  <si>
    <t>655514337275</t>
  </si>
  <si>
    <t>https://detail.tmall.com/item.htm?id=655514337275</t>
  </si>
  <si>
    <t>胶囊咖啡-739041637839</t>
  </si>
  <si>
    <t>NESPRESSO Vertuo系列焦糖坚果酥风味胶囊咖啡 进口黑咖啡10颗装</t>
  </si>
  <si>
    <t>739041637839</t>
  </si>
  <si>
    <t>https://detail.tmall.com/item.htm?id=739041637839</t>
  </si>
  <si>
    <t>胶囊咖啡-98</t>
  </si>
  <si>
    <t>胶囊咖啡-739267267326</t>
  </si>
  <si>
    <t>NESPRESSO Vertuo系列节日双份意式浓缩黑咖啡 进口黑咖啡10颗装</t>
  </si>
  <si>
    <t>739267267326</t>
  </si>
  <si>
    <t>https://detail.tmall.com/item.htm?id=739267267326</t>
  </si>
  <si>
    <t>胶囊咖啡-653935870220</t>
  </si>
  <si>
    <t>NESPRESSO雀巢胶囊咖啡 Vertuo系列黄金焦糖风味浓缩黑咖啡10颗装</t>
  </si>
  <si>
    <t>653935870220</t>
  </si>
  <si>
    <t>https://detail.tmall.com/item.htm?id=653935870220</t>
  </si>
  <si>
    <t>胶囊咖啡-681894101793</t>
  </si>
  <si>
    <t>胶囊咖啡-103</t>
  </si>
  <si>
    <t>NESPRESSO雀巢胶囊咖啡 Vertuo系列 杜比欧悠享浓缩黑咖啡10颗装</t>
  </si>
  <si>
    <t>681894101793</t>
  </si>
  <si>
    <t>https://detail.tmall.com/item.htm?id=681894101793</t>
  </si>
  <si>
    <t>胶囊咖啡-101</t>
  </si>
  <si>
    <t>胶囊咖啡-654323043971</t>
  </si>
  <si>
    <t>NESPRESSO雀巢胶囊咖啡 Vertuo系列 浓情醇享浓缩黑咖啡10颗装</t>
  </si>
  <si>
    <t>654323043971</t>
  </si>
  <si>
    <t>https://detail.tmall.com/item.htm?id=654323043971</t>
  </si>
  <si>
    <t>胶囊咖啡-728660851925</t>
  </si>
  <si>
    <t>NESPRESSO胶囊咖啡 温和滴滤风格咖啡胶囊 意式浓缩黑咖啡10颗装</t>
  </si>
  <si>
    <t>728660851925</t>
  </si>
  <si>
    <t>https://detail.tmall.com/item.htm?id=728660851925</t>
  </si>
  <si>
    <t>胶囊咖啡-644764821107</t>
  </si>
  <si>
    <t>胶囊咖啡-131</t>
  </si>
  <si>
    <t>NESPRESSO胶囊咖啡 咖啡师创意之选浓烈冰咖啡 冰美式黑咖啡10颗</t>
  </si>
  <si>
    <t>644764821107</t>
  </si>
  <si>
    <t>https://detail.tmall.com/item.htm?id=644764821107</t>
  </si>
  <si>
    <t>胶囊咖啡-676737855294</t>
  </si>
  <si>
    <t>胶囊咖啡-120</t>
  </si>
  <si>
    <t>NESPRESSO胶囊咖啡 咖啡师创意之选淡雅冰咖啡 冰美式黑咖啡10颗</t>
  </si>
  <si>
    <t>676737855294</t>
  </si>
  <si>
    <t>https://detail.tmall.com/item.htm?id=676737855294</t>
  </si>
  <si>
    <t>胶囊咖啡-105</t>
  </si>
  <si>
    <t>胶囊咖啡-731005006551</t>
  </si>
  <si>
    <t>NESPRESSO雀巢胶囊咖啡 Vertuo系列 萨尔瓦多 浓缩黑咖啡10颗装</t>
  </si>
  <si>
    <t>731005006551</t>
  </si>
  <si>
    <t>https://detail.tmall.com/item.htm?id=731005006551</t>
  </si>
  <si>
    <t>胶囊咖啡-681538868986</t>
  </si>
  <si>
    <t>NESPRESSO雀巢胶囊咖啡 Vertuo系列  花式牛奶 美式黑咖啡30颗装</t>
  </si>
  <si>
    <t>681538868986</t>
  </si>
  <si>
    <t>https://detail.tmall.com/item.htm?id=681538868986</t>
  </si>
  <si>
    <t>胶囊咖啡-107</t>
  </si>
  <si>
    <t>胶囊咖啡-673794287762</t>
  </si>
  <si>
    <t>胶囊咖啡-110</t>
  </si>
  <si>
    <t>NESPRESSO雀巢胶囊咖啡 Vertuo系列 浓烈分享咖啡浓缩黑咖啡7颗装</t>
  </si>
  <si>
    <t>673794287762</t>
  </si>
  <si>
    <t>https://detail.tmall.com/item.htm?id=673794287762</t>
  </si>
  <si>
    <t>胶囊咖啡-108</t>
  </si>
  <si>
    <t>胶囊咖啡-728493602275</t>
  </si>
  <si>
    <t>NESPRESSO胶囊咖啡 浓郁滴滤风格咖啡胶囊 意式浓缩黑咖啡10颗装</t>
  </si>
  <si>
    <t>728493602275</t>
  </si>
  <si>
    <t>https://detail.tmall.com/item.htm?id=728493602275</t>
  </si>
  <si>
    <t>胶囊咖啡-109</t>
  </si>
  <si>
    <t>胶囊咖啡-738859808234</t>
  </si>
  <si>
    <t>NESPRESSO Vertuo系列节日暖心香料风味胶囊咖啡进口黑咖啡10颗装</t>
  </si>
  <si>
    <t>738859808234</t>
  </si>
  <si>
    <t>https://detail.tmall.com/item.htm?id=738859808234</t>
  </si>
  <si>
    <t>胶囊咖啡-676126353331</t>
  </si>
  <si>
    <t>NESPRESSO Vertuo系列 清柔淡雅冰咖啡 胶囊咖啡浓缩黑咖啡10颗装</t>
  </si>
  <si>
    <t>676126353331</t>
  </si>
  <si>
    <t>https://detail.tmall.com/item.htm?id=676126353331</t>
  </si>
  <si>
    <t>胶囊咖啡-684783975799</t>
  </si>
  <si>
    <t>胶囊咖啡-152</t>
  </si>
  <si>
    <t>NESPRESSO Vertuo系列源地复兴哥伦比亚咖啡意式浓缩黑咖啡10颗装</t>
  </si>
  <si>
    <t>684783975799</t>
  </si>
  <si>
    <t>https://detail.tmall.com/item.htm?id=684783975799</t>
  </si>
  <si>
    <t>胶囊咖啡-112</t>
  </si>
  <si>
    <t>胶囊咖啡-655513717317</t>
  </si>
  <si>
    <t>NESPRESSO雀巢胶囊咖啡 Vertuo系列浓意咖啡进口浓缩黑咖啡10颗装</t>
  </si>
  <si>
    <t>655513717317</t>
  </si>
  <si>
    <t>https://detail.tmall.com/item.htm?id=655513717317</t>
  </si>
  <si>
    <t>胶囊咖啡-113</t>
  </si>
  <si>
    <t>胶囊咖啡-673843568346</t>
  </si>
  <si>
    <t>胶囊咖啡-159</t>
  </si>
  <si>
    <t>NESPRESSO胶囊咖啡套装 意式浓缩黑咖啡100颗装 瑞士进口 包邮</t>
  </si>
  <si>
    <t>673843568346</t>
  </si>
  <si>
    <t>https://detail.tmall.com/item.htm?id=673843568346</t>
  </si>
  <si>
    <t>胶囊咖啡-114</t>
  </si>
  <si>
    <t>胶囊咖啡-676788919211</t>
  </si>
  <si>
    <t>胶囊咖啡-143</t>
  </si>
  <si>
    <t>NESPRESSO Vertuo系列夏日限定40颗装胶囊咖啡瑞士进口浓缩黑咖啡</t>
  </si>
  <si>
    <t>676788919211</t>
  </si>
  <si>
    <t>https://detail.tmall.com/item.htm?id=676788919211</t>
  </si>
  <si>
    <t>胶囊咖啡-115</t>
  </si>
  <si>
    <t>胶囊咖啡-537159028299</t>
  </si>
  <si>
    <t>胶囊咖啡-192</t>
  </si>
  <si>
    <t>NESPRESSO胶囊咖啡 Vivalto Lungo Decaffeinato低因黑咖啡10颗装</t>
  </si>
  <si>
    <t>537159028299</t>
  </si>
  <si>
    <t>https://detail.tmall.com/item.htm?id=537159028299</t>
  </si>
  <si>
    <t>胶囊咖啡-116</t>
  </si>
  <si>
    <t>胶囊咖啡-678631025915</t>
  </si>
  <si>
    <t>胶囊咖啡-118</t>
  </si>
  <si>
    <t>【会员专享】NESPRESSO胶囊咖啡 大师匠心系列50颗装含马克杯单杯</t>
  </si>
  <si>
    <t>678631025915</t>
  </si>
  <si>
    <t>https://detail.tmall.com/item.htm?id=678631025915</t>
  </si>
  <si>
    <t>胶囊咖啡-117</t>
  </si>
  <si>
    <t>胶囊咖啡-654674907331</t>
  </si>
  <si>
    <t>胶囊咖啡-156</t>
  </si>
  <si>
    <t>NESPRESSO胶囊咖啡 新品限量版咖啡 意式进口浓烈咖啡胶囊20颗装</t>
  </si>
  <si>
    <t>654674907331</t>
  </si>
  <si>
    <t>https://detail.tmall.com/item.htm?id=654674907331</t>
  </si>
  <si>
    <t>胶囊咖啡-625382553989</t>
  </si>
  <si>
    <t>胶囊咖啡-194</t>
  </si>
  <si>
    <t>NESPRESSO胶囊咖啡套装 亚洲甄选100颗装含咖啡杯组 原装进口包邮</t>
  </si>
  <si>
    <t>625382553989</t>
  </si>
  <si>
    <t>https://detail.tmall.com/item.htm?id=625382553989</t>
  </si>
  <si>
    <t>胶囊咖啡-119</t>
  </si>
  <si>
    <t>胶囊咖啡-644364312867</t>
  </si>
  <si>
    <t>【限量礼盒】NESPRESSO胶囊咖啡套装 限量版夏日冰纷咖啡礼包</t>
  </si>
  <si>
    <t>644364312867</t>
  </si>
  <si>
    <t>https://detail.tmall.com/item.htm?id=644364312867</t>
  </si>
  <si>
    <t>胶囊咖啡-673773690057</t>
  </si>
  <si>
    <t>胶囊咖啡-140</t>
  </si>
  <si>
    <t>【618预售】NESPRESSO胶囊咖啡 天猫联名胶囊礼盒 黑咖啡150颗装</t>
  </si>
  <si>
    <t>673773690057</t>
  </si>
  <si>
    <t>https://detail.tmall.com/item.htm?id=673773690057</t>
  </si>
  <si>
    <t>胶囊咖啡-121</t>
  </si>
  <si>
    <t>胶囊咖啡-719209203151</t>
  </si>
  <si>
    <t>NESPRESSO雀巢胶囊咖啡 冰咖啡5条装 美式浓缩冰美式黑咖啡50颗装</t>
  </si>
  <si>
    <t>719209203151</t>
  </si>
  <si>
    <t>https://detail.tmall.com/item.htm?id=719209203151</t>
  </si>
  <si>
    <t>胶囊咖啡-122</t>
  </si>
  <si>
    <t>胶囊咖啡-716489772070</t>
  </si>
  <si>
    <t>适用于Nespresso OL 咖啡机 NESPRESSO胶囊咖啡 里约热内卢10颗装</t>
  </si>
  <si>
    <t>716489772070</t>
  </si>
  <si>
    <t>https://detail.tmall.com/item.htm?id=716489772070</t>
  </si>
  <si>
    <t>胶囊咖啡-123</t>
  </si>
  <si>
    <t>胶囊咖啡-592874494311</t>
  </si>
  <si>
    <t>胶囊咖啡-137</t>
  </si>
  <si>
    <t>【618狂欢】NESPRESSO胶囊咖啡 限量版冰咖啡系列组合100颗装包邮</t>
  </si>
  <si>
    <t>592874494311</t>
  </si>
  <si>
    <t>https://detail.tmall.com/item.htm?id=592874494311</t>
  </si>
  <si>
    <t>胶囊咖啡-124</t>
  </si>
  <si>
    <t>胶囊咖啡-654675523340</t>
  </si>
  <si>
    <t>胶囊咖啡-171</t>
  </si>
  <si>
    <t>【典藏版】NESPRESSO胶囊咖啡 夏威夷科纳意式浓缩黑咖啡10颗装</t>
  </si>
  <si>
    <t>654675523340</t>
  </si>
  <si>
    <t>https://detail.tmall.com/item.htm?id=654675523340</t>
  </si>
  <si>
    <t>胶囊咖啡-125</t>
  </si>
  <si>
    <t>胶囊咖啡-654289486595</t>
  </si>
  <si>
    <t>NESPRESSO胶囊咖啡套装 浓烈甄选瑞士进口意式浓烈黑咖啡50颗装</t>
  </si>
  <si>
    <t>654289486595</t>
  </si>
  <si>
    <t>https://detail.tmall.com/item.htm?id=654289486595</t>
  </si>
  <si>
    <t>胶囊咖啡-126</t>
  </si>
  <si>
    <t>胶囊咖啡-651097516486</t>
  </si>
  <si>
    <t>胶囊咖啡-162</t>
  </si>
  <si>
    <t>NESPRESSO胶囊咖啡 Chiara挚爱精选套装含随行杯 意式浓缩黑咖啡</t>
  </si>
  <si>
    <t>651097516486</t>
  </si>
  <si>
    <t>https://detail.tmall.com/item.htm?id=651097516486</t>
  </si>
  <si>
    <t>胶囊咖啡-127</t>
  </si>
  <si>
    <t>胶囊咖啡-653562709947</t>
  </si>
  <si>
    <t>胶囊咖啡-147</t>
  </si>
  <si>
    <t>NESPRESSO Vertuo系列 淡雅畅享进口浓缩胶囊咖啡黑咖啡10颗装</t>
  </si>
  <si>
    <t>653562709947</t>
  </si>
  <si>
    <t>https://detail.tmall.com/item.htm?id=653562709947</t>
  </si>
  <si>
    <t>胶囊咖啡-128</t>
  </si>
  <si>
    <t>胶囊咖啡-601769406167</t>
  </si>
  <si>
    <t>胶囊咖啡-146</t>
  </si>
  <si>
    <t>NESPRESSO胶囊咖啡套装  咖啡明星50颗装 瑞士进口意式浓缩咖啡</t>
  </si>
  <si>
    <t>601769406167</t>
  </si>
  <si>
    <t>https://detail.tmall.com/item.htm?id=601769406167</t>
  </si>
  <si>
    <t>胶囊咖啡-129</t>
  </si>
  <si>
    <t>胶囊咖啡-537026560646</t>
  </si>
  <si>
    <t>NESPRESSO雀巢胶囊咖啡 科斯 瑞士进口意式浓缩黑咖啡10颗装</t>
  </si>
  <si>
    <t>537026560646</t>
  </si>
  <si>
    <t>https://detail.tmall.com/item.htm?id=537026560646</t>
  </si>
  <si>
    <t>胶囊咖啡-130</t>
  </si>
  <si>
    <t>胶囊咖啡-681913530042</t>
  </si>
  <si>
    <t>NESPRESSO雀巢胶囊咖啡 Vertuo系列咖啡师灵感盒进口黑咖啡70颗装</t>
  </si>
  <si>
    <t>681913530042</t>
  </si>
  <si>
    <t>https://detail.tmall.com/item.htm?id=681913530042</t>
  </si>
  <si>
    <t>胶囊咖啡-692484403749</t>
  </si>
  <si>
    <t>NESPRESSO Original系列限量版倒数日历咖啡胶囊礼盒</t>
  </si>
  <si>
    <t>692484403749</t>
  </si>
  <si>
    <t>https://detail.tmall.com/item.htm?id=692484403749</t>
  </si>
  <si>
    <t>胶囊咖啡-132</t>
  </si>
  <si>
    <t>胶囊咖啡-653477016452</t>
  </si>
  <si>
    <t>胶囊咖啡-205</t>
  </si>
  <si>
    <t>NESPRESSO胶囊咖啡 意大利1900s 进口意式浓缩黑咖啡胶囊10颗装</t>
  </si>
  <si>
    <t>653477016452</t>
  </si>
  <si>
    <t>https://detail.tmall.com/item.htm?id=653477016452</t>
  </si>
  <si>
    <t>胶囊咖啡-133</t>
  </si>
  <si>
    <t>胶囊咖啡-697518610211</t>
  </si>
  <si>
    <t>NESPRESSO雀巢胶囊咖啡 创意之选系列风味咖啡胶囊意式浓缩50颗装</t>
  </si>
  <si>
    <t>697518610211</t>
  </si>
  <si>
    <t>https://detail.tmall.com/item.htm?id=697518610211</t>
  </si>
  <si>
    <t>胶囊咖啡-134</t>
  </si>
  <si>
    <t>胶囊咖啡-676788299074</t>
  </si>
  <si>
    <t>胶囊咖啡-198</t>
  </si>
  <si>
    <t>NESPRESSO胶囊咖啡 夏日限定100颗装含马克杯 意式进口浓缩黑咖啡</t>
  </si>
  <si>
    <t>676788299074</t>
  </si>
  <si>
    <t>https://detail.tmall.com/item.htm?id=676788299074</t>
  </si>
  <si>
    <t>胶囊咖啡-135</t>
  </si>
  <si>
    <t>胶囊咖啡-711207844879</t>
  </si>
  <si>
    <t>【直播专享】NESPRESSO胶囊咖啡 咖啡大师之作斯库诺黑咖啡10颗装</t>
  </si>
  <si>
    <t>711207844879</t>
  </si>
  <si>
    <t>https://detail.tmall.com/item.htm?id=711207844879</t>
  </si>
  <si>
    <t>胶囊咖啡-136</t>
  </si>
  <si>
    <t>胶囊咖啡-738910426882</t>
  </si>
  <si>
    <t>NESPRESSO胶囊咖啡 限量版南瓜香料蛋糕风味  美式浓缩咖啡10颗装</t>
  </si>
  <si>
    <t>738910426882</t>
  </si>
  <si>
    <t>https://detail.tmall.com/item.htm?id=738910426882</t>
  </si>
  <si>
    <t>胶囊咖啡-630479649270</t>
  </si>
  <si>
    <t>胶囊咖啡-187</t>
  </si>
  <si>
    <t>NESPRESSO胶囊咖啡 限量版浓意咖啡 瑞士进口浓缩黑咖啡10颗装</t>
  </si>
  <si>
    <t>630479649270</t>
  </si>
  <si>
    <t>https://detail.tmall.com/item.htm?id=630479649270</t>
  </si>
  <si>
    <t>胶囊咖啡-138</t>
  </si>
  <si>
    <t>胶囊咖啡-739094231413</t>
  </si>
  <si>
    <t>739094231413</t>
  </si>
  <si>
    <t>https://detail.tmall.com/item.htm?id=739094231413</t>
  </si>
  <si>
    <t>胶囊咖啡-139</t>
  </si>
  <si>
    <t>胶囊咖啡-662488336463</t>
  </si>
  <si>
    <t>NESPRESSO Vertuo系列限量版森之深胶囊咖啡意式浓缩黑咖啡10颗装</t>
  </si>
  <si>
    <t>662488336463</t>
  </si>
  <si>
    <t>https://detail.tmall.com/item.htm?id=662488336463</t>
  </si>
  <si>
    <t>胶囊咖啡-671009736560</t>
  </si>
  <si>
    <t>NESPRESSO胶囊咖啡 致敬世界咖啡之都 - 异域之都黑咖啡50颗装</t>
  </si>
  <si>
    <t>671009736560</t>
  </si>
  <si>
    <t>https://detail.tmall.com/item.htm?id=671009736560</t>
  </si>
  <si>
    <t>胶囊咖啡-141</t>
  </si>
  <si>
    <t>胶囊咖啡-668079496762</t>
  </si>
  <si>
    <t>胶囊咖啡-144</t>
  </si>
  <si>
    <t>NESPRESSO胶囊咖啡 进口限量版迈阿密咖啡意式浓缩黑咖啡10颗装</t>
  </si>
  <si>
    <t>668079496762</t>
  </si>
  <si>
    <t>https://detail.tmall.com/item.htm?id=668079496762</t>
  </si>
  <si>
    <t>胶囊咖啡-142</t>
  </si>
  <si>
    <t>胶囊咖啡-609963801561</t>
  </si>
  <si>
    <t>胶囊咖啡-175</t>
  </si>
  <si>
    <t>NESPRESSO胶囊咖啡  十全十美新春套装 意式浓缩黑咖啡100颗装</t>
  </si>
  <si>
    <t>609963801561</t>
  </si>
  <si>
    <t>https://detail.tmall.com/item.htm?id=609963801561</t>
  </si>
  <si>
    <t>胶囊咖啡-678176055168</t>
  </si>
  <si>
    <t>【直播专享】NESPRESSO Vertuo系列瑞士进口意式浓缩咖啡10颗装</t>
  </si>
  <si>
    <t>678176055168</t>
  </si>
  <si>
    <t>https://detail.tmall.com/item.htm?id=678176055168</t>
  </si>
  <si>
    <t>胶囊咖啡-664704277508</t>
  </si>
  <si>
    <t>NESPRESSO Vertuo系列新年新愿80颗装胶囊咖啡瑞士进口浓缩黑咖啡</t>
  </si>
  <si>
    <t>664704277508</t>
  </si>
  <si>
    <t>https://detail.tmall.com/item.htm?id=664704277508</t>
  </si>
  <si>
    <t>胶囊咖啡-145</t>
  </si>
  <si>
    <t>胶囊咖啡-689412408879</t>
  </si>
  <si>
    <t>NESPRESSO Vertuo系列挚爱巴黎浆果风味胶囊咖啡进口黑咖啡10颗装</t>
  </si>
  <si>
    <t>689412408879</t>
  </si>
  <si>
    <t>https://detail.tmall.com/item.htm?id=689412408879</t>
  </si>
  <si>
    <t>胶囊咖啡-630482617623</t>
  </si>
  <si>
    <t>胶囊咖啡-154</t>
  </si>
  <si>
    <t>NESPRESSO胶囊咖啡 进口限量版意式杏仁饼风味咖啡浓缩咖啡10颗装</t>
  </si>
  <si>
    <t>630482617623</t>
  </si>
  <si>
    <t>https://detail.tmall.com/item.htm?id=630482617623</t>
  </si>
  <si>
    <t>胶囊咖啡-711502982608</t>
  </si>
  <si>
    <t>适用于Nespresso OL 咖啡机 NESPRESSO 哥伦比亚浓缩黑咖啡10颗装</t>
  </si>
  <si>
    <t>711502982608</t>
  </si>
  <si>
    <t>https://detail.tmall.com/item.htm?id=711502982608</t>
  </si>
  <si>
    <t>胶囊咖啡-148</t>
  </si>
  <si>
    <t>胶囊咖啡-655886778227</t>
  </si>
  <si>
    <t>NESPRESSO雀巢胶囊咖啡 Vertuo系列 托坎托 进口浓缩黑咖啡10颗装</t>
  </si>
  <si>
    <t>655886778227</t>
  </si>
  <si>
    <t>https://detail.tmall.com/item.htm?id=655886778227</t>
  </si>
  <si>
    <t>胶囊咖啡-149</t>
  </si>
  <si>
    <t>胶囊咖啡-649576520396</t>
  </si>
  <si>
    <t>胶囊咖啡-167</t>
  </si>
  <si>
    <t>NESPRESSO胶囊咖啡 源地复兴古巴咖啡意式进口浓缩黑咖啡10颗装</t>
  </si>
  <si>
    <t>649576520396</t>
  </si>
  <si>
    <t>https://detail.tmall.com/item.htm?id=649576520396</t>
  </si>
  <si>
    <t>胶囊咖啡-150</t>
  </si>
  <si>
    <t>胶囊咖啡-717569370042</t>
  </si>
  <si>
    <t>NESPRESSO雀巢胶囊咖啡 冰咖啡3条装 冰美式意式黑咖啡30颗装</t>
  </si>
  <si>
    <t>717569370042</t>
  </si>
  <si>
    <t>https://detail.tmall.com/item.htm?id=717569370042</t>
  </si>
  <si>
    <t>胶囊咖啡-151</t>
  </si>
  <si>
    <t>胶囊咖啡-723302213720</t>
  </si>
  <si>
    <t>NESPRESSO雀巢胶囊咖啡 匠心浓缩套装 进口意式浓缩黑咖啡50颗装</t>
  </si>
  <si>
    <t>723302213720</t>
  </si>
  <si>
    <t>https://detail.tmall.com/item.htm?id=723302213720</t>
  </si>
  <si>
    <t>胶囊咖啡-593518356537</t>
  </si>
  <si>
    <t>NESPRESSO胶囊咖啡 环球臻享10条装 仅上海百联门店自提</t>
  </si>
  <si>
    <t>593518356537</t>
  </si>
  <si>
    <t>https://detail.tmall.com/item.htm?id=593518356537</t>
  </si>
  <si>
    <t>胶囊咖啡-153</t>
  </si>
  <si>
    <t>胶囊咖啡-671289137389</t>
  </si>
  <si>
    <t>胶囊咖啡-180</t>
  </si>
  <si>
    <t>NESPRESSO Vertuo系列限量版巴布亚新几内亚胶囊咖啡黑咖啡10颗装</t>
  </si>
  <si>
    <t>671289137389</t>
  </si>
  <si>
    <t>https://detail.tmall.com/item.htm?id=671289137389</t>
  </si>
  <si>
    <t>胶囊咖啡-657179935634</t>
  </si>
  <si>
    <t>胶囊咖啡-176</t>
  </si>
  <si>
    <t>【限量彩蛋】NESPRESSO Vertuo系列胶囊咖啡万圣节彩蛋含南瓜风味</t>
  </si>
  <si>
    <t>657179935634</t>
  </si>
  <si>
    <t>https://detail.tmall.com/item.htm?id=657179935634</t>
  </si>
  <si>
    <t>胶囊咖啡-155</t>
  </si>
  <si>
    <t>胶囊咖啡-622038602973</t>
  </si>
  <si>
    <t>NESPRESSO胶囊咖啡套装 源地复兴计划 瑞士进口浓缩黑咖啡30颗装</t>
  </si>
  <si>
    <t>622038602973</t>
  </si>
  <si>
    <t>https://detail.tmall.com/item.htm?id=622038602973</t>
  </si>
  <si>
    <t>胶囊咖啡-582734444247</t>
  </si>
  <si>
    <t>胶囊咖啡-186</t>
  </si>
  <si>
    <t>NESPRESSO胶囊咖啡 温和淡雅50颗+Touch随行杯套装意式浓缩黑咖啡</t>
  </si>
  <si>
    <t>582734444247</t>
  </si>
  <si>
    <t>https://detail.tmall.com/item.htm?id=582734444247</t>
  </si>
  <si>
    <t>胶囊咖啡-157</t>
  </si>
  <si>
    <t>胶囊咖啡-621449880496</t>
  </si>
  <si>
    <t>NESPRESSO雀巢胶囊咖啡 源地复兴津巴布韦进口浓缩黑咖啡10颗装</t>
  </si>
  <si>
    <t>621449880496</t>
  </si>
  <si>
    <t>https://detail.tmall.com/item.htm?id=621449880496</t>
  </si>
  <si>
    <t>胶囊咖啡-158</t>
  </si>
  <si>
    <t>胶囊咖啡-606467938836</t>
  </si>
  <si>
    <t>胶囊咖啡-193</t>
  </si>
  <si>
    <t>NESPRESSO胶囊咖啡 进口限量版北欧黑咖啡 意式浓缩咖啡10颗装</t>
  </si>
  <si>
    <t>606467938836</t>
  </si>
  <si>
    <t>https://detail.tmall.com/item.htm?id=606467938836</t>
  </si>
  <si>
    <t>胶囊咖啡-658720553659</t>
  </si>
  <si>
    <t>胶囊咖啡-184</t>
  </si>
  <si>
    <t>NESPRESSO胶囊咖啡 进口限量版杏仁树林风味意式浓缩黑咖啡10颗装</t>
  </si>
  <si>
    <t>658720553659</t>
  </si>
  <si>
    <t>https://detail.tmall.com/item.htm?id=658720553659</t>
  </si>
  <si>
    <t>胶囊咖啡-160</t>
  </si>
  <si>
    <t>胶囊咖啡-641609991981</t>
  </si>
  <si>
    <t>胶囊咖啡-188</t>
  </si>
  <si>
    <t>NESPRESSO胶囊咖啡 尼加拉瓜卡姆普利达精制咖啡浓缩黑咖啡10颗装</t>
  </si>
  <si>
    <t>641609991981</t>
  </si>
  <si>
    <t>https://detail.tmall.com/item.htm?id=641609991981</t>
  </si>
  <si>
    <t>胶囊咖啡-161</t>
  </si>
  <si>
    <t>胶囊咖啡-736124394262</t>
  </si>
  <si>
    <t>NESPRESSO雀巢胶囊咖啡Original系列300颗美式黑咖啡组合装赠滑板</t>
  </si>
  <si>
    <t>736124394262</t>
  </si>
  <si>
    <t>https://detail.tmall.com/item.htm?id=736124394262</t>
  </si>
  <si>
    <t>胶囊咖啡-757396604908</t>
  </si>
  <si>
    <t>NESPRESSO Vertuo系列胶囊咖啡 限量版浓遇新禧套装 黑咖啡80颗装</t>
  </si>
  <si>
    <t>757396604908</t>
  </si>
  <si>
    <t>https://detail.tmall.com/item.htm?id=757396604908</t>
  </si>
  <si>
    <t>胶囊咖啡-163</t>
  </si>
  <si>
    <t>胶囊咖啡-575265684456</t>
  </si>
  <si>
    <t>胶囊咖啡-166</t>
  </si>
  <si>
    <t>NESPRESSO胶囊咖啡套装 环球臻享10条装 瑞士原装进口100颗装</t>
  </si>
  <si>
    <t>575265684456</t>
  </si>
  <si>
    <t>https://detail.tmall.com/item.htm?id=575265684456</t>
  </si>
  <si>
    <t>胶囊咖啡-164</t>
  </si>
  <si>
    <t>胶囊咖啡-740972101190</t>
  </si>
  <si>
    <t>适用于Nespresso OL 咖啡机 NESPRESSO 乌干达浓缩黑咖啡10颗装</t>
  </si>
  <si>
    <t>740972101190</t>
  </si>
  <si>
    <t>https://detail.tmall.com/item.htm?id=740972101190</t>
  </si>
  <si>
    <t>胶囊咖啡-165</t>
  </si>
  <si>
    <t>胶囊咖啡-713367657618</t>
  </si>
  <si>
    <t>NESPRESSO Vertuo系列 冰镇西瓜风味冰咖啡 胶囊咖啡黑咖啡10颗装</t>
  </si>
  <si>
    <t>713367657618</t>
  </si>
  <si>
    <t>https://detail.tmall.com/item.htm?id=713367657618</t>
  </si>
  <si>
    <t>胶囊咖啡-687924642883</t>
  </si>
  <si>
    <t>NESPRESSO胶囊咖啡 挚爱巴黎浓缩 瑞士进口意式浓缩黑咖啡10颗装</t>
  </si>
  <si>
    <t>687924642883</t>
  </si>
  <si>
    <t>https://detail.tmall.com/item.htm?id=687924642883</t>
  </si>
  <si>
    <t>胶囊咖啡-630484505203</t>
  </si>
  <si>
    <t>胶囊咖啡-200</t>
  </si>
  <si>
    <t>NESPRESSO胶囊咖啡 进口限量版意大利榛子蛋糕风味咖啡浓缩10颗装</t>
  </si>
  <si>
    <t>630484505203</t>
  </si>
  <si>
    <t>https://detail.tmall.com/item.htm?id=630484505203</t>
  </si>
  <si>
    <t>胶囊咖啡-168</t>
  </si>
  <si>
    <t>胶囊咖啡-718598727259</t>
  </si>
  <si>
    <t>适用于Nespresso OL 咖啡机 NESPRESSO胶囊咖啡 尼加拉瓜10颗装</t>
  </si>
  <si>
    <t>718598727259</t>
  </si>
  <si>
    <t>https://detail.tmall.com/item.htm?id=718598727259</t>
  </si>
  <si>
    <t>胶囊咖啡-169</t>
  </si>
  <si>
    <t>胶囊咖啡-661506750096</t>
  </si>
  <si>
    <t>NESPRESSO胶囊咖啡 限量版节日甄选系列80颗装意式进口浓缩黑咖啡</t>
  </si>
  <si>
    <t>661506750096</t>
  </si>
  <si>
    <t>https://detail.tmall.com/item.htm?id=661506750096</t>
  </si>
  <si>
    <t>胶囊咖啡-170</t>
  </si>
  <si>
    <t>胶囊咖啡-696973000288</t>
  </si>
  <si>
    <t>NESPRESSO雀巢胶囊咖啡 Vertuo系列 意式风情20颗装浓缩黑咖啡</t>
  </si>
  <si>
    <t>696973000288</t>
  </si>
  <si>
    <t>https://detail.tmall.com/item.htm?id=696973000288</t>
  </si>
  <si>
    <t>胶囊咖啡-631789294959</t>
  </si>
  <si>
    <t>胶囊咖啡-207</t>
  </si>
  <si>
    <t>NESPRESSO胶囊咖啡 限量版节日意大利风味30颗装瑞士原装进口咖啡</t>
  </si>
  <si>
    <t>631789294959</t>
  </si>
  <si>
    <t>https://detail.tmall.com/item.htm?id=631789294959</t>
  </si>
  <si>
    <t>胶囊咖啡-172</t>
  </si>
  <si>
    <t>胶囊咖啡-671620174599</t>
  </si>
  <si>
    <t>胶囊咖啡-206</t>
  </si>
  <si>
    <t>671620174599</t>
  </si>
  <si>
    <t>https://detail.tmall.com/item.htm?id=671620174599</t>
  </si>
  <si>
    <t>胶囊咖啡-173</t>
  </si>
  <si>
    <t>胶囊咖啡-697798591349</t>
  </si>
  <si>
    <t>NESPRESSO雀巢胶囊咖啡 咖啡师创意之选80颗装 意式浓缩黑咖啡</t>
  </si>
  <si>
    <t>697798591349</t>
  </si>
  <si>
    <t>https://detail.tmall.com/item.htm?id=697798591349</t>
  </si>
  <si>
    <t>胶囊咖啡-174</t>
  </si>
  <si>
    <t>胶囊咖啡-640562504484</t>
  </si>
  <si>
    <t>NESPRESSO胶囊咖啡 大师匠心尼加拉瓜品鉴装 浓缩黑咖啡30颗装</t>
  </si>
  <si>
    <t>640562504484</t>
  </si>
  <si>
    <t>https://detail.tmall.com/item.htm?id=640562504484</t>
  </si>
  <si>
    <t>胶囊咖啡-697782359087</t>
  </si>
  <si>
    <t>NESPRESSO雀巢胶囊咖啡 限量版意大利灵感之源20颗装 浓缩黑咖啡</t>
  </si>
  <si>
    <t>697782359087</t>
  </si>
  <si>
    <t>https://detail.tmall.com/item.htm?id=697782359087</t>
  </si>
  <si>
    <t>胶囊咖啡-676774519558</t>
  </si>
  <si>
    <t>胶囊咖啡-202</t>
  </si>
  <si>
    <t>NESPRESSO Vertuo系列 椰林树影风味进口胶囊咖啡黑咖啡10颗装</t>
  </si>
  <si>
    <t>676774519558</t>
  </si>
  <si>
    <t>https://detail.tmall.com/item.htm?id=676774519558</t>
  </si>
  <si>
    <t>胶囊咖啡-177</t>
  </si>
  <si>
    <t>胶囊咖啡-598676041252</t>
  </si>
  <si>
    <t>NESPRESSO胶囊咖啡套装大师匠心系列意式浓缩50颗装含黄糖60条</t>
  </si>
  <si>
    <t>598676041252</t>
  </si>
  <si>
    <t>https://detail.tmall.com/item.htm?id=598676041252</t>
  </si>
  <si>
    <t>胶囊咖啡-178</t>
  </si>
  <si>
    <t>胶囊咖啡-654089343360</t>
  </si>
  <si>
    <t>NESPRESSO Vertuo系列胶囊咖啡 咖啡师创意之选 进口黑咖啡50颗装</t>
  </si>
  <si>
    <t>654089343360</t>
  </si>
  <si>
    <t>https://detail.tmall.com/item.htm?id=654089343360</t>
  </si>
  <si>
    <t>胶囊咖啡-179</t>
  </si>
  <si>
    <t>胶囊咖啡-669845121521</t>
  </si>
  <si>
    <t>NESPRESSO胶囊咖啡 限量版巴布亚新几内亚品鉴装浓缩黑咖啡20颗装</t>
  </si>
  <si>
    <t>669845121521</t>
  </si>
  <si>
    <t>https://detail.tmall.com/item.htm?id=669845121521</t>
  </si>
  <si>
    <t>胶囊咖啡-547149316411</t>
  </si>
  <si>
    <t>NESPRESSO雀巢胶囊咖啡 芮斯崔朵低咖啡因 意式浓缩黑咖啡10颗装</t>
  </si>
  <si>
    <t>547149316411</t>
  </si>
  <si>
    <t>https://detail.tmall.com/item.htm?id=547149316411</t>
  </si>
  <si>
    <t>胶囊咖啡-181</t>
  </si>
  <si>
    <t>胶囊咖啡-727142383287</t>
  </si>
  <si>
    <t>适用于Nespresso OL 咖啡机NESPRESSO胶囊咖啡芮斯崔朵低因10颗装</t>
  </si>
  <si>
    <t>727142383287</t>
  </si>
  <si>
    <t>https://detail.tmall.com/item.htm?id=727142383287</t>
  </si>
  <si>
    <t>胶囊咖啡-182</t>
  </si>
  <si>
    <t>胶囊咖啡-722755486118</t>
  </si>
  <si>
    <t>适用于Nespresso OL 咖啡机 NESPRESSO胶囊咖啡 巴黎10颗装</t>
  </si>
  <si>
    <t>722755486118</t>
  </si>
  <si>
    <t>https://detail.tmall.com/item.htm?id=722755486118</t>
  </si>
  <si>
    <t>胶囊咖啡-183</t>
  </si>
  <si>
    <t>胶囊咖啡-677115052308</t>
  </si>
  <si>
    <t>胶囊咖啡-189</t>
  </si>
  <si>
    <t>NESPRESSO胶囊咖啡 缤纷夏日100颗装 瑞士原装进口意式浓缩黑咖啡</t>
  </si>
  <si>
    <t>677115052308</t>
  </si>
  <si>
    <t>https://detail.tmall.com/item.htm?id=677115052308</t>
  </si>
  <si>
    <t>胶囊咖啡-661491790266</t>
  </si>
  <si>
    <t>NESPRESSO胶囊咖啡 限量典藏版礼盒含杯组 进口浓缩黑咖啡40颗装</t>
  </si>
  <si>
    <t>661491790266</t>
  </si>
  <si>
    <t>https://detail.tmall.com/item.htm?id=661491790266</t>
  </si>
  <si>
    <t>胶囊咖啡-185</t>
  </si>
  <si>
    <t>胶囊咖啡-703734716168</t>
  </si>
  <si>
    <t>703734716168</t>
  </si>
  <si>
    <t>https://detail.tmall.com/item.htm?id=703734716168</t>
  </si>
  <si>
    <t>胶囊咖啡-668816846497</t>
  </si>
  <si>
    <t>NESPRESSO胶囊咖啡 进口限量版迈阿密咖啡意式浓缩黑咖啡20颗装</t>
  </si>
  <si>
    <t>668816846497</t>
  </si>
  <si>
    <t>https://detail.tmall.com/item.htm?id=668816846497</t>
  </si>
  <si>
    <t>胶囊咖啡-703016317060</t>
  </si>
  <si>
    <t>适用于Nespresso OL 咖啡机 NESPRESSO 松露巧克力黑咖啡10颗装</t>
  </si>
  <si>
    <t>703016317060</t>
  </si>
  <si>
    <t>https://detail.tmall.com/item.htm?id=703016317060</t>
  </si>
  <si>
    <t>胶囊咖啡-670900924884</t>
  </si>
  <si>
    <t>NESPRESSO胶囊咖啡 限量典藏版礼盒含单杯 进口浓缩黑咖啡20颗装</t>
  </si>
  <si>
    <t>670900924884</t>
  </si>
  <si>
    <t>https://detail.tmall.com/item.htm?id=670900924884</t>
  </si>
  <si>
    <t>胶囊咖啡-682234499143</t>
  </si>
  <si>
    <t>NESPRESSO胶囊咖啡套装 源地系列黑咖啡80颗装 瑞士进口 包邮</t>
  </si>
  <si>
    <t>682234499143</t>
  </si>
  <si>
    <t>https://detail.tmall.com/item.htm?id=682234499143</t>
  </si>
  <si>
    <t>胶囊咖啡-190</t>
  </si>
  <si>
    <t>胶囊咖啡-717979205789</t>
  </si>
  <si>
    <t>NESPRESSO雀巢胶囊咖啡  夏日“冰”纷礼盒 浓缩黑咖啡150颗装</t>
  </si>
  <si>
    <t>717979205789</t>
  </si>
  <si>
    <t>https://detail.tmall.com/item.htm?id=717979205789</t>
  </si>
  <si>
    <t>胶囊咖啡-191</t>
  </si>
  <si>
    <t>胶囊咖啡-652895348827</t>
  </si>
  <si>
    <t>胶囊咖啡-197</t>
  </si>
  <si>
    <t>NESPRESSO胶囊咖啡套装 甄选咖啡100颗装 原装进口意式浓缩黑咖啡</t>
  </si>
  <si>
    <t>652895348827</t>
  </si>
  <si>
    <t>https://detail.tmall.com/item.htm?id=652895348827</t>
  </si>
  <si>
    <t>胶囊咖啡-688383398928</t>
  </si>
  <si>
    <t>胶囊咖啡-199</t>
  </si>
  <si>
    <t>NESPRESSO Vertuo系列挚爱巴黎榛果风味胶囊咖啡进口黑咖啡10颗装</t>
  </si>
  <si>
    <t>688383398928</t>
  </si>
  <si>
    <t>https://detail.tmall.com/item.htm?id=688383398928</t>
  </si>
  <si>
    <t>胶囊咖啡-659539904426</t>
  </si>
  <si>
    <t>NESPRESSO胶囊咖啡 限量版节日风味甄选系列50颗装进口浓缩黑咖啡</t>
  </si>
  <si>
    <t>659539904426</t>
  </si>
  <si>
    <t>https://detail.tmall.com/item.htm?id=659539904426</t>
  </si>
  <si>
    <t>胶囊咖啡-612824715285</t>
  </si>
  <si>
    <t>NESPRESSO胶囊咖啡 灵感之源系列 意式浓缩咖啡瑞士进口60颗装</t>
  </si>
  <si>
    <t>612824715285</t>
  </si>
  <si>
    <t>https://detail.tmall.com/item.htm?id=612824715285</t>
  </si>
  <si>
    <t>胶囊咖啡-195</t>
  </si>
  <si>
    <t>胶囊咖啡-681496768565</t>
  </si>
  <si>
    <t>NESPRESSO胶囊咖啡 斯德哥尔摩Fortissio Lungo黑咖啡胶囊10颗装</t>
  </si>
  <si>
    <t>681496768565</t>
  </si>
  <si>
    <t>https://detail.tmall.com/item.htm?id=681496768565</t>
  </si>
  <si>
    <t>胶囊咖啡-196</t>
  </si>
  <si>
    <t>胶囊咖啡-731513825539</t>
  </si>
  <si>
    <t>适用于Nespresso OL 咖啡机 NESPRESSO胶囊咖啡 椰林树影10颗装</t>
  </si>
  <si>
    <t>731513825539</t>
  </si>
  <si>
    <t>https://detail.tmall.com/item.htm?id=731513825539</t>
  </si>
  <si>
    <t>胶囊咖啡-632099267804</t>
  </si>
  <si>
    <t>NESPRESSO胶囊咖啡 限量版节日风味甄选50颗装 意式浓缩进口咖啡</t>
  </si>
  <si>
    <t>632099267804</t>
  </si>
  <si>
    <t>https://detail.tmall.com/item.htm?id=632099267804</t>
  </si>
  <si>
    <t>胶囊咖啡-537022108656</t>
  </si>
  <si>
    <t>NESPRESSO胶囊咖啡 Dharkan 瑞士进口浓烈咖啡10颗装</t>
  </si>
  <si>
    <t>537022108656</t>
  </si>
  <si>
    <t>https://detail.tmall.com/item.htm?id=537022108656</t>
  </si>
  <si>
    <t>胶囊咖啡-718876728230</t>
  </si>
  <si>
    <t>NESPRESSO雀巢胶囊咖啡 Vertuo系列冰咖啡40颗装冰美式浓缩黑咖啡</t>
  </si>
  <si>
    <t>718876728230</t>
  </si>
  <si>
    <t>https://detail.tmall.com/item.htm?id=718876728230</t>
  </si>
  <si>
    <t>胶囊咖啡-738890831574</t>
  </si>
  <si>
    <t>738890831574</t>
  </si>
  <si>
    <t>https://detail.tmall.com/item.htm?id=738890831574</t>
  </si>
  <si>
    <t>胶囊咖啡-201</t>
  </si>
  <si>
    <t>胶囊咖啡-703008669732</t>
  </si>
  <si>
    <t>适用于Nespresso OL 咖啡机 NESPRESSO 哥伦比亚黑咖啡10颗装</t>
  </si>
  <si>
    <t>703008669732</t>
  </si>
  <si>
    <t>https://detail.tmall.com/item.htm?id=703008669732</t>
  </si>
  <si>
    <t>胶囊咖啡-688032026879</t>
  </si>
  <si>
    <t>NESPRESSO胶囊咖啡 限量版节日礼享盒150颗装进口意式浓缩黑咖啡</t>
  </si>
  <si>
    <t>688032026879</t>
  </si>
  <si>
    <t>https://detail.tmall.com/item.htm?id=688032026879</t>
  </si>
  <si>
    <t>胶囊咖啡-203</t>
  </si>
  <si>
    <t>胶囊咖啡-683837860668</t>
  </si>
  <si>
    <t>NESPRESSO雀巢胶囊咖啡 Vertuo系列源地复兴津巴布韦黑咖啡10颗装</t>
  </si>
  <si>
    <t>683837860668</t>
  </si>
  <si>
    <t>https://detail.tmall.com/item.htm?id=683837860668</t>
  </si>
  <si>
    <t>胶囊咖啡-204</t>
  </si>
  <si>
    <t>胶囊咖啡-622306843158</t>
  </si>
  <si>
    <t>NESPRESSO雀巢胶囊咖啡 源地复兴哥伦比亚意式浓缩黑咖啡10颗装</t>
  </si>
  <si>
    <t>622306843158</t>
  </si>
  <si>
    <t>https://detail.tmall.com/item.htm?id=622306843158</t>
  </si>
  <si>
    <t>胶囊咖啡-662909597448</t>
  </si>
  <si>
    <t>NESPRESSO Vertuo系列 限量版节日甄选30颗装胶囊咖啡浓缩黑咖啡</t>
  </si>
  <si>
    <t>662909597448</t>
  </si>
  <si>
    <t>https://detail.tmall.com/item.htm?id=662909597448</t>
  </si>
  <si>
    <t>胶囊咖啡-704486499234</t>
  </si>
  <si>
    <t>704486499234</t>
  </si>
  <si>
    <t>https://detail.tmall.com/item.htm?id=704486499234</t>
  </si>
  <si>
    <t>胶囊咖啡-644762425999</t>
  </si>
  <si>
    <t>NESPRESSO胶囊咖啡 椰林树影风味冰咖啡 瑞士进口浓缩咖啡10颗装</t>
  </si>
  <si>
    <t>644762425999</t>
  </si>
  <si>
    <t>https://detail.tmall.com/item.htm?id=644762425999</t>
  </si>
  <si>
    <t>胶囊咖啡-208</t>
  </si>
  <si>
    <t>胶囊咖啡-730846752442</t>
  </si>
  <si>
    <t>适用于Nespresso OL 咖啡机 NESPRESSO胶囊咖啡 印度10颗装</t>
  </si>
  <si>
    <t>730846752442</t>
  </si>
  <si>
    <t>https://detail.tmall.com/item.htm?id=730846752442</t>
  </si>
  <si>
    <t>胶囊咖啡-209</t>
  </si>
  <si>
    <t>胶囊咖啡-704025425817</t>
  </si>
  <si>
    <t>704025425817</t>
  </si>
  <si>
    <t>https://detail.tmall.com/item.htm?id=704025425817</t>
  </si>
  <si>
    <t>胶囊咖啡-210</t>
  </si>
  <si>
    <t>胶囊咖啡-656325363936</t>
  </si>
  <si>
    <t>NESPRESSO Vertuo系列节日风味浓烈甄选60颗装胶囊咖啡浓缩黑咖啡</t>
  </si>
  <si>
    <t>656325363936</t>
  </si>
  <si>
    <t>https://detail.tmall.com/item.htm?id=656325363936</t>
  </si>
  <si>
    <t>胶囊咖啡-211</t>
  </si>
  <si>
    <t>胶囊咖啡-659092566058</t>
  </si>
  <si>
    <t>NESPRESSO胶囊咖啡 进口限量版森林浆果风味意式浓缩黑咖啡10颗装</t>
  </si>
  <si>
    <t>659092566058</t>
  </si>
  <si>
    <t>https://detail.tmall.com/item.htm?id=659092566058</t>
  </si>
  <si>
    <t>胶囊咖啡-212</t>
  </si>
  <si>
    <t>胶囊咖啡-669724540539</t>
  </si>
  <si>
    <t>NESPRESSO胶囊咖啡 开普敦Envivo Lungo意式浓缩黑咖啡胶囊10颗装</t>
  </si>
  <si>
    <t>669724540539</t>
  </si>
  <si>
    <t>https://detail.tmall.com/item.htm?id=669724540539</t>
  </si>
  <si>
    <t>胶囊咖啡-213</t>
  </si>
  <si>
    <t>胶囊咖啡-703737212840</t>
  </si>
  <si>
    <t>NESPRESSO Original系列胶囊咖啡  美式意式黑咖啡胶囊100颗包邮</t>
  </si>
  <si>
    <t>703737212840</t>
  </si>
  <si>
    <t>https://detail.tmall.com/item.htm?id=703737212840</t>
  </si>
  <si>
    <t>胶囊咖啡-214</t>
  </si>
  <si>
    <t>胶囊咖啡-681539924284</t>
  </si>
  <si>
    <t>681539924284</t>
  </si>
  <si>
    <t>https://detail.tmall.com/item.htm?id=681539924284</t>
  </si>
  <si>
    <t>胶囊咖啡-215</t>
  </si>
  <si>
    <t>胶囊咖啡-687925794183</t>
  </si>
  <si>
    <t>NESPRESSO胶囊咖啡 挚爱巴黎榛果风味 进口意式浓缩黑咖啡10颗装</t>
  </si>
  <si>
    <t>687925794183</t>
  </si>
  <si>
    <t>https://detail.tmall.com/item.htm?id=687925794183</t>
  </si>
  <si>
    <t>胶囊咖啡-216</t>
  </si>
  <si>
    <t>胶囊咖啡-703012277651</t>
  </si>
  <si>
    <t>适用于Nespresso OL 咖啡机 NESPRESSO 焦糖布蕾风味黑咖啡10颗装</t>
  </si>
  <si>
    <t>703012277651</t>
  </si>
  <si>
    <t>https://detail.tmall.com/item.htm?id=703012277651</t>
  </si>
  <si>
    <t>胶囊咖啡-217</t>
  </si>
  <si>
    <t>胶囊咖啡-674535402162</t>
  </si>
  <si>
    <t>NESPRESSO胶囊咖啡 限量版椰林树影冰咖啡 冰美式浓缩黑咖啡10颗</t>
  </si>
  <si>
    <t>674535402162</t>
  </si>
  <si>
    <t>https://detail.tmall.com/item.htm?id=674535402162</t>
  </si>
  <si>
    <t>胶囊咖啡-218</t>
  </si>
  <si>
    <t>胶囊咖啡-631922800528</t>
  </si>
  <si>
    <t>【12.12】NESPRESSO胶囊咖啡 限量版节日风味甄选80颗装 包邮</t>
  </si>
  <si>
    <t>631922800528</t>
  </si>
  <si>
    <t>https://detail.tmall.com/item.htm?id=631922800528</t>
  </si>
  <si>
    <t>胶囊咖啡-219</t>
  </si>
  <si>
    <t>胶囊咖啡-664703781004</t>
  </si>
  <si>
    <t>NESPRESSO胶囊咖啡套装 新年新愿100颗装 原装进口意式浓缩黑咖啡</t>
  </si>
  <si>
    <t>664703781004</t>
  </si>
  <si>
    <t>https://detail.tmall.com/item.htm?id=664703781004</t>
  </si>
  <si>
    <t>胶囊咖啡-220</t>
  </si>
  <si>
    <t>胶囊咖啡-703465579968</t>
  </si>
  <si>
    <t>适用于Nespresso OL 咖啡机 NESPRESSO 津巴布韦黑咖啡10颗装</t>
  </si>
  <si>
    <t>703465579968</t>
  </si>
  <si>
    <t>https://detail.tmall.com/item.htm?id=703465579968</t>
  </si>
  <si>
    <t>胶囊咖啡-221</t>
  </si>
  <si>
    <t>胶囊咖啡-605994536165</t>
  </si>
  <si>
    <t>NESPRESSO胶囊咖啡 进口限量版北欧云莓风味咖啡 意式浓缩10颗装</t>
  </si>
  <si>
    <t>605994536165</t>
  </si>
  <si>
    <t>https://detail.tmall.com/item.htm?id=605994536165</t>
  </si>
  <si>
    <t>胶囊咖啡-222</t>
  </si>
  <si>
    <t>胶囊咖啡-599171055973</t>
  </si>
  <si>
    <t>NESPRESSO胶囊咖啡套装 咖啡大师之作 瑞士进口浓缩咖啡50颗装</t>
  </si>
  <si>
    <t>599171055973</t>
  </si>
  <si>
    <t>https://detail.tmall.com/item.htm?id=599171055973</t>
  </si>
  <si>
    <t>胶囊咖啡-223</t>
  </si>
  <si>
    <t>胶囊咖啡-704487403183</t>
  </si>
  <si>
    <t>NESPRESSO Original系列胶囊咖啡组合 阿佩奇欧美式黑咖啡100颗装</t>
  </si>
  <si>
    <t>704487403183</t>
  </si>
  <si>
    <t>https://detail.tmall.com/item.htm?id=704487403183</t>
  </si>
  <si>
    <t>胶囊咖啡-224</t>
  </si>
  <si>
    <t>胶囊咖啡-674209721624</t>
  </si>
  <si>
    <t>NESPRESSO胶囊咖啡 限量版青柠薄荷冰咖啡意式浓缩黑咖啡10颗装</t>
  </si>
  <si>
    <t>674209721624</t>
  </si>
  <si>
    <t>https://detail.tmall.com/item.htm?id=674209721624</t>
  </si>
  <si>
    <t>胶囊咖啡-225</t>
  </si>
  <si>
    <t>胶囊咖啡-716707314801</t>
  </si>
  <si>
    <t>【新客专享】NESPRESSO胶囊咖啡 大师匠心哥伦比亚黑咖啡10颗装</t>
  </si>
  <si>
    <t>716707314801</t>
  </si>
  <si>
    <t>https://detail.tmall.com/item.htm?id=716707314801</t>
  </si>
  <si>
    <t>胶囊咖啡-226</t>
  </si>
  <si>
    <t>胶囊咖啡-616125160559</t>
  </si>
  <si>
    <t>NESPRESSO胶囊咖啡Caramelito进口焦糖风味咖啡10颗装</t>
  </si>
  <si>
    <t>616125160559</t>
  </si>
  <si>
    <t>https://detail.tmall.com/item.htm?id=616125160559</t>
  </si>
  <si>
    <t>胶囊咖啡-227</t>
  </si>
  <si>
    <t>胶囊咖啡-677583470682</t>
  </si>
  <si>
    <t>NESPRESSO Vertuo系列 源地复兴乌干达进口胶囊咖啡黑咖啡10颗装</t>
  </si>
  <si>
    <t>677583470682</t>
  </si>
  <si>
    <t>https://detail.tmall.com/item.htm?id=677583470682</t>
  </si>
  <si>
    <t>胶囊咖啡-228</t>
  </si>
  <si>
    <t>胶囊咖啡-659093070625</t>
  </si>
  <si>
    <t>【典藏版】NESPRESSO胶囊咖啡 牙买加蓝山意式浓缩黑咖啡10颗装</t>
  </si>
  <si>
    <t>659093070625</t>
  </si>
  <si>
    <t>https://detail.tmall.com/item.htm?id=659093070625</t>
  </si>
  <si>
    <t>胶囊咖啡-229</t>
  </si>
  <si>
    <t>胶囊咖啡-645459199171</t>
  </si>
  <si>
    <t>NESPRESSO胶囊咖啡 咖啡师创意之选沁雅冰咖啡瑞士原装进口10颗装</t>
  </si>
  <si>
    <t>645459199171</t>
  </si>
  <si>
    <t>https://detail.tmall.com/item.htm?id=645459199171</t>
  </si>
  <si>
    <t>胶囊咖啡-230</t>
  </si>
  <si>
    <t>胶囊咖啡-719456419097</t>
  </si>
  <si>
    <t>NESPRESSO雀巢胶囊咖啡 创意之选胶囊及清洁剂套装 黑咖啡50颗装</t>
  </si>
  <si>
    <t>719456419097</t>
  </si>
  <si>
    <t>https://detail.tmall.com/item.htm?id=719456419097</t>
  </si>
  <si>
    <t>胶囊咖啡-231</t>
  </si>
  <si>
    <t>胶囊咖啡-662490488058</t>
  </si>
  <si>
    <t>NESPRESSO Vertuo系列 限量版杏仁树林风味胶囊咖啡黑咖啡10颗装</t>
  </si>
  <si>
    <t>662490488058</t>
  </si>
  <si>
    <t>https://detail.tmall.com/item.htm?id=662490488058</t>
  </si>
  <si>
    <t>胶囊咖啡-232</t>
  </si>
  <si>
    <t>胶囊咖啡-640934249983</t>
  </si>
  <si>
    <t>NESPRESSO胶囊咖啡 大师匠心系列 瑞士进口意式浓缩黑咖啡80颗装</t>
  </si>
  <si>
    <t>640934249983</t>
  </si>
  <si>
    <t>https://detail.tmall.com/item.htm?id=640934249983</t>
  </si>
  <si>
    <t>胶囊咖啡-233</t>
  </si>
  <si>
    <t>胶囊咖啡-717980181783</t>
  </si>
  <si>
    <t>NESPRESSO雀巢胶囊咖啡 Vertuo系列 夏日“冰”纷礼盒黑咖啡100颗</t>
  </si>
  <si>
    <t>717980181783</t>
  </si>
  <si>
    <t>https://detail.tmall.com/item.htm?id=717980181783</t>
  </si>
  <si>
    <t>胶囊咖啡-234</t>
  </si>
  <si>
    <t>胶囊咖啡-757393084323</t>
  </si>
  <si>
    <t>NESPRESSO雀巢胶囊咖啡 限量版浓遇新禧套装 美式浓缩咖啡100颗装</t>
  </si>
  <si>
    <t>757393084323</t>
  </si>
  <si>
    <t>https://detail.tmall.com/item.htm?id=757393084323</t>
  </si>
  <si>
    <t>胶囊咖啡-235</t>
  </si>
  <si>
    <t>胶囊咖啡-641272522131</t>
  </si>
  <si>
    <t>6月-VL-200测试链接  请勿下单！！！测试链接</t>
  </si>
  <si>
    <t>641272522131</t>
  </si>
  <si>
    <t>https://detail.tmall.com/item.htm?id=641272522131</t>
  </si>
  <si>
    <t>胶囊咖啡-236</t>
  </si>
  <si>
    <t>胶囊咖啡-659481375752</t>
  </si>
  <si>
    <t>NESPRESSO胶囊咖啡 进口限量版森之深咖啡意式浓缩黑咖啡10颗装</t>
  </si>
  <si>
    <t>659481375752</t>
  </si>
  <si>
    <t>https://detail.tmall.com/item.htm?id=659481375752</t>
  </si>
  <si>
    <t>胶囊咖啡-237</t>
  </si>
  <si>
    <t>胶囊咖啡-670536791975</t>
  </si>
  <si>
    <t>NESPRESSO胶囊咖啡 进口限量版巴布亚新几内亚浓缩黑咖啡10颗装</t>
  </si>
  <si>
    <t>670536791975</t>
  </si>
  <si>
    <t>https://detail.tmall.com/item.htm?id=670536791975</t>
  </si>
  <si>
    <t>胶囊咖啡-238</t>
  </si>
  <si>
    <t>胶囊咖啡-687926218333</t>
  </si>
  <si>
    <t>NESPRESSO胶囊咖啡 节日之选系列胶囊咖啡瑞士进口黑咖啡50颗装</t>
  </si>
  <si>
    <t>687926218333</t>
  </si>
  <si>
    <t>https://detail.tmall.com/item.htm?id=687926218333</t>
  </si>
  <si>
    <t>胶囊咖啡-239</t>
  </si>
  <si>
    <t>胶囊咖啡-719289794976</t>
  </si>
  <si>
    <t>719289794976</t>
  </si>
  <si>
    <t>https://detail.tmall.com/item.htm?id=719289794976</t>
  </si>
  <si>
    <t>胶囊咖啡-240</t>
  </si>
  <si>
    <t>胶囊咖啡-616126264305</t>
  </si>
  <si>
    <t>NESPRESSO雀巢胶囊咖啡 咖啡师创意之选 美式意式黑咖啡30颗</t>
  </si>
  <si>
    <t>616126264305</t>
  </si>
  <si>
    <t>https://detail.tmall.com/item.htm?id=616126264305</t>
  </si>
  <si>
    <t>胶囊咖啡-241</t>
  </si>
  <si>
    <t>胶囊咖啡-726824073079</t>
  </si>
  <si>
    <t>适用于Nespresso OL 咖啡机 NESPRESSO胶囊咖啡 东京大杯10颗装</t>
  </si>
  <si>
    <t>726824073079</t>
  </si>
  <si>
    <t>https://detail.tmall.com/item.htm?id=726824073079</t>
  </si>
  <si>
    <t>胶囊咖啡-242</t>
  </si>
  <si>
    <t>胶囊咖啡-738761286681</t>
  </si>
  <si>
    <t>738761286681</t>
  </si>
  <si>
    <t>https://detail.tmall.com/item.htm?id=738761286681</t>
  </si>
  <si>
    <t>胶囊咖啡-243</t>
  </si>
  <si>
    <t>胶囊咖啡-660122506419</t>
  </si>
  <si>
    <t>NESPRESSO胶囊咖啡 限量版节日甄选系列30颗装意式进口浓缩黑咖啡</t>
  </si>
  <si>
    <t>660122506419</t>
  </si>
  <si>
    <t>https://detail.tmall.com/item.htm?id=660122506419</t>
  </si>
  <si>
    <t>胶囊咖啡-244</t>
  </si>
  <si>
    <t>胶囊咖啡-575207136675</t>
  </si>
  <si>
    <t>NESPRESSO雀巢胶囊咖啡 大师匠心印度瑞士进口浓缩黑咖啡10颗装</t>
  </si>
  <si>
    <t>575207136675</t>
  </si>
  <si>
    <t>https://detail.tmall.com/item.htm?id=575207136675</t>
  </si>
  <si>
    <t>胶囊咖啡-245</t>
  </si>
  <si>
    <t>胶囊咖啡-687303816972</t>
  </si>
  <si>
    <t>NESPRESSO Vertuo系列胶囊咖啡 节日之选系列 进口黑咖啡30颗装</t>
  </si>
  <si>
    <t>687303816972</t>
  </si>
  <si>
    <t>https://detail.tmall.com/item.htm?id=687303816972</t>
  </si>
  <si>
    <t>胶囊咖啡-246</t>
  </si>
  <si>
    <t>胶囊咖啡-683767829753</t>
  </si>
  <si>
    <t>NESPRESSO Vertuo系列 限量版姜饼风味胶囊咖啡进口黑咖啡10颗装</t>
  </si>
  <si>
    <t>683767829753</t>
  </si>
  <si>
    <t>https://detail.tmall.com/item.htm?id=683767829753</t>
  </si>
  <si>
    <t>胶囊咖啡-247</t>
  </si>
  <si>
    <t>胶囊咖啡-677829534061</t>
  </si>
  <si>
    <t>【直播专享】NESPRESSO胶囊咖啡 瑞士原装进口意式浓缩咖啡10颗装</t>
  </si>
  <si>
    <t>677829534061</t>
  </si>
  <si>
    <t>https://detail.tmall.com/item.htm?id=677829534061</t>
  </si>
  <si>
    <t>胶囊咖啡-248</t>
  </si>
  <si>
    <t>胶囊咖啡-704255002125</t>
  </si>
  <si>
    <t>704255002125</t>
  </si>
  <si>
    <t>https://detail.tmall.com/item.htm?id=704255002125</t>
  </si>
  <si>
    <t>胶囊咖啡-249</t>
  </si>
  <si>
    <t>胶囊咖啡-687639697941</t>
  </si>
  <si>
    <t>NESPRESSO胶囊咖啡 挚爱巴黎浆果风味 进口意式浓缩黑咖啡10颗装</t>
  </si>
  <si>
    <t>687639697941</t>
  </si>
  <si>
    <t>https://detail.tmall.com/item.htm?id=687639697941</t>
  </si>
  <si>
    <t>胶囊咖啡-250</t>
  </si>
  <si>
    <t>胶囊咖啡-676126405926</t>
  </si>
  <si>
    <t>NESPRESSO Vertuo系列 盛夏浓烈冰咖啡 胶囊咖啡浓缩黑咖啡10颗装</t>
  </si>
  <si>
    <t>676126405926</t>
  </si>
  <si>
    <t>https://detail.tmall.com/item.htm?id=676126405926</t>
  </si>
  <si>
    <t>胶囊咖啡-251</t>
  </si>
  <si>
    <t>胶囊咖啡-637499320714</t>
  </si>
  <si>
    <t>Nespresso胶囊咖啡 致敬世界咖啡之都80颗装进口意式浓缩黑咖啡</t>
  </si>
  <si>
    <t>637499320714</t>
  </si>
  <si>
    <t>https://detail.tmall.com/item.htm?id=637499320714</t>
  </si>
  <si>
    <t>胶囊咖啡-252</t>
  </si>
  <si>
    <t>胶囊咖啡-693808167151</t>
  </si>
  <si>
    <t>NESPRESSO胶囊咖啡 大师匠心和意式浓烈组合装 含进口黑咖啡100颗</t>
  </si>
  <si>
    <t>693808167151</t>
  </si>
  <si>
    <t>https://detail.tmall.com/item.htm?id=693808167151</t>
  </si>
  <si>
    <t>胶囊咖啡-253</t>
  </si>
  <si>
    <t>胶囊咖啡-738868249331</t>
  </si>
  <si>
    <t>NESPRESSO Vertuo馥旋系列限量版倒数日历咖啡胶囊礼盒</t>
  </si>
  <si>
    <t>738868249331</t>
  </si>
  <si>
    <t>https://detail.tmall.com/item.htm?id=738868249331</t>
  </si>
  <si>
    <t>胶囊咖啡-254</t>
  </si>
  <si>
    <t>胶囊咖啡-718225569881</t>
  </si>
  <si>
    <t>适用于Nespresso OL 咖啡机 NESPRESSO胶囊咖啡 开普敦大杯10颗装</t>
  </si>
  <si>
    <t>718225569881</t>
  </si>
  <si>
    <t>https://detail.tmall.com/item.htm?id=718225569881</t>
  </si>
  <si>
    <t>胶囊咖啡-255</t>
  </si>
  <si>
    <t>胶囊咖啡-687303176706</t>
  </si>
  <si>
    <t>NESPRESSO Vertuo系列挚爱巴黎双份浓缩胶囊咖啡进口黑咖啡10颗装</t>
  </si>
  <si>
    <t>687303176706</t>
  </si>
  <si>
    <t>https://detail.tmall.com/item.htm?id=687303176706</t>
  </si>
  <si>
    <t>胶囊咖啡-256</t>
  </si>
  <si>
    <t>胶囊咖啡-622307639241</t>
  </si>
  <si>
    <t>NESPRESSO胶囊咖啡 源地复兴乌干达咖啡意式进口浓缩黑咖啡10颗装</t>
  </si>
  <si>
    <t>622307639241</t>
  </si>
  <si>
    <t>https://detail.tmall.com/item.htm?id=622307639241</t>
  </si>
  <si>
    <t>胶囊咖啡-257</t>
  </si>
  <si>
    <t>胶囊咖啡-718599079908</t>
  </si>
  <si>
    <t>适用于Nespresso OL 咖啡机 NESPRESSO胶囊咖啡 印度尼西亚10颗装</t>
  </si>
  <si>
    <t>718599079908</t>
  </si>
  <si>
    <t>https://detail.tmall.com/item.htm?id=718599079908</t>
  </si>
  <si>
    <t>胶囊咖啡-258</t>
  </si>
  <si>
    <t>胶囊咖啡-646053448178</t>
  </si>
  <si>
    <t>【618狂欢】NESPRESSO胶囊咖啡 盛夏咖啡组合100颗装浓缩黑咖啡</t>
  </si>
  <si>
    <t>646053448178</t>
  </si>
  <si>
    <t>https://detail.tmall.com/item.htm?id=646053448178</t>
  </si>
  <si>
    <t>胶囊咖啡-259</t>
  </si>
  <si>
    <t>胶囊咖啡-697517958174</t>
  </si>
  <si>
    <t>NESPRESSO雀巢胶囊咖啡 限量版热情米兰咖啡意式浓缩黑咖啡10颗装</t>
  </si>
  <si>
    <t>697517958174</t>
  </si>
  <si>
    <t>https://detail.tmall.com/item.htm?id=697517958174</t>
  </si>
  <si>
    <t>胶囊咖啡-260</t>
  </si>
  <si>
    <t>胶囊咖啡-677031431381</t>
  </si>
  <si>
    <t>NESPRESSO雀巢胶囊咖啡 Vertuo系列 淡雅分享咖啡浓缩黑咖啡7颗装</t>
  </si>
  <si>
    <t>677031431381</t>
  </si>
  <si>
    <t>https://detail.tmall.com/item.htm?id=677031431381</t>
  </si>
  <si>
    <t>胶囊咖啡-261</t>
  </si>
  <si>
    <t>胶囊咖啡-711529122592</t>
  </si>
  <si>
    <t>适用于Nespresso OL 咖啡机 NESPRESSO 斯库诺浓缩黑咖啡10颗装</t>
  </si>
  <si>
    <t>711529122592</t>
  </si>
  <si>
    <t>https://detail.tmall.com/item.htm?id=711529122592</t>
  </si>
  <si>
    <t>胶囊咖啡-262</t>
  </si>
  <si>
    <t>胶囊咖啡-625462812102</t>
  </si>
  <si>
    <t>NESPRESSO胶囊咖啡 陈年苏门答腊原装进口意式浓缩黑咖啡10颗装</t>
  </si>
  <si>
    <t>625462812102</t>
  </si>
  <si>
    <t>https://detail.tmall.com/item.htm?id=625462812102</t>
  </si>
  <si>
    <t>胶囊咖啡-263</t>
  </si>
  <si>
    <t>胶囊咖啡-264</t>
  </si>
  <si>
    <t>胶囊咖啡-265</t>
  </si>
  <si>
    <t>胶囊咖啡-621459152247</t>
  </si>
  <si>
    <t>NESPRESSO胶囊咖啡套装 进口意式浓缩咖啡80颗装含单个咖啡杯</t>
  </si>
  <si>
    <t>621459152247</t>
  </si>
  <si>
    <t>https://detail.tmall.com/item.htm?id=621459152247</t>
  </si>
  <si>
    <t>胶囊咖啡-266</t>
  </si>
  <si>
    <t>胶囊咖啡-267</t>
  </si>
  <si>
    <t>搜索人数-同比月</t>
  </si>
  <si>
    <t>搜索人数-当月</t>
  </si>
  <si>
    <t>nespresso官方旗舰店</t>
  </si>
  <si>
    <t>咖啡胶囊nespresso</t>
  </si>
  <si>
    <t>nespresso 咖啡机</t>
  </si>
  <si>
    <t>nespresso胶囊机</t>
  </si>
  <si>
    <t>label_rk</t>
  </si>
  <si>
    <t>value_rk</t>
  </si>
  <si>
    <t>标签值</t>
  </si>
  <si>
    <t>店铺购买人群</t>
  </si>
  <si>
    <t>店铺品牌新客</t>
  </si>
  <si>
    <t>店铺品牌老客</t>
  </si>
  <si>
    <t>1</t>
  </si>
  <si>
    <t>2</t>
  </si>
  <si>
    <t>3</t>
  </si>
  <si>
    <t>4</t>
  </si>
  <si>
    <t>5</t>
  </si>
  <si>
    <t>当月店铺购买人群</t>
  </si>
  <si>
    <t>同比月店铺购买人群</t>
  </si>
  <si>
    <t>当月行业购买人群</t>
  </si>
  <si>
    <t>同比月行业购买人群</t>
  </si>
  <si>
    <t>同比月对比行业tgi</t>
  </si>
  <si>
    <t>当月对比行业tgi</t>
  </si>
  <si>
    <t>100</t>
  </si>
  <si>
    <t>6</t>
  </si>
  <si>
    <t>销售金额_同比值</t>
  </si>
  <si>
    <t>购买人数_同比值</t>
  </si>
  <si>
    <t>访客人数_同比值</t>
  </si>
  <si>
    <t>销售金额_同比</t>
  </si>
  <si>
    <t>购买人数_同比</t>
  </si>
  <si>
    <t>访客人数_同比</t>
  </si>
  <si>
    <t>销售金额_top2品牌</t>
  </si>
  <si>
    <t>销售金额_top3品牌</t>
  </si>
  <si>
    <t>销售金额_top10品牌</t>
  </si>
  <si>
    <t>销售金额_top20品牌</t>
  </si>
  <si>
    <t>销售金额_top2nd品牌</t>
  </si>
  <si>
    <t>销售金额_top3rd品牌</t>
  </si>
  <si>
    <t>销售金额_TOP4-10品牌</t>
  </si>
  <si>
    <t>销售金额_TOP11-20品牌</t>
  </si>
  <si>
    <t>销售金额_top1品牌_占比</t>
  </si>
  <si>
    <t>销售金额_top2品牌_占比</t>
  </si>
  <si>
    <t>销售金额_top3品牌_占比</t>
  </si>
  <si>
    <t>销售金额_top10品牌_占比</t>
  </si>
  <si>
    <t>销售金额_top20品牌_占比</t>
  </si>
  <si>
    <t>销售金额_top2nd品牌_占比</t>
  </si>
  <si>
    <t>销售金额_top3rd品牌_占比</t>
  </si>
  <si>
    <t>销售金额_TOP4-10品牌_占比</t>
  </si>
  <si>
    <t>销售金额_TOP11-20品牌_占比</t>
  </si>
  <si>
    <t>销售金额_top品牌_其他商家_占比</t>
  </si>
  <si>
    <t>销售金额_速溶咖啡</t>
  </si>
  <si>
    <t>销售金额_咖啡豆</t>
  </si>
  <si>
    <t>销售金额_挂耳咖啡</t>
  </si>
  <si>
    <t>销售金额_咖啡液</t>
  </si>
  <si>
    <t>销售金额_胶囊咖啡</t>
  </si>
  <si>
    <t>销售金额_咖啡粉</t>
  </si>
  <si>
    <t>销售金额_其他</t>
  </si>
  <si>
    <t>销售金额_速溶咖啡_同比值</t>
  </si>
  <si>
    <t>销售金额_咖啡豆_同比值</t>
  </si>
  <si>
    <t>销售金额_挂耳咖啡_同比值</t>
  </si>
  <si>
    <t>销售金额_咖啡液_同比值</t>
  </si>
  <si>
    <t>销售金额_胶囊咖啡_同比值</t>
  </si>
  <si>
    <t>销售金额_咖啡粉_同比值</t>
  </si>
  <si>
    <t>销售金额_速溶咖啡_同比</t>
  </si>
  <si>
    <t>销售金额_咖啡豆_同比</t>
  </si>
  <si>
    <t>销售金额_挂耳咖啡_同比</t>
  </si>
  <si>
    <t>销售金额_咖啡液_同比</t>
  </si>
  <si>
    <t>销售金额_胶囊咖啡_同比</t>
  </si>
  <si>
    <t>销售金额_咖啡粉_同比</t>
  </si>
  <si>
    <t>销售金额_速溶咖啡_占比_同比</t>
  </si>
  <si>
    <t>销售金额_咖啡豆_占比_同比</t>
  </si>
  <si>
    <t>销售金额_挂耳咖啡_占比_同比</t>
  </si>
  <si>
    <t>销售金额_咖啡液_占比_同比</t>
  </si>
  <si>
    <t>销售金额_胶囊咖啡_占比_同比</t>
  </si>
  <si>
    <t>销售金额_咖啡粉_占比_同比</t>
  </si>
  <si>
    <t>2021-07</t>
  </si>
  <si>
    <t>咖啡机-2021.07</t>
  </si>
  <si>
    <t>2021-08</t>
  </si>
  <si>
    <t>咖啡机-2021.08</t>
  </si>
  <si>
    <t>2021-09</t>
  </si>
  <si>
    <t>咖啡机-2021.09</t>
  </si>
  <si>
    <t>2021-10</t>
  </si>
  <si>
    <t>咖啡机-2021.10</t>
  </si>
  <si>
    <t>2021-11</t>
  </si>
  <si>
    <t>咖啡机-2021.11</t>
  </si>
  <si>
    <t>2021-12</t>
  </si>
  <si>
    <t>咖啡机-2021.12</t>
  </si>
  <si>
    <t>咖啡豆/粉</t>
  </si>
  <si>
    <t>咖啡豆/粉-2021.07</t>
  </si>
  <si>
    <t>咖啡豆/粉-2021.08</t>
  </si>
  <si>
    <t>咖啡豆/粉-2021.09</t>
  </si>
  <si>
    <t>咖啡豆/粉-2021.10</t>
  </si>
  <si>
    <t>咖啡豆/粉-2021.11</t>
  </si>
  <si>
    <t>咖啡豆/粉-2021.12</t>
  </si>
  <si>
    <t>咖啡豆/粉-2022.01</t>
  </si>
  <si>
    <t>咖啡豆/粉-2022.02</t>
  </si>
  <si>
    <t>咖啡豆/粉-2022.03</t>
  </si>
  <si>
    <t>咖啡豆/粉-2022.04</t>
  </si>
  <si>
    <t>咖啡豆/粉-2022.05</t>
  </si>
  <si>
    <t>咖啡豆/粉-2022.06</t>
  </si>
  <si>
    <t>咖啡豆/粉-2022.07</t>
  </si>
  <si>
    <t>咖啡豆/粉-2022.08</t>
  </si>
  <si>
    <t>咖啡豆/粉-2022.09</t>
  </si>
  <si>
    <t>咖啡豆/粉-2022.10</t>
  </si>
  <si>
    <t>咖啡豆/粉-2022.11</t>
  </si>
  <si>
    <t>咖啡豆/粉-2022.12</t>
  </si>
  <si>
    <t>咖啡豆/粉-2023.01</t>
  </si>
  <si>
    <t>咖啡豆/粉-2023.02</t>
  </si>
  <si>
    <t>咖啡豆/粉-2023.03</t>
  </si>
  <si>
    <t>咖啡豆/粉-2023.04</t>
  </si>
  <si>
    <t>咖啡豆/粉-2023.05</t>
  </si>
  <si>
    <t>咖啡豆/粉-2023.06</t>
  </si>
  <si>
    <t>咖啡豆/粉-2023.07</t>
  </si>
  <si>
    <t>咖啡豆/粉-2023.08</t>
  </si>
  <si>
    <t>咖啡豆/粉-2023.09</t>
  </si>
  <si>
    <t>咖啡豆/粉-2023.10</t>
  </si>
  <si>
    <t>胶囊咖啡-2021.07</t>
  </si>
  <si>
    <t>胶囊咖啡-2021.08</t>
  </si>
  <si>
    <t>胶囊咖啡-2021.09</t>
  </si>
  <si>
    <t>胶囊咖啡-2021.10</t>
  </si>
  <si>
    <t>胶囊咖啡-2021.11</t>
  </si>
  <si>
    <t>胶囊咖啡-2021.12</t>
  </si>
  <si>
    <t>ctbrand</t>
  </si>
  <si>
    <t>品牌名称</t>
  </si>
  <si>
    <t>交易金额</t>
  </si>
  <si>
    <t>交易金额_万</t>
  </si>
  <si>
    <t>交易金额_同比</t>
  </si>
  <si>
    <t>品牌市占率_同比</t>
  </si>
  <si>
    <t>支付转化率_pp</t>
  </si>
  <si>
    <t>交易金额_同比月</t>
  </si>
  <si>
    <t>品牌市占率_同比月</t>
  </si>
  <si>
    <t>购买人数_同比月</t>
  </si>
  <si>
    <t>访客人数_同比月</t>
  </si>
  <si>
    <t>排名_变化</t>
  </si>
  <si>
    <t>咖啡机-Delonghi/德龙</t>
  </si>
  <si>
    <t>4024万</t>
  </si>
  <si>
    <t>咖啡机-格米莱</t>
  </si>
  <si>
    <t>1219万</t>
  </si>
  <si>
    <t>咖啡机-Barsetto/百胜图</t>
  </si>
  <si>
    <t>995万</t>
  </si>
  <si>
    <t>咖啡机-Petrus/柏翠</t>
  </si>
  <si>
    <t>811万</t>
  </si>
  <si>
    <t>咖啡机-NESPRESSO/奈斯派索</t>
  </si>
  <si>
    <t>686万</t>
  </si>
  <si>
    <t>咖啡机-Philips/飞利浦</t>
  </si>
  <si>
    <t>601万</t>
  </si>
  <si>
    <t>咖啡机-maxim'sdeparis</t>
  </si>
  <si>
    <t>maxim'sdeparis</t>
  </si>
  <si>
    <t>434万</t>
  </si>
  <si>
    <t>咖啡机-Breville/铂富</t>
  </si>
  <si>
    <t>423万</t>
  </si>
  <si>
    <t>咖啡机-SMEG</t>
  </si>
  <si>
    <t>SMEG</t>
  </si>
  <si>
    <t>411万</t>
  </si>
  <si>
    <t>咖啡机-Bear/小熊</t>
  </si>
  <si>
    <t>Bear/小熊</t>
  </si>
  <si>
    <t>384万</t>
  </si>
  <si>
    <t>咖啡机-Stelang/雪特朗</t>
  </si>
  <si>
    <t>364万</t>
  </si>
  <si>
    <t>咖啡机-DR.COFFEE/咖博士</t>
  </si>
  <si>
    <t>343万</t>
  </si>
  <si>
    <t>咖啡机-WEGA</t>
  </si>
  <si>
    <t>WEGA</t>
  </si>
  <si>
    <t>235万</t>
  </si>
  <si>
    <t>咖啡机-Welhome/惠家</t>
  </si>
  <si>
    <t>Welhome/惠家</t>
  </si>
  <si>
    <t>232万</t>
  </si>
  <si>
    <t>咖啡机-卡伦特</t>
  </si>
  <si>
    <t>卡伦特</t>
  </si>
  <si>
    <t>218万</t>
  </si>
  <si>
    <t>咖啡机-LaMarzocco</t>
  </si>
  <si>
    <t>LaMarzocco</t>
  </si>
  <si>
    <t>180万</t>
  </si>
  <si>
    <t>咖啡机-Derlla</t>
  </si>
  <si>
    <t>Derlla</t>
  </si>
  <si>
    <t>153万</t>
  </si>
  <si>
    <t>咖啡机-SUPOR/苏泊尔</t>
  </si>
  <si>
    <t>148万</t>
  </si>
  <si>
    <t>咖啡机-MOAIQO/摩巧</t>
  </si>
  <si>
    <t>MOAIQO/摩巧</t>
  </si>
  <si>
    <t>137万</t>
  </si>
  <si>
    <t>咖啡机-SAPOUDR/赛普达</t>
  </si>
  <si>
    <t>SAPOUDR/赛普达</t>
  </si>
  <si>
    <t>136万</t>
  </si>
  <si>
    <t>咖啡机-irmafreda/艾尔菲德</t>
  </si>
  <si>
    <t>irmafreda/艾尔菲德</t>
  </si>
  <si>
    <t>124万</t>
  </si>
  <si>
    <t>咖啡机-LELIT</t>
  </si>
  <si>
    <t>LELIT</t>
  </si>
  <si>
    <t>118万</t>
  </si>
  <si>
    <t>咖啡机-LELIT（居家日用）</t>
  </si>
  <si>
    <t>LELIT（居家日用）</t>
  </si>
  <si>
    <t>咖啡机-scishare/心想</t>
  </si>
  <si>
    <t>109万</t>
  </si>
  <si>
    <t>咖啡机-ROCKET（家电）</t>
  </si>
  <si>
    <t>ROCKET（家电）</t>
  </si>
  <si>
    <t>98万</t>
  </si>
  <si>
    <t>咖啡机-DOLCEGUSTO</t>
  </si>
  <si>
    <t>DOLCEGUSTO</t>
  </si>
  <si>
    <t>91万</t>
  </si>
  <si>
    <t>咖啡机-Panasonic/松下</t>
  </si>
  <si>
    <t>Panasonic/松下</t>
  </si>
  <si>
    <t>86万</t>
  </si>
  <si>
    <t>咖啡机-couplux/客浦</t>
  </si>
  <si>
    <t>couplux/客浦</t>
  </si>
  <si>
    <t>77万</t>
  </si>
  <si>
    <t>咖啡机-SIEMENS/西门子</t>
  </si>
  <si>
    <t>SIEMENS/西门子</t>
  </si>
  <si>
    <t>咖啡机-primitalia</t>
  </si>
  <si>
    <t>primitalia</t>
  </si>
  <si>
    <t>76万</t>
  </si>
  <si>
    <t>咖啡机-JURA/优瑞</t>
  </si>
  <si>
    <t>JURA/优瑞</t>
  </si>
  <si>
    <t>71万</t>
  </si>
  <si>
    <t>咖啡机-百胜图咖啡</t>
  </si>
  <si>
    <t>69万</t>
  </si>
  <si>
    <t>咖啡机-RANCILIO</t>
  </si>
  <si>
    <t>RANCILIO</t>
  </si>
  <si>
    <t>66万</t>
  </si>
  <si>
    <t>咖啡机-Donlim/东菱</t>
  </si>
  <si>
    <t>63万</t>
  </si>
  <si>
    <t>咖啡机-西堤岛</t>
  </si>
  <si>
    <t>西堤岛</t>
  </si>
  <si>
    <t>咖啡机-dhRoN</t>
  </si>
  <si>
    <t>dhRoN</t>
  </si>
  <si>
    <t>咖啡机-KAFFA/卡法</t>
  </si>
  <si>
    <t>KAFFA/卡法</t>
  </si>
  <si>
    <t>62万</t>
  </si>
  <si>
    <t>咖啡机-HiBREW*HiBREW</t>
  </si>
  <si>
    <t>HiBREW*HiBREW</t>
  </si>
  <si>
    <t>61万</t>
  </si>
  <si>
    <t>咖啡机-pedrocchi</t>
  </si>
  <si>
    <t>pedrocchi</t>
  </si>
  <si>
    <t>60万</t>
  </si>
  <si>
    <t>咖啡机-德颐</t>
  </si>
  <si>
    <t>德颐</t>
  </si>
  <si>
    <t>咖啡机-NuovaSimonelli</t>
  </si>
  <si>
    <t>NuovaSimonelli</t>
  </si>
  <si>
    <t>咖啡机-falata</t>
  </si>
  <si>
    <t>falata</t>
  </si>
  <si>
    <t>57万</t>
  </si>
  <si>
    <t>咖啡机-SCHNEIDER（电子电工）</t>
  </si>
  <si>
    <t>SCHNEIDER（电子电工）</t>
  </si>
  <si>
    <t>56万</t>
  </si>
  <si>
    <t>咖啡机-妙雀</t>
  </si>
  <si>
    <t>妙雀</t>
  </si>
  <si>
    <t>55万</t>
  </si>
  <si>
    <t>咖啡机-MILESTO/迈拓</t>
  </si>
  <si>
    <t>MILESTO/迈拓</t>
  </si>
  <si>
    <t>54万</t>
  </si>
  <si>
    <t>咖啡机-krups</t>
  </si>
  <si>
    <t>53万</t>
  </si>
  <si>
    <t>咖啡机-ZZUOM/左左摩</t>
  </si>
  <si>
    <t>ZZUOM/左左摩</t>
  </si>
  <si>
    <t>咖啡机-Miele/美诺</t>
  </si>
  <si>
    <t>Miele/美诺</t>
  </si>
  <si>
    <t>咖啡机-MIJIA/米家</t>
  </si>
  <si>
    <t>47万</t>
  </si>
  <si>
    <t>咖啡机-LelitBianca</t>
  </si>
  <si>
    <t>LelitBianca</t>
  </si>
  <si>
    <t>46万</t>
  </si>
  <si>
    <t>胶囊咖啡-NESPRESSO/奈斯派索</t>
  </si>
  <si>
    <t>628万</t>
  </si>
  <si>
    <t>胶囊咖啡-starbucks/星巴克</t>
  </si>
  <si>
    <t>445万</t>
  </si>
  <si>
    <t>胶囊咖啡-Nestle/雀巢</t>
  </si>
  <si>
    <t>245万</t>
  </si>
  <si>
    <t>胶囊咖啡-Peet's</t>
  </si>
  <si>
    <t>197万</t>
  </si>
  <si>
    <t>胶囊咖啡-DOLCEGUSTO</t>
  </si>
  <si>
    <t>178万</t>
  </si>
  <si>
    <t>胶囊咖啡-Illy</t>
  </si>
  <si>
    <t>168万</t>
  </si>
  <si>
    <t>胶囊咖啡-TASOGARE/隅田川</t>
  </si>
  <si>
    <t>115万</t>
  </si>
  <si>
    <t>胶囊咖啡-L'OR（法国）</t>
  </si>
  <si>
    <t>81万</t>
  </si>
  <si>
    <t>胶囊咖啡-agf</t>
  </si>
  <si>
    <t>79万</t>
  </si>
  <si>
    <t>胶囊咖啡-Nescafe/雀巢咖啡</t>
  </si>
  <si>
    <t>36万</t>
  </si>
  <si>
    <t>胶囊咖啡-Capsulife/胶囊生活</t>
  </si>
  <si>
    <t>Capsulife/胶囊生活</t>
  </si>
  <si>
    <t>胶囊咖啡-MAXWELLHOUSE/麦斯威尔</t>
  </si>
  <si>
    <t>MAXWELLHOUSE/麦斯威尔</t>
  </si>
  <si>
    <t>31万</t>
  </si>
  <si>
    <t>胶囊咖啡-多趣酷思</t>
  </si>
  <si>
    <t>29万</t>
  </si>
  <si>
    <t>胶囊咖啡-领鲜本色</t>
  </si>
  <si>
    <t>领鲜本色</t>
  </si>
  <si>
    <t>26万</t>
  </si>
  <si>
    <t>胶囊咖啡-LAVAZZA/拉瓦萨</t>
  </si>
  <si>
    <t>25万</t>
  </si>
  <si>
    <t>胶囊咖啡-KIMBO</t>
  </si>
  <si>
    <t>KIMBO</t>
  </si>
  <si>
    <t>18万</t>
  </si>
  <si>
    <t>胶囊咖啡-彼蒂</t>
  </si>
  <si>
    <t>彼蒂</t>
  </si>
  <si>
    <t>胶囊咖啡-Tassimo</t>
  </si>
  <si>
    <t>Tassimo</t>
  </si>
  <si>
    <t>16万</t>
  </si>
  <si>
    <t>胶囊咖啡-CafeRoyal</t>
  </si>
  <si>
    <t>CafeRoyal</t>
  </si>
  <si>
    <t>15万</t>
  </si>
  <si>
    <t>胶囊咖啡-VIAGGIOESPRESSO</t>
  </si>
  <si>
    <t>VIAGGIOESPRESSO</t>
  </si>
  <si>
    <t>胶囊咖啡-UCC/悠诗诗</t>
  </si>
  <si>
    <t>UCC/悠诗诗</t>
  </si>
  <si>
    <t>14万</t>
  </si>
  <si>
    <t>胶囊咖啡-Derlla</t>
  </si>
  <si>
    <t>12万</t>
  </si>
  <si>
    <t>胶囊咖啡-CCARRARO1927</t>
  </si>
  <si>
    <t>CCARRARO1927</t>
  </si>
  <si>
    <t>11万</t>
  </si>
  <si>
    <t>胶囊咖啡-ROMAUNT</t>
  </si>
  <si>
    <t>ROMAUNT</t>
  </si>
  <si>
    <t>10万</t>
  </si>
  <si>
    <t>胶囊咖啡-Peet'sCoffee</t>
  </si>
  <si>
    <t>Peet'sCoffee</t>
  </si>
  <si>
    <t>胶囊咖啡-Caferica/极睿</t>
  </si>
  <si>
    <t>Caferica/极睿</t>
  </si>
  <si>
    <t>9万</t>
  </si>
  <si>
    <t>胶囊咖啡-心想甄选</t>
  </si>
  <si>
    <t>心想甄选</t>
  </si>
  <si>
    <t>胶囊咖啡-scishare/心想</t>
  </si>
  <si>
    <t>胶囊咖啡-MilanGold金米兰</t>
  </si>
  <si>
    <t>MilanGold金米兰</t>
  </si>
  <si>
    <t>胶囊咖啡-Moccona/摩可纳</t>
  </si>
  <si>
    <t>Moccona/摩可纳</t>
  </si>
  <si>
    <t>7万</t>
  </si>
  <si>
    <t>胶囊咖啡-beamtimer/治光师</t>
  </si>
  <si>
    <t>beamtimer/治光师</t>
  </si>
  <si>
    <t>6万</t>
  </si>
  <si>
    <t>胶囊咖啡-意沫咖（意大利）</t>
  </si>
  <si>
    <t>意沫咖（意大利）</t>
  </si>
  <si>
    <t>胶囊咖啡-ACECOF</t>
  </si>
  <si>
    <t>ACECOF</t>
  </si>
  <si>
    <t>5万</t>
  </si>
  <si>
    <t>胶囊咖啡-芮耀</t>
  </si>
  <si>
    <t>芮耀</t>
  </si>
  <si>
    <t>胶囊咖啡-COFFESSO</t>
  </si>
  <si>
    <t>COFFESSO</t>
  </si>
  <si>
    <t>胶囊咖啡-DELTAQ/岱塔珂</t>
  </si>
  <si>
    <t>DELTAQ/岱塔珂</t>
  </si>
  <si>
    <t>4万</t>
  </si>
  <si>
    <t>胶囊咖啡-carracci</t>
  </si>
  <si>
    <t>carracci</t>
  </si>
  <si>
    <t>胶囊咖啡-保博尼</t>
  </si>
  <si>
    <t>保博尼</t>
  </si>
  <si>
    <t>胶囊咖啡-DODOCO</t>
  </si>
  <si>
    <t>DODOCO</t>
  </si>
  <si>
    <t>胶囊咖啡-jacobs（咖啡）</t>
  </si>
  <si>
    <t>jacobs（咖啡）</t>
  </si>
  <si>
    <t>胶囊咖啡-eastsign</t>
  </si>
  <si>
    <t>eastsign</t>
  </si>
  <si>
    <t>3万</t>
  </si>
  <si>
    <t>胶囊咖啡-CAFFITALY/卡菲塔利</t>
  </si>
  <si>
    <t>CAFFITALY/卡菲塔利</t>
  </si>
  <si>
    <t>胶囊咖啡-CaffeBorbone</t>
  </si>
  <si>
    <t>CaffeBorbone</t>
  </si>
  <si>
    <t>胶囊咖啡-GIMOKA</t>
  </si>
  <si>
    <t>GIMOKA</t>
  </si>
  <si>
    <t>胶囊咖啡-CapZO</t>
  </si>
  <si>
    <t>CapZO</t>
  </si>
  <si>
    <t>胶囊咖啡-CAFFEVERGNANO</t>
  </si>
  <si>
    <t>CAFFEVERGNANO</t>
  </si>
  <si>
    <t>胶囊咖啡-DOLLNESY</t>
  </si>
  <si>
    <t>DOLLNESY</t>
  </si>
  <si>
    <t>胶囊咖啡-BELMIO</t>
  </si>
  <si>
    <t>BELMIO</t>
  </si>
  <si>
    <t>2万</t>
  </si>
  <si>
    <t>胶囊咖啡-nicola</t>
  </si>
  <si>
    <t>nicola</t>
  </si>
  <si>
    <t>胶囊咖啡-Tchibo/奇堡</t>
  </si>
  <si>
    <t>Tchibo/奇堡</t>
  </si>
  <si>
    <t>类目名称</t>
  </si>
  <si>
    <t>店铺名称</t>
  </si>
  <si>
    <t>店铺ID</t>
  </si>
  <si>
    <t>交易指数</t>
  </si>
  <si>
    <t>交易增长幅度</t>
  </si>
  <si>
    <t>及哦啊已转化指数</t>
  </si>
  <si>
    <t>行业排名</t>
  </si>
  <si>
    <t>商品链接</t>
  </si>
  <si>
    <t>小家电品质馆</t>
  </si>
  <si>
    <t>RAzN8HWaDBc3YJCcZvf1oYFt6UisZrTU6baWgy4GdNb9QYkDv3N</t>
  </si>
  <si>
    <t>741172944791</t>
  </si>
  <si>
    <t>SUPOR/苏泊尔 SW-CFB301</t>
  </si>
  <si>
    <t>77146</t>
  </si>
  <si>
    <t>504.5664956980191</t>
  </si>
  <si>
    <t>115</t>
  </si>
  <si>
    <t>NaN</t>
  </si>
  <si>
    <t>https://item.taobao.com/item.htm?id=741172944791</t>
  </si>
  <si>
    <t>巴塞时尚咖啡生活</t>
  </si>
  <si>
    <t>RAzN8HAd4n9tBaP3Tv3uHMonfVKYL</t>
  </si>
  <si>
    <t>10001177065</t>
  </si>
  <si>
    <t>LOR芮耀UCC星吧克咖啡胶囊100粒适用于雀巢Nespresso胶囊咖啡机</t>
  </si>
  <si>
    <t>33607</t>
  </si>
  <si>
    <t>866.3137260190047</t>
  </si>
  <si>
    <t>73</t>
  </si>
  <si>
    <t>-29</t>
  </si>
  <si>
    <t>https://item.taobao.com/item.htm?id=10001177065</t>
  </si>
  <si>
    <t>咖啡天堂</t>
  </si>
  <si>
    <t>RAzN8HAdBA1JdGu6gr9CEaRwiRAsc</t>
  </si>
  <si>
    <t>38587340364</t>
  </si>
  <si>
    <t>illy咖啡胶囊100粒适用illy意利胶囊咖啡机用意式浓缩 过滤式咖啡</t>
  </si>
  <si>
    <t>31022</t>
  </si>
  <si>
    <t>845.2401969558746</t>
  </si>
  <si>
    <t>90</t>
  </si>
  <si>
    <t>-43</t>
  </si>
  <si>
    <t>https://item.taobao.com/item.htm?id=38587340364</t>
  </si>
  <si>
    <t>705627580007</t>
  </si>
  <si>
    <t>特惠2罐illy咖啡胶囊21粒家庭装illy意利胶囊咖啡意式拼配单品soe</t>
  </si>
  <si>
    <t>30570</t>
  </si>
  <si>
    <t>1054.734737116672</t>
  </si>
  <si>
    <t>94</t>
  </si>
  <si>
    <t>-22</t>
  </si>
  <si>
    <t>https://item.taobao.com/item.htm?id=705627580007</t>
  </si>
  <si>
    <t>小肥喵的百宝袋</t>
  </si>
  <si>
    <t>RAzN8HAa4YhAzwRyziJP8PDNJg5pL</t>
  </si>
  <si>
    <t>593163904676</t>
  </si>
  <si>
    <t>意大利进口咖啡胶囊 kimbo竞宝10粒兼容NESPRESSO胶囊机浓缩 临期</t>
  </si>
  <si>
    <t>15561</t>
  </si>
  <si>
    <t>943.3759793719528</t>
  </si>
  <si>
    <t>267</t>
  </si>
  <si>
    <t>https://item.taobao.com/item.htm?id=593163904676</t>
  </si>
  <si>
    <t>八号咖啡馆</t>
  </si>
  <si>
    <t>RAzN8HAoKkqSKkcG82k1bSj3oMMcJ</t>
  </si>
  <si>
    <t>705336541696</t>
  </si>
  <si>
    <t>Peets皮爷精品胶囊咖啡美式浓缩50颗适配nespresso胶囊机原装进口</t>
  </si>
  <si>
    <t>14462</t>
  </si>
  <si>
    <t>1116.227374464312</t>
  </si>
  <si>
    <t>294</t>
  </si>
  <si>
    <t>https://item.taobao.com/item.htm?id=705336541696</t>
  </si>
  <si>
    <t>RAzN8HWQqDVNuEJJNFEzwdzKiNT1psHwZ9bMZkuLno6BAjDkuZx</t>
  </si>
  <si>
    <t>704446066463</t>
  </si>
  <si>
    <t>新品Dr.coffee咖博士咖啡机家用小型意式全自动研磨一键拿铁H2</t>
  </si>
  <si>
    <t>235880</t>
  </si>
  <si>
    <t>-1</t>
  </si>
  <si>
    <t>328.3035245532717</t>
  </si>
  <si>
    <t>10</t>
  </si>
  <si>
    <t>-5</t>
  </si>
  <si>
    <t>https://detail.tmall.com/item.htm?id=704446066463</t>
  </si>
  <si>
    <t>心想旗舰店</t>
  </si>
  <si>
    <t>RAzN8HWRrVHC1ufXEnEFxmNFuHHaR5w7re6U7PMSYJfo1DiPYKV</t>
  </si>
  <si>
    <t>628765334687</t>
  </si>
  <si>
    <t>心想胶囊咖啡机家用自动小型意式浓缩咖啡机便携迷你咖啡胶囊机</t>
  </si>
  <si>
    <t>170445</t>
  </si>
  <si>
    <t>327.7187131404642</t>
  </si>
  <si>
    <t>25</t>
  </si>
  <si>
    <t>-64</t>
  </si>
  <si>
    <t>胶囊</t>
  </si>
  <si>
    <t>https://detail.tmall.com/item.htm?id=628765334687</t>
  </si>
  <si>
    <t>DeLonghi德龙集团官方海外旗舰店</t>
  </si>
  <si>
    <t>RAzN8HWLAi1D1GStVrpRw9EFD6y4WpiDZFpSjxJxwzgNLyvXsin</t>
  </si>
  <si>
    <t>530835599827</t>
  </si>
  <si>
    <t>Delonghi/德龙复古系列 ECO310半自动咖啡机意式泵压家用奶泡一体</t>
  </si>
  <si>
    <t>134210</t>
  </si>
  <si>
    <t>308.6579560901928</t>
  </si>
  <si>
    <t>40</t>
  </si>
  <si>
    <t>https://detail.tmall.com/item.htm?id=530835599827</t>
  </si>
  <si>
    <t>HiBREWHiBREW旗舰店</t>
  </si>
  <si>
    <t>RAzN8HWZ7fuJUD4VBG6ynDFPno9AWmoTn6UoiL2Md2XvaLjxB1k</t>
  </si>
  <si>
    <t>703972135536</t>
  </si>
  <si>
    <t>HiBREW咖喜萃咖啡机全半自动意式浓缩萃取家用小型蒸汽打奶泡一体</t>
  </si>
  <si>
    <t>113132</t>
  </si>
  <si>
    <t>568.7908691635595</t>
  </si>
  <si>
    <t>55</t>
  </si>
  <si>
    <t>-6</t>
  </si>
  <si>
    <t>https://detail.tmall.com/item.htm?id=703972135536</t>
  </si>
  <si>
    <t>644607670506</t>
  </si>
  <si>
    <t>Delonghi/德龙ETAM29.660 全自动进口咖啡机一键卡布家用现磨意式</t>
  </si>
  <si>
    <t>101435</t>
  </si>
  <si>
    <t>295.5185845650616</t>
  </si>
  <si>
    <t>70</t>
  </si>
  <si>
    <t>29</t>
  </si>
  <si>
    <t>https://detail.tmall.com/item.htm?id=644607670506</t>
  </si>
  <si>
    <t>CXJP海外专营店</t>
  </si>
  <si>
    <t>RAzN8HWRqjJEPq5s6QTeLfkwWW7qPGf96ZaEZHw1qa27f8CwZHV</t>
  </si>
  <si>
    <t>727443157749</t>
  </si>
  <si>
    <t>Delonghi/德龙 ECAM22.110全自动咖啡机商家用意式现研磨奶泡一体</t>
  </si>
  <si>
    <t>93669</t>
  </si>
  <si>
    <t>367.187252330007</t>
  </si>
  <si>
    <t>85</t>
  </si>
  <si>
    <t>-125</t>
  </si>
  <si>
    <t>https://detail.tmall.com/item.htm?id=727443157749</t>
  </si>
  <si>
    <t>RAzN8HWNYh2iW3qSFdcmyiwquPFcjVnQ1riAsagJbCrz3LnM4KQ</t>
  </si>
  <si>
    <t>638091408907</t>
  </si>
  <si>
    <t>Barsetto/百胜图咖啡机家用小型意式商用全半自动研磨一体奶泡机</t>
  </si>
  <si>
    <t>84284</t>
  </si>
  <si>
    <t>282.353032224853</t>
  </si>
  <si>
    <t>41</t>
  </si>
  <si>
    <t>https://detail.tmall.com/item.htm?id=638091408907</t>
  </si>
  <si>
    <t>柏翠上海专卖店</t>
  </si>
  <si>
    <t>RAzN8HWLMMvZ521duurfaG5bVe5T2v3zTfLUq8Xpai5W41PJgqs</t>
  </si>
  <si>
    <t>691259956213</t>
  </si>
  <si>
    <t>柏翠3655意式咖啡机专业家用小型半自动小白浓缩一体蒸汽打奶泡铂</t>
  </si>
  <si>
    <t>76938</t>
  </si>
  <si>
    <t>303.939873347625</t>
  </si>
  <si>
    <t>116</t>
  </si>
  <si>
    <t>-65</t>
  </si>
  <si>
    <t>https://detail.tmall.com/item.htm?id=691259956213</t>
  </si>
  <si>
    <t>苏泊尔官方旗舰店</t>
  </si>
  <si>
    <t>RAzN8HWZNCwo74AHrwdnoA1wbka2E7HaFcgfVwuUHgyRM8rSS7b</t>
  </si>
  <si>
    <t>706853114630</t>
  </si>
  <si>
    <t>苏泊尔意式半自动咖啡机家用小型迷你便携式浓缩咖啡美式花式咖啡</t>
  </si>
  <si>
    <t>71914</t>
  </si>
  <si>
    <t>237.1812229540349</t>
  </si>
  <si>
    <t>131</t>
  </si>
  <si>
    <t>44</t>
  </si>
  <si>
    <t>https://detail.tmall.com/item.htm?id=706853114630</t>
  </si>
  <si>
    <t>RAzN8HWa9wbTp8bNJqifR3zcJuxe1GQBKmEuXtVcd8U1vFtxWRF</t>
  </si>
  <si>
    <t>623508802012</t>
  </si>
  <si>
    <t>柏翠PE3690S海盐小方Pro浓缩意式咖啡机家用全半自动小型一体商用</t>
  </si>
  <si>
    <t>226549</t>
  </si>
  <si>
    <t>290.1897801764788</t>
  </si>
  <si>
    <t>11</t>
  </si>
  <si>
    <t>https://detail.tmall.com/item.htm?id=623508802012</t>
  </si>
  <si>
    <t>RAzN8HWRw6381PS7GgCFdnptsFEkY3VMhM544gfkEidPMr9U1pX</t>
  </si>
  <si>
    <t>703348300632</t>
  </si>
  <si>
    <t>马克西姆细管鲶鱼咖啡机意式全半自动一体机咖啡机家用小型磨豆</t>
  </si>
  <si>
    <t>169624</t>
  </si>
  <si>
    <t>400.0578701030651</t>
  </si>
  <si>
    <t>26</t>
  </si>
  <si>
    <t>-21</t>
  </si>
  <si>
    <t>https://detail.tmall.com/item.htm?id=703348300632</t>
  </si>
  <si>
    <t>RAzN8HWR46axXMti8XqSwH9jT4mrciDiF3z3Z5htkCTQ4KKCQg9</t>
  </si>
  <si>
    <t>643646047571</t>
  </si>
  <si>
    <t>格米莱CRM3005G家用咖啡机半自动办公室小型意式浓缩蒸汽</t>
  </si>
  <si>
    <t>132390</t>
  </si>
  <si>
    <t>265.7924477096664</t>
  </si>
  <si>
    <t>8</t>
  </si>
  <si>
    <t>https://detail.tmall.com/item.htm?id=643646047571</t>
  </si>
  <si>
    <t>742410136290</t>
  </si>
  <si>
    <t>柏翠PE3663小白觉醒意式咖啡机浓缩家用小型全半自动蒸汽打奶泡</t>
  </si>
  <si>
    <t>112257</t>
  </si>
  <si>
    <t>322.2692876662936</t>
  </si>
  <si>
    <t>56</t>
  </si>
  <si>
    <t>-110</t>
  </si>
  <si>
    <t>https://detail.tmall.com/item.htm?id=742410136290</t>
  </si>
  <si>
    <t>711366307743</t>
  </si>
  <si>
    <t>柏翠PE3888直白咖啡机双锅炉意式家用全半自动小型一体奶泡美式</t>
  </si>
  <si>
    <t>101054</t>
  </si>
  <si>
    <t>216.29635251341</t>
  </si>
  <si>
    <t>71</t>
  </si>
  <si>
    <t>22</t>
  </si>
  <si>
    <t>https://detail.tmall.com/item.htm?id=711366307743</t>
  </si>
  <si>
    <t>真品咖啡</t>
  </si>
  <si>
    <t>RAzN8HAbjQs99jdZJ2npULkGzBZBx</t>
  </si>
  <si>
    <t>677921058452</t>
  </si>
  <si>
    <t>WEGA PEGASO毕加索双头商用咖啡机意式高杯电控E61意大利原装进口</t>
  </si>
  <si>
    <t>93315</t>
  </si>
  <si>
    <t>217.5645612071937</t>
  </si>
  <si>
    <t>86</t>
  </si>
  <si>
    <t>-15</t>
  </si>
  <si>
    <t>https://item.taobao.com/item.htm?id=677921058452</t>
  </si>
  <si>
    <t>北京盛侨电器</t>
  </si>
  <si>
    <t>RAzN8HWLK2UUjKiEdGEhicuPayjTg7Gc4Qh7u7bQ7gdx6AmfM9n</t>
  </si>
  <si>
    <t>599175691570</t>
  </si>
  <si>
    <t>Delonghi/德龙 S2 Emax 家用办公室进口全自动意式研磨一体咖啡机</t>
  </si>
  <si>
    <t>83953</t>
  </si>
  <si>
    <t>778.7925236987894</t>
  </si>
  <si>
    <t>101</t>
  </si>
  <si>
    <t>-95</t>
  </si>
  <si>
    <t>https://item.taobao.com/item.htm?id=599175691570</t>
  </si>
  <si>
    <t>酷客咖啡</t>
  </si>
  <si>
    <t>RAzN8HWSKUWQ6gJwcRtd33trk6qxLgLasiQ9y93VgiY5gx7zaAz</t>
  </si>
  <si>
    <t>681576180088</t>
  </si>
  <si>
    <t>国行联保Breville铂富BES876海盐白家用半自动意式磨豆咖啡机</t>
  </si>
  <si>
    <t>76934</t>
  </si>
  <si>
    <t>429.5190084776555</t>
  </si>
  <si>
    <t>117</t>
  </si>
  <si>
    <t>https://item.taobao.com/item.htm?id=681576180088</t>
  </si>
  <si>
    <t>RAzN8HWZmChPA2kE2cs2JdusYCzsGjwj6qhTLjG4yzFgZcNvKcQ</t>
  </si>
  <si>
    <t>524245373905</t>
  </si>
  <si>
    <t>意大利Delonghi/德龙 ETAM29.510 全自动咖啡机意式家用进口现磨</t>
  </si>
  <si>
    <t>71559</t>
  </si>
  <si>
    <t>255.2210929998604</t>
  </si>
  <si>
    <t>132</t>
  </si>
  <si>
    <t>-27</t>
  </si>
  <si>
    <t>https://detail.tmall.com/item.htm?id=524245373905</t>
  </si>
  <si>
    <t>博朗电器</t>
  </si>
  <si>
    <t>RAzN8HWPGg8zqU89RCTFJAg621eUsKZQTpwTwhCgabko5fdN8ay</t>
  </si>
  <si>
    <t>673873542695</t>
  </si>
  <si>
    <t>Delonghi/德龙 ECAM450.76.T探索者全自动进口咖啡机意式触屏新品</t>
  </si>
  <si>
    <t>66977</t>
  </si>
  <si>
    <t>265.3325049125961</t>
  </si>
  <si>
    <t>146</t>
  </si>
  <si>
    <t>https://item.taobao.com/item.htm?id=673873542695</t>
  </si>
  <si>
    <t>severin电器旗舰店</t>
  </si>
  <si>
    <t>RAzN8HWNecfmt7L5Yk6XC78fcTiEcyqnXakWKWQE6gr5dwcRDqr</t>
  </si>
  <si>
    <t>608387266363</t>
  </si>
  <si>
    <t>施威朗SEVERIN全自动咖啡机家用小型意式浓缩研磨一体咖啡机德国</t>
  </si>
  <si>
    <t>63682</t>
  </si>
  <si>
    <t>191.3332556004553</t>
  </si>
  <si>
    <t>160</t>
  </si>
  <si>
    <t>68</t>
  </si>
  <si>
    <t>https://detail.tmall.com/item.htm?id=608387266363</t>
  </si>
  <si>
    <t>懒咖旗舰店</t>
  </si>
  <si>
    <t>RAzN8HWNaGhNXYmQawpi87mcMGZVjbVpFEtAcLr1ot48K4j5CsD</t>
  </si>
  <si>
    <t>739167833923</t>
  </si>
  <si>
    <t>赛普达全自动咖啡机家用美式滴漏小型一体办公室现磨智能研磨一体</t>
  </si>
  <si>
    <t>61421</t>
  </si>
  <si>
    <t>357.485334681806</t>
  </si>
  <si>
    <t>174</t>
  </si>
  <si>
    <t>27</t>
  </si>
  <si>
    <t>https://detail.tmall.com/item.htm?id=739167833923</t>
  </si>
  <si>
    <t>741709108716</t>
  </si>
  <si>
    <t>59235</t>
  </si>
  <si>
    <t>281.5418462191741</t>
  </si>
  <si>
    <t>188</t>
  </si>
  <si>
    <t>https://detail.tmall.com/item.htm?id=741709108716</t>
  </si>
  <si>
    <t>东菱旗舰店</t>
  </si>
  <si>
    <t>RAzN8HWa2TKZsnkrSFeQ5yM3ui5a5CrMShh7mW9BxKV4dqDwnXY</t>
  </si>
  <si>
    <t>728737680882</t>
  </si>
  <si>
    <t>【新品】东菱7400冷萃意式咖啡机小型家用全半自动一体浓缩打奶泡</t>
  </si>
  <si>
    <t>56273</t>
  </si>
  <si>
    <t>205.2267493818475</t>
  </si>
  <si>
    <t>202</t>
  </si>
  <si>
    <t>93</t>
  </si>
  <si>
    <t>https://detail.tmall.com/item.htm?id=728737680882</t>
  </si>
  <si>
    <t>奶爸特供国际电器馆</t>
  </si>
  <si>
    <t>RAzN8HWWUxet3BKGs9cE7ZCnerAytYjeh4VMBZvvhb5Jc7M5782</t>
  </si>
  <si>
    <t>584045314500</t>
  </si>
  <si>
    <t>奶爸家德国BOSCH博世8系CTL636ES6嵌入式全自动咖啡机CTL636EB6</t>
  </si>
  <si>
    <t>54771</t>
  </si>
  <si>
    <t>186.3350844491347</t>
  </si>
  <si>
    <t>216</t>
  </si>
  <si>
    <t>-53</t>
  </si>
  <si>
    <t>https://item.taobao.com/item.htm?id=584045314500</t>
  </si>
  <si>
    <t>文博海外专营店</t>
  </si>
  <si>
    <t>RAzN8HWUvjpxvKb2s96GWev3rbpsnoKSPV1HCb5hCvWf4r2sL33</t>
  </si>
  <si>
    <t>669413730381</t>
  </si>
  <si>
    <t>德龙EC9155/EC9255/EC9355/9665意式半自动研磨奶泡多功能咖啡机</t>
  </si>
  <si>
    <t>53232</t>
  </si>
  <si>
    <t>243.8640071139046</t>
  </si>
  <si>
    <t>230</t>
  </si>
  <si>
    <t>-30</t>
  </si>
  <si>
    <t>https://detail.tmall.com/item.htm?id=669413730381</t>
  </si>
  <si>
    <t>626388022207</t>
  </si>
  <si>
    <t>Dr.coffee咖博士F10全自动咖啡机一键磨豆奶咖办公室咖啡机商用</t>
  </si>
  <si>
    <t>51314</t>
  </si>
  <si>
    <t>259.1309883319392</t>
  </si>
  <si>
    <t>244</t>
  </si>
  <si>
    <t>https://detail.tmall.com/item.htm?id=626388022207</t>
  </si>
  <si>
    <t>jassy旗舰店</t>
  </si>
  <si>
    <t>RAzN8HWLTysE89nYDgDbdVuaJE8EYLjLoDaUC5Wv2dsrsiZt7kc</t>
  </si>
  <si>
    <t>670153571654</t>
  </si>
  <si>
    <t>JASSY意式浓缩研磨一体半自动家用咖啡机小型办公室商用</t>
  </si>
  <si>
    <t>49158</t>
  </si>
  <si>
    <t>494.7419941890361</t>
  </si>
  <si>
    <t>258</t>
  </si>
  <si>
    <t>https://detail.tmall.com/item.htm?id=670153571654</t>
  </si>
  <si>
    <t>爱旺斯电器专营店</t>
  </si>
  <si>
    <t>RAzN8HWJMjRs3iFVN5EzwcfKJgJmRFZTEWkfvQRRejxd7K7agPK</t>
  </si>
  <si>
    <t>520270657553</t>
  </si>
  <si>
    <t>WPM惠家咖啡机- KD-310 咖啡机全半自动意式浓缩家用商用咖啡机</t>
  </si>
  <si>
    <t>48043</t>
  </si>
  <si>
    <t>276.2013332159335</t>
  </si>
  <si>
    <t>272</t>
  </si>
  <si>
    <t>61</t>
  </si>
  <si>
    <t>https://detail.tmall.com/item.htm?id=520270657553</t>
  </si>
  <si>
    <t>Cafelffe旗舰店</t>
  </si>
  <si>
    <t>RAzN8HWKNoe2dnMYVWR2KyAJ4rq7UE2zbKPwqajK3krYjZ4HiMM</t>
  </si>
  <si>
    <t>743192519683</t>
  </si>
  <si>
    <t>Cafelffe聚咖半自动咖啡机小型家用研磨一体意式奶泡美式商用新款</t>
  </si>
  <si>
    <t>47358</t>
  </si>
  <si>
    <t>213.3657510548448</t>
  </si>
  <si>
    <t>286</t>
  </si>
  <si>
    <t>28</t>
  </si>
  <si>
    <t>https://detail.tmall.com/item.htm?id=743192519683</t>
  </si>
  <si>
    <t>654964746797</t>
  </si>
  <si>
    <t>Stelang雪特朗 意式全半自动咖啡机家用小型奶泡机研磨一体半商用</t>
  </si>
  <si>
    <t>45306</t>
  </si>
  <si>
    <t>245.2239229325016</t>
  </si>
  <si>
    <t>300</t>
  </si>
  <si>
    <t>33</t>
  </si>
  <si>
    <t>https://detail.tmall.com/item.htm?id=654964746797</t>
  </si>
  <si>
    <t>527997898684</t>
  </si>
  <si>
    <t>224176</t>
  </si>
  <si>
    <t>363.6737954717116</t>
  </si>
  <si>
    <t>12</t>
  </si>
  <si>
    <t>-13</t>
  </si>
  <si>
    <t>https://detail.tmall.com/item.htm?id=527997898684</t>
  </si>
  <si>
    <t>737385526132</t>
  </si>
  <si>
    <t>【新品】Delonghi德龙全自动咖啡机R3 进口研磨小型意式办公室</t>
  </si>
  <si>
    <t>166328</t>
  </si>
  <si>
    <t>178.8405370008124</t>
  </si>
  <si>
    <t>https://detail.tmall.com/item.htm?id=737385526132</t>
  </si>
  <si>
    <t>pedrocchi旗舰店</t>
  </si>
  <si>
    <t>RAzN8HWULYsnm3fYG3MXXbjbV1Qa76NNvnjmuN4KcCvhJN86DmY</t>
  </si>
  <si>
    <t>738663937363</t>
  </si>
  <si>
    <t>佩罗奇S1咖啡机小型家用半自动意式办公室复古商用带研磨豆一体机</t>
  </si>
  <si>
    <t>126804</t>
  </si>
  <si>
    <t>304.1477881482876</t>
  </si>
  <si>
    <t>42</t>
  </si>
  <si>
    <t>-194</t>
  </si>
  <si>
    <t>https://detail.tmall.com/item.htm?id=738663937363</t>
  </si>
  <si>
    <t>SAPOUDR赛普达旗舰店</t>
  </si>
  <si>
    <t>RAzN8HWaViZMTykFN4MfGrcPUNqPzGdjU7rjJ8A7CA9bq1wx9rZ</t>
  </si>
  <si>
    <t>742131957045</t>
  </si>
  <si>
    <t>sapoudr赛普达EC35半自动意式浓缩蒸汽打奶泡一体家用小型咖啡机</t>
  </si>
  <si>
    <t>111888</t>
  </si>
  <si>
    <t>382.6998071388734</t>
  </si>
  <si>
    <t>57</t>
  </si>
  <si>
    <t>-57</t>
  </si>
  <si>
    <t>https://detail.tmall.com/item.htm?id=742131957045</t>
  </si>
  <si>
    <t>松下官方旗舰店</t>
  </si>
  <si>
    <t>RAzN8HWSfmpwqGni4Q9vnFWT5HDpiSDFj8jSrjDMmiaDDceGHYT</t>
  </si>
  <si>
    <t>674913990606</t>
  </si>
  <si>
    <t>松下咖啡机A701家用美式全自动研磨现煮浓缩冲泡智能保温豆粉两用</t>
  </si>
  <si>
    <t>100328</t>
  </si>
  <si>
    <t>359.7118695602656</t>
  </si>
  <si>
    <t>72</t>
  </si>
  <si>
    <t>-52</t>
  </si>
  <si>
    <t>https://detail.tmall.com/item.htm?id=674913990606</t>
  </si>
  <si>
    <t>GUOKOFF大果子咖啡</t>
  </si>
  <si>
    <t>RAzN8HWNYLXxrcp5Dms5Ri2veemWbF2Udn1BQD1GkUTY4cDXTf3</t>
  </si>
  <si>
    <t>612154035459</t>
  </si>
  <si>
    <t>Delonghi/德龙Emax S2新款家用全自动意式进口研磨一体咖啡机触屏</t>
  </si>
  <si>
    <t>92341</t>
  </si>
  <si>
    <t>545.8480475463616</t>
  </si>
  <si>
    <t>87</t>
  </si>
  <si>
    <t>-84</t>
  </si>
  <si>
    <t>https://item.taobao.com/item.htm?id=612154035459</t>
  </si>
  <si>
    <t>小熊电器官方旗舰店</t>
  </si>
  <si>
    <t>RAzN8HWXPKZ6Grv7jQnFWHsDeQ6LSmQBbjoAm1bohgHNdBTfgSG</t>
  </si>
  <si>
    <t>746528730404</t>
  </si>
  <si>
    <t>小熊咖啡机新款智控萃取意式家用小型半自动研磨一体机蒸汽打奶泡</t>
  </si>
  <si>
    <t>83525</t>
  </si>
  <si>
    <t>237.9656910509989</t>
  </si>
  <si>
    <t>102</t>
  </si>
  <si>
    <t>-49</t>
  </si>
  <si>
    <t>https://detail.tmall.com/item.htm?id=746528730404</t>
  </si>
  <si>
    <t>苏泊尔中式厨房旗舰店</t>
  </si>
  <si>
    <t>RAzN8HWLud47cd6aWZKPzPVfHk7saqyz1o7NcS2uk58VHUvbUgJ</t>
  </si>
  <si>
    <t>753292621895</t>
  </si>
  <si>
    <t>苏泊尔意式浓缩半自动咖啡机家用办公室小型奶泡研磨一体现磨咖啡</t>
  </si>
  <si>
    <t>76501</t>
  </si>
  <si>
    <t>240.8362084721813</t>
  </si>
  <si>
    <t>118</t>
  </si>
  <si>
    <t>https://detail.tmall.com/item.htm?id=753292621895</t>
  </si>
  <si>
    <t>528029260379</t>
  </si>
  <si>
    <t>Delonghi/德龙 ECAM23.420咖啡机家用全自动美意式现研磨奶泡一体</t>
  </si>
  <si>
    <t>71006</t>
  </si>
  <si>
    <t>260.1336764481541</t>
  </si>
  <si>
    <t>133</t>
  </si>
  <si>
    <t>45</t>
  </si>
  <si>
    <t>https://detail.tmall.com/item.htm?id=528029260379</t>
  </si>
  <si>
    <t>743986917118</t>
  </si>
  <si>
    <t>苏泊尔咖啡机意式浓缩家用小型全半自动蒸汽打奶泡一体机美式咖啡</t>
  </si>
  <si>
    <t>66728</t>
  </si>
  <si>
    <t>305.9983328902389</t>
  </si>
  <si>
    <t>147</t>
  </si>
  <si>
    <t>-107</t>
  </si>
  <si>
    <t>https://detail.tmall.com/item.htm?id=743986917118</t>
  </si>
  <si>
    <t>ROCKET旗舰店</t>
  </si>
  <si>
    <t>RAzN8HWQ5PzVW9A6XeuKQs9TmwjT7qar8Mr3dU8RwxBfmD9GQyU</t>
  </si>
  <si>
    <t>646473913406</t>
  </si>
  <si>
    <t>ROCKET欧洲火箭R58 R CINQUANTOTTO双锅炉商用家用半自动咖啡机</t>
  </si>
  <si>
    <t>63448</t>
  </si>
  <si>
    <t>169.9136039179555</t>
  </si>
  <si>
    <t>161</t>
  </si>
  <si>
    <t>-88</t>
  </si>
  <si>
    <t>https://detail.tmall.com/item.htm?id=646473913406</t>
  </si>
  <si>
    <t>小熊生活电器旗舰店</t>
  </si>
  <si>
    <t>RAzN8HWWS5J2m2yPot9xwVwAkk4ejjYxyaRHbGjPiFvXNVa8Rx2</t>
  </si>
  <si>
    <t>706670293587</t>
  </si>
  <si>
    <t>小熊意式咖啡机家用小型半全自动办公室萃取奶泡一体机冲泡咖啡壶</t>
  </si>
  <si>
    <t>61262</t>
  </si>
  <si>
    <t>305.6646523967408</t>
  </si>
  <si>
    <t>175</t>
  </si>
  <si>
    <t>-37</t>
  </si>
  <si>
    <t>https://detail.tmall.com/item.htm?id=706670293587</t>
  </si>
  <si>
    <t>卡梭旗舰店</t>
  </si>
  <si>
    <t>RAzN8HWZ8K8u2YwaNF1HaqFH7oBEhvq59BuAGiG9Gxqw1G1tEsk</t>
  </si>
  <si>
    <t>718681712203</t>
  </si>
  <si>
    <t>CASO卡梭全自动咖啡机意式家用小型办公室咖啡豆研磨冲泡一体机</t>
  </si>
  <si>
    <t>59155</t>
  </si>
  <si>
    <t>194.5543233734277</t>
  </si>
  <si>
    <t>189</t>
  </si>
  <si>
    <t>-63</t>
  </si>
  <si>
    <t>https://detail.tmall.com/item.htm?id=718681712203</t>
  </si>
  <si>
    <t>Miele美诺电器官方旗舰店</t>
  </si>
  <si>
    <t>RAzN8HWJT1PmcczSB2kApcwSGk7AnoXtqYf1CcC3RSyxqkvNZZc</t>
  </si>
  <si>
    <t>673895824188</t>
  </si>
  <si>
    <t>Miele美诺官方全自动咖啡机家用 进口咖啡机研磨一体蒸奶泡CM6160</t>
  </si>
  <si>
    <t>55981</t>
  </si>
  <si>
    <t>65.44199416498768</t>
  </si>
  <si>
    <t>203</t>
  </si>
  <si>
    <t>https://detail.tmall.com/item.htm?id=673895824188</t>
  </si>
  <si>
    <t>Tianmao好物店</t>
  </si>
  <si>
    <t>RAzN8HWTvZ779SLL7WJCKXNpcCYwsoLK6jqMMpr5yesRmXAUzfk</t>
  </si>
  <si>
    <t>738718420177</t>
  </si>
  <si>
    <t>柏翠PE3366小白醒醒意式咖啡机浓缩家用小型全半自动蒸汽打奶泡</t>
  </si>
  <si>
    <t>54718</t>
  </si>
  <si>
    <t>463.5185324337524</t>
  </si>
  <si>
    <t>217</t>
  </si>
  <si>
    <t>https://item.taobao.com/item.htm?id=738718420177</t>
  </si>
  <si>
    <t>683739919579</t>
  </si>
  <si>
    <t>Delonghi/德龙 半自动咖啡机 EC9155 意式研磨一体办公室家用小型</t>
  </si>
  <si>
    <t>53216</t>
  </si>
  <si>
    <t>164.3960757026578</t>
  </si>
  <si>
    <t>231</t>
  </si>
  <si>
    <t>152</t>
  </si>
  <si>
    <t>https://detail.tmall.com/item.htm?id=683739919579</t>
  </si>
  <si>
    <t>英速购欧洲品质生活馆</t>
  </si>
  <si>
    <t>RAzN8HAdVQ4zy3FYJW8hLhBeVY9Ex</t>
  </si>
  <si>
    <t>577994520619</t>
  </si>
  <si>
    <t>Delonghi/德龙 ECAM650.85.MS一键意式现磨进口家用全自动咖啡机</t>
  </si>
  <si>
    <t>50900</t>
  </si>
  <si>
    <t>295.4303638350091</t>
  </si>
  <si>
    <t>245</t>
  </si>
  <si>
    <t>https://item.taobao.com/item.htm?id=577994520619</t>
  </si>
  <si>
    <t>629680555178</t>
  </si>
  <si>
    <t>Delonghi/德龙 EC9865.M冷萃版咖啡机家用小型半自动意式研磨一体</t>
  </si>
  <si>
    <t>48734</t>
  </si>
  <si>
    <t>359.7779505183518</t>
  </si>
  <si>
    <t>259</t>
  </si>
  <si>
    <t>https://item.taobao.com/item.htm?id=629680555178</t>
  </si>
  <si>
    <t>西门子小家电旗舰店</t>
  </si>
  <si>
    <t>RAzN8HWVzu2A3MwSqmtRUudLfFAJpggsNPHTcvx7uXxcRpjQD9X</t>
  </si>
  <si>
    <t>644931749866</t>
  </si>
  <si>
    <t>西门子EQ500咖啡机全自动小型家用进口研磨一体一键蒸汽打奶泡503</t>
  </si>
  <si>
    <t>48025</t>
  </si>
  <si>
    <t>73.1500042349206</t>
  </si>
  <si>
    <t>273</t>
  </si>
  <si>
    <t>74</t>
  </si>
  <si>
    <t>https://detail.tmall.com/item.htm?id=644931749866</t>
  </si>
  <si>
    <t>铂富酷客意德专卖店</t>
  </si>
  <si>
    <t>RAzN8HWR1mAGhPHUzpBwf8H1HeYmWP3LHGYvSTXQ9Zp5qyitnkj</t>
  </si>
  <si>
    <t>692095096119</t>
  </si>
  <si>
    <t>国行正品Breville铂富BES880家用中文意式半自动咖啡机海盐白</t>
  </si>
  <si>
    <t>47331</t>
  </si>
  <si>
    <t>276.9492461974131</t>
  </si>
  <si>
    <t>287</t>
  </si>
  <si>
    <t>201</t>
  </si>
  <si>
    <t>https://detail.tmall.com/item.htm?id=692095096119</t>
  </si>
  <si>
    <t>RAzN8HWWAkQf639gpCF115osUKnqpUeiRShPiV8ctCdZkX3xwAV</t>
  </si>
  <si>
    <t>173865</t>
  </si>
  <si>
    <t>786.4769337011968</t>
  </si>
  <si>
    <t>-3</t>
  </si>
  <si>
    <t>741201862725</t>
  </si>
  <si>
    <t>新品格米莱CRM3035/3137C意式咖啡机半自动家用商用白鲸E61冲煮头</t>
  </si>
  <si>
    <t>215185</t>
  </si>
  <si>
    <t>95.60369872722517</t>
  </si>
  <si>
    <t>13</t>
  </si>
  <si>
    <t>-11</t>
  </si>
  <si>
    <t>https://detail.tmall.com/item.htm?id=741201862725</t>
  </si>
  <si>
    <t>39381889748</t>
  </si>
  <si>
    <t>格米莱 CRM3018家用咖啡机 半自动商用意式 专业现磨奶茶店专用</t>
  </si>
  <si>
    <t>165477</t>
  </si>
  <si>
    <t>157.9330594298557</t>
  </si>
  <si>
    <t>https://detail.tmall.com/item.htm?id=39381889748</t>
  </si>
  <si>
    <t>阳光生活家电</t>
  </si>
  <si>
    <t>RAzN8HWQhicfejwsLAKqLid86cDV4VoWXfKtJgqdeN7hx1NGYMF</t>
  </si>
  <si>
    <t>684068940400</t>
  </si>
  <si>
    <t>Delonghi/德龙 ECAM450.76.T探索者全自动咖啡机家用进口意式触屏</t>
  </si>
  <si>
    <t>125131</t>
  </si>
  <si>
    <t>389.2703572528344</t>
  </si>
  <si>
    <t>43</t>
  </si>
  <si>
    <t>https://item.taobao.com/item.htm?id=684068940400</t>
  </si>
  <si>
    <t>客浦电器旗舰店</t>
  </si>
  <si>
    <t>RAzN8HWUchou3B33mJ57kL65Yh1qWypRdAaaARLz5SniKDYxz9V</t>
  </si>
  <si>
    <t>687118853363</t>
  </si>
  <si>
    <t>客浦CP290咖啡机意式全半自动家用小型打奶泡办公室带研磨一体机</t>
  </si>
  <si>
    <t>111885</t>
  </si>
  <si>
    <t>247.4609815446657</t>
  </si>
  <si>
    <t>58</t>
  </si>
  <si>
    <t>-14</t>
  </si>
  <si>
    <t>https://detail.tmall.com/item.htm?id=687118853363</t>
  </si>
  <si>
    <t>百胜图咖啡旗舰店</t>
  </si>
  <si>
    <t>RAzN8HWN2TBeKDCHYhKE4Z8dcZHGwuBXxmMvn7aDaM3tVBYH9Vv</t>
  </si>
  <si>
    <t>714295970428</t>
  </si>
  <si>
    <t>Barsetto/百胜图M3咖啡机家用小型意式半自动浓缩萃取打奶泡一体</t>
  </si>
  <si>
    <t>100237</t>
  </si>
  <si>
    <t>212.04195219265</t>
  </si>
  <si>
    <t>16</t>
  </si>
  <si>
    <t>https://detail.tmall.com/item.htm?id=714295970428</t>
  </si>
  <si>
    <t>643482797172</t>
  </si>
  <si>
    <t>Barsetto/百胜图二代咖啡机商用双加热意式半自动家用研磨一体机</t>
  </si>
  <si>
    <t>90609</t>
  </si>
  <si>
    <t>339.5706108807196</t>
  </si>
  <si>
    <t>88</t>
  </si>
  <si>
    <t>34</t>
  </si>
  <si>
    <t>https://detail.tmall.com/item.htm?id=643482797172</t>
  </si>
  <si>
    <t>厨房家用电器店</t>
  </si>
  <si>
    <t>RAzN8HWUZpfVfhbb2p1Ahrd2sJERxNAzSwg2o9HBv1b5QVg2Tnd</t>
  </si>
  <si>
    <t>612118788976</t>
  </si>
  <si>
    <t>Welhome/惠家 KD-310家商用级专业意美式泵压全半自动咖啡机浓缩</t>
  </si>
  <si>
    <t>83273</t>
  </si>
  <si>
    <t>434.1346827567757</t>
  </si>
  <si>
    <t>103</t>
  </si>
  <si>
    <t>-153</t>
  </si>
  <si>
    <t>https://item.taobao.com/item.htm?id=612118788976</t>
  </si>
  <si>
    <t>Sparllo官方海外旗舰店</t>
  </si>
  <si>
    <t>RAzN8HWXbHqdpzaJTGh7hWG1CQReQLrfEydE4R2khfmYZC5D4Vo</t>
  </si>
  <si>
    <t>622021693954</t>
  </si>
  <si>
    <t>德国Derlla全半自动意式浓缩咖啡机家用小型奶泡机一体迷你复古</t>
  </si>
  <si>
    <t>76436</t>
  </si>
  <si>
    <t>378.8754488189304</t>
  </si>
  <si>
    <t>119</t>
  </si>
  <si>
    <t>https://detail.tmall.com/item.htm?id=622021693954</t>
  </si>
  <si>
    <t>588202772211</t>
  </si>
  <si>
    <t>Delonghi/德龙咖啡机D3T PRO全自动进口家用现磨意式办公室小型</t>
  </si>
  <si>
    <t>70994</t>
  </si>
  <si>
    <t>194.3919300442097</t>
  </si>
  <si>
    <t>134</t>
  </si>
  <si>
    <t>https://detail.tmall.com/item.htm?id=588202772211</t>
  </si>
  <si>
    <t>742452149049</t>
  </si>
  <si>
    <t>客浦CP296云白双锅炉咖啡机意式半自动家用小型打奶泡研磨一体机</t>
  </si>
  <si>
    <t>66426</t>
  </si>
  <si>
    <t>168.8346093636435</t>
  </si>
  <si>
    <t>148</t>
  </si>
  <si>
    <t>-67</t>
  </si>
  <si>
    <t>https://detail.tmall.com/item.htm?id=742452149049</t>
  </si>
  <si>
    <t>BLAUPUNKT至鹿专卖店</t>
  </si>
  <si>
    <t>RAzN8HWUzqvReKSmXGjML8mrzzgKsbYA1Ltf5KCtdM1wamy6gMm</t>
  </si>
  <si>
    <t>682162852258</t>
  </si>
  <si>
    <t>德国蓝宝意式咖啡机浓缩美式家用小型全半自动蒸汽打奶泡KF01</t>
  </si>
  <si>
    <t>63258</t>
  </si>
  <si>
    <t>351.6939922707301</t>
  </si>
  <si>
    <t>162</t>
  </si>
  <si>
    <t>https://detail.tmall.com/item.htm?id=682162852258</t>
  </si>
  <si>
    <t>599985294767</t>
  </si>
  <si>
    <t>【双12价】德龙22.110.SB/S3/M2研磨一体家用小型全自动咖啡机</t>
  </si>
  <si>
    <t>61209</t>
  </si>
  <si>
    <t>284.0108137193504</t>
  </si>
  <si>
    <t>176</t>
  </si>
  <si>
    <t>-42</t>
  </si>
  <si>
    <t>https://detail.tmall.com/item.htm?id=599985294767</t>
  </si>
  <si>
    <t>盾维达旗舰店</t>
  </si>
  <si>
    <t>RAzN8HWPVwzYAvfpCD3WybgXi8QxRwjoR8AZmWkmpXJF9P5gCWJ</t>
  </si>
  <si>
    <t>737706556832</t>
  </si>
  <si>
    <t>盾维达速溶咖啡机商用奶茶一体机冷热办公室自助果汁饮料机热饮机</t>
  </si>
  <si>
    <t>59085</t>
  </si>
  <si>
    <t>262.4205854540826</t>
  </si>
  <si>
    <t>190</t>
  </si>
  <si>
    <t>https://detail.tmall.com/item.htm?id=737706556832</t>
  </si>
  <si>
    <t>德龙品质生活家电</t>
  </si>
  <si>
    <t>RAzN8HAdzKnBLYZj5hnGFRfxWFGLQ</t>
  </si>
  <si>
    <t>575782366396</t>
  </si>
  <si>
    <t>Delonghi/德龙 ECP35.31半自动咖啡机家用办公意式泵压热奶泡拉花</t>
  </si>
  <si>
    <t>55864</t>
  </si>
  <si>
    <t>400.2760648448249</t>
  </si>
  <si>
    <t>204</t>
  </si>
  <si>
    <t>https://item.taobao.com/item.htm?id=575782366396</t>
  </si>
  <si>
    <t>631876137405</t>
  </si>
  <si>
    <t>德国Derlla全自动咖啡机家用小型研磨一体美式半迷你现磨煮办公室</t>
  </si>
  <si>
    <t>54617</t>
  </si>
  <si>
    <t>359.2373607843532</t>
  </si>
  <si>
    <t>218</t>
  </si>
  <si>
    <t>-9</t>
  </si>
  <si>
    <t>https://detail.tmall.com/item.htm?id=631876137405</t>
  </si>
  <si>
    <t>INNICOFFEE旗舰店</t>
  </si>
  <si>
    <t>RAzN8HWWrEVB7JU53fnRpBr7yxzDiUNo39giZJ7FmPcBehsQ9Ce</t>
  </si>
  <si>
    <t>730866701941</t>
  </si>
  <si>
    <t>INNICOFFEE咖啡机小型家用研磨一体半商用58MM全自动意美式摆摊</t>
  </si>
  <si>
    <t>52858</t>
  </si>
  <si>
    <t>190.8200262083815</t>
  </si>
  <si>
    <t>232</t>
  </si>
  <si>
    <t>-16</t>
  </si>
  <si>
    <t>https://detail.tmall.com/item.htm?id=730866701941</t>
  </si>
  <si>
    <t>小熊西式厨房旗舰店</t>
  </si>
  <si>
    <t>RAzN8HWZUs1Dbur9sXoEsns8sr834j8n8YunxvQdKuUMCXZjQJq</t>
  </si>
  <si>
    <t>751705665368</t>
  </si>
  <si>
    <t>小熊咖啡机意式浓缩美式家用小型全半自动蒸汽打奶泡机研磨一体机</t>
  </si>
  <si>
    <t>50674</t>
  </si>
  <si>
    <t>202.3352311632617</t>
  </si>
  <si>
    <t>246</t>
  </si>
  <si>
    <t>https://detail.tmall.com/item.htm?id=751705665368</t>
  </si>
  <si>
    <t>658869703024</t>
  </si>
  <si>
    <t>Delonghi/德龙半自动咖啡机家用泵压智能研磨一体意式EC9355.M</t>
  </si>
  <si>
    <t>48713</t>
  </si>
  <si>
    <t>102.8400669419461</t>
  </si>
  <si>
    <t>260</t>
  </si>
  <si>
    <t>https://detail.tmall.com/item.htm?id=658869703024</t>
  </si>
  <si>
    <t>742784612173</t>
  </si>
  <si>
    <t>Delonghi/德龙 ECZ351咖啡机 半自动泵压意式家用奶泡小型</t>
  </si>
  <si>
    <t>47999</t>
  </si>
  <si>
    <t>368.7680776173336</t>
  </si>
  <si>
    <t>274</t>
  </si>
  <si>
    <t>-23</t>
  </si>
  <si>
    <t>https://detail.tmall.com/item.htm?id=742784612173</t>
  </si>
  <si>
    <t>tenfly旗舰店</t>
  </si>
  <si>
    <t>RAzN8HWReBC458gW4JnAY1XdGdETos6Err8PFzMotMBTx7x93pr</t>
  </si>
  <si>
    <t>719549460239</t>
  </si>
  <si>
    <t>Tenfly意式浓缩咖啡机家用小型20bar半自动萃取不锈钢蒸汽打奶泡</t>
  </si>
  <si>
    <t>47091</t>
  </si>
  <si>
    <t>399.2140039267767</t>
  </si>
  <si>
    <t>288</t>
  </si>
  <si>
    <t>https://detail.tmall.com/item.htm?id=719549460239</t>
  </si>
  <si>
    <t>RAzN8HWaugpugMSsG3Uhwv3nyWQ5mAKHkVMgDsMsHzQWj5iDLrZ</t>
  </si>
  <si>
    <t>620596645009</t>
  </si>
  <si>
    <t>Peets皮爷原装进口胶囊咖啡美式浓缩黑咖啡粉适配nespresso胶囊机</t>
  </si>
  <si>
    <t>136060</t>
  </si>
  <si>
    <t>1116.806924776575</t>
  </si>
  <si>
    <t>-8</t>
  </si>
  <si>
    <t>https://detail.tmall.com/item.htm?id=620596645009</t>
  </si>
  <si>
    <t>lamarzocco旗舰店</t>
  </si>
  <si>
    <t>RAzN8HWYNXVDPDhe1XkYDuEDB1E66BM1Pj6a3B6WDZ51tZGr7xZ</t>
  </si>
  <si>
    <t>693644866406</t>
  </si>
  <si>
    <t>lamarzocco linea micra意大利原装进口辣妈家用意式半自动咖啡机</t>
  </si>
  <si>
    <t>214298</t>
  </si>
  <si>
    <t>162.5348597990709</t>
  </si>
  <si>
    <t>14</t>
  </si>
  <si>
    <t>-7</t>
  </si>
  <si>
    <t>https://detail.tmall.com/item.htm?id=693644866406</t>
  </si>
  <si>
    <t>九洲咖啡</t>
  </si>
  <si>
    <t>RAzN8HApZp8yZGhxumMQKCaUkF89j</t>
  </si>
  <si>
    <t>672332098040</t>
  </si>
  <si>
    <t>意大利Lelit Bianca V3变压拨杆双锅炉PID旋转泵E61意式咖啡机</t>
  </si>
  <si>
    <t>161577</t>
  </si>
  <si>
    <t>273.6867571719355</t>
  </si>
  <si>
    <t>https://item.taobao.com/item.htm?id=672332098040</t>
  </si>
  <si>
    <t>690931912007</t>
  </si>
  <si>
    <t>Delonghi/德龙 ECAM450.76.T探索者全自动咖啡机家用进口智能互联</t>
  </si>
  <si>
    <t>124770</t>
  </si>
  <si>
    <t>472.817432625026</t>
  </si>
  <si>
    <t>-34</t>
  </si>
  <si>
    <t>https://item.taobao.com/item.htm?id=690931912007</t>
  </si>
  <si>
    <t>731802435022</t>
  </si>
  <si>
    <t>sapoudrEA09赛普达咖啡机家用小型意式半全自动办公美式煮咖啡机</t>
  </si>
  <si>
    <t>111554</t>
  </si>
  <si>
    <t>355.5749315809936</t>
  </si>
  <si>
    <t>59</t>
  </si>
  <si>
    <t>-164</t>
  </si>
  <si>
    <t>https://detail.tmall.com/item.htm?id=731802435022</t>
  </si>
  <si>
    <t>雪特朗旗舰店</t>
  </si>
  <si>
    <t>RAzN8HWKLyZydSC5v9n2SsBxbgCHJeeyVnYr1ymtEEQ9vcMvpvM</t>
  </si>
  <si>
    <t>681876078037</t>
  </si>
  <si>
    <t>Stelang/雪特朗AC-517ED咖啡机意式家用现磨豆一体机小型全半自动</t>
  </si>
  <si>
    <t>100012</t>
  </si>
  <si>
    <t>268.8170357377896</t>
  </si>
  <si>
    <t>https://detail.tmall.com/item.htm?id=681876078037</t>
  </si>
  <si>
    <t>唯美嘉饮品</t>
  </si>
  <si>
    <t>RAzN8HWKcpiqgnNiA6uyMx3MgE4bFvV8J4McKj8B1XrafFiYFfa</t>
  </si>
  <si>
    <t>599177481318</t>
  </si>
  <si>
    <t>全自动咖啡机奶茶饮料机豆浆机热饮机商用速溶机便利店自助一体机</t>
  </si>
  <si>
    <t>90570</t>
  </si>
  <si>
    <t>297.0349043504452</t>
  </si>
  <si>
    <t>89</t>
  </si>
  <si>
    <t>-31</t>
  </si>
  <si>
    <t>https://item.taobao.com/item.htm?id=599177481318</t>
  </si>
  <si>
    <t>686795552104</t>
  </si>
  <si>
    <t>小熊意式浓缩咖啡机小型家用蒸汽奶泡半全自动胶囊咖啡机美式滴漏</t>
  </si>
  <si>
    <t>82988</t>
  </si>
  <si>
    <t>351.7225836178367</t>
  </si>
  <si>
    <t>104</t>
  </si>
  <si>
    <t>https://detail.tmall.com/item.htm?id=686795552104</t>
  </si>
  <si>
    <t>640935477559</t>
  </si>
  <si>
    <t>Delonghi/德龙 ECAM650.85.MS一键意式浓缩小型家用全自动咖啡机</t>
  </si>
  <si>
    <t>76035</t>
  </si>
  <si>
    <t>299.066036933297</t>
  </si>
  <si>
    <t>120</t>
  </si>
  <si>
    <t>https://item.taobao.com/item.htm?id=640935477559</t>
  </si>
  <si>
    <t>719306623416</t>
  </si>
  <si>
    <t>【新品】Dr.coffee咖博士意式咖啡机家用全自动一体一键拿铁C11L</t>
  </si>
  <si>
    <t>70183</t>
  </si>
  <si>
    <t>138.4600189472267</t>
  </si>
  <si>
    <t>135</t>
  </si>
  <si>
    <t>-33</t>
  </si>
  <si>
    <t>https://detail.tmall.com/item.htm?id=719306623416</t>
  </si>
  <si>
    <t>西堤岛旗舰店</t>
  </si>
  <si>
    <t>RAzN8HWQfvg1W6pLzhFALH9HwXRoj1uiS6vH1xeZ88d5rpyoGjG</t>
  </si>
  <si>
    <t>633393336225</t>
  </si>
  <si>
    <t>西堤岛自动速溶咖啡奶茶果汁一体机豆浆自助餐厅商用冷热饮料机</t>
  </si>
  <si>
    <t>66395</t>
  </si>
  <si>
    <t>367.5803844892117</t>
  </si>
  <si>
    <t>149</t>
  </si>
  <si>
    <t>https://detail.tmall.com/item.htm?id=633393336225</t>
  </si>
  <si>
    <t>737751890172</t>
  </si>
  <si>
    <t>Delonghi/德龙咖啡机 EC885 意式半自动家用小型办公室不锈钢奶泡</t>
  </si>
  <si>
    <t>63202</t>
  </si>
  <si>
    <t>147.7569168931408</t>
  </si>
  <si>
    <t>163</t>
  </si>
  <si>
    <t>https://detail.tmall.com/item.htm?id=737751890172</t>
  </si>
  <si>
    <t>37453691083</t>
  </si>
  <si>
    <t>Delonghi/德龙 ECAM22.110.SB全自动咖啡机商家用意式现研磨奶泡</t>
  </si>
  <si>
    <t>61139</t>
  </si>
  <si>
    <t>377.0041490739943</t>
  </si>
  <si>
    <t>177</t>
  </si>
  <si>
    <t>-118</t>
  </si>
  <si>
    <t>https://item.taobao.com/item.htm?id=37453691083</t>
  </si>
  <si>
    <t>餐饮设备厂家优选</t>
  </si>
  <si>
    <t>RAzN8HWLWdvqk9urWFdaU2TPPuo2spnf9insWy2LNUGYSkBSFyP</t>
  </si>
  <si>
    <t>738601386837</t>
  </si>
  <si>
    <t>WEGA毕加索咖啡机商用PEGASO意大利电控意式半自动原装进口单双头</t>
  </si>
  <si>
    <t>58999</t>
  </si>
  <si>
    <t>1054.085420116403</t>
  </si>
  <si>
    <t>191</t>
  </si>
  <si>
    <t>https://item.taobao.com/item.htm?id=738601386837</t>
  </si>
  <si>
    <t>左左摩智能咖啡</t>
  </si>
  <si>
    <t>RAzN8HWVaXQ5JJyZ3fUzMHK5R3zC4F7AR12ukPx27JoZsPQsgBs</t>
  </si>
  <si>
    <t>730061387185</t>
  </si>
  <si>
    <t>左左摩咖啡机研磨一体现磨家用磨豆全自动办公室美式滴漏咖啡壶</t>
  </si>
  <si>
    <t>55704</t>
  </si>
  <si>
    <t>342.5917263862633</t>
  </si>
  <si>
    <t>205</t>
  </si>
  <si>
    <t>https://item.taobao.com/item.htm?id=730061387185</t>
  </si>
  <si>
    <t>上海阿福电器城</t>
  </si>
  <si>
    <t>RAzN8HWVsyQgeqyMEdUP5qbZZJybHrcZiLLQW9tX9brBjouf13n</t>
  </si>
  <si>
    <t>712717397568</t>
  </si>
  <si>
    <t>马克西姆鲶鱼意式浓缩咖啡机全半自动家用小型磨豆一体机学院联名</t>
  </si>
  <si>
    <t>54606</t>
  </si>
  <si>
    <t>294.1383534888034</t>
  </si>
  <si>
    <t>219</t>
  </si>
  <si>
    <t>69</t>
  </si>
  <si>
    <t>https://item.taobao.com/item.htm?id=712717397568</t>
  </si>
  <si>
    <t>52845</t>
  </si>
  <si>
    <t>447.221542727369</t>
  </si>
  <si>
    <t>233</t>
  </si>
  <si>
    <t>128</t>
  </si>
  <si>
    <t>REMCOCO欧洲厨电馆</t>
  </si>
  <si>
    <t>RAzN8HWLy9WUYJs1su4Pps8t2khgnbxH5pBZrecKap4bWD8yqVw</t>
  </si>
  <si>
    <t>670306524373</t>
  </si>
  <si>
    <t>现货斯麦格SMEG全自动咖啡机BCC02/01家用小型意式奶泡研磨一体机</t>
  </si>
  <si>
    <t>50625</t>
  </si>
  <si>
    <t>331.3077671865151</t>
  </si>
  <si>
    <t>247</t>
  </si>
  <si>
    <t>https://item.taobao.com/item.htm?id=670306524373</t>
  </si>
  <si>
    <t>咖基米德旗舰店</t>
  </si>
  <si>
    <t>RAzN8HWXLj5YpivSmLeoovKkSVqL16rs9z3S8Adwm2zNz67Zj4Z</t>
  </si>
  <si>
    <t>675362382815</t>
  </si>
  <si>
    <t>格米莱3129A小商用意式半自动咖啡机4孔蒸汽式打奶泡家用奶茶店</t>
  </si>
  <si>
    <t>48622</t>
  </si>
  <si>
    <t>152.408993094749</t>
  </si>
  <si>
    <t>261</t>
  </si>
  <si>
    <t>https://detail.tmall.com/item.htm?id=675362382815</t>
  </si>
  <si>
    <t>727719810209</t>
  </si>
  <si>
    <t>Delonghi/德龙 ESAM2200.W全自动咖啡机家商用意式研磨一体办公室</t>
  </si>
  <si>
    <t>47987</t>
  </si>
  <si>
    <t>346.4641177198375</t>
  </si>
  <si>
    <t>275</t>
  </si>
  <si>
    <t>https://detail.tmall.com/item.htm?id=727719810209</t>
  </si>
  <si>
    <t>Anlabuymall海外旗舰店</t>
  </si>
  <si>
    <t>RAzN8HWZG6W6uG9QiqWr4sEGKJagFDsRNWEZA2ca3xD2k2xtkn2</t>
  </si>
  <si>
    <t>677988578984</t>
  </si>
  <si>
    <t>德国意式全半自动咖啡机浓缩家用小型迷你办公室美式冲泡壶一体机</t>
  </si>
  <si>
    <t>47042</t>
  </si>
  <si>
    <t>395.8617504718828</t>
  </si>
  <si>
    <t>289</t>
  </si>
  <si>
    <t>https://detail.tmall.com/item.htm?id=677988578984</t>
  </si>
  <si>
    <t>RAzN8HWazmVzbpT1MLd5crGuYjX3wa36QLXTEa1QEn4c6RvGRce</t>
  </si>
  <si>
    <t>729881694445</t>
  </si>
  <si>
    <t>【赠胶囊咖啡机】隅田川精萃浓缩系列胶囊黑咖啡美式拿铁50颗</t>
  </si>
  <si>
    <t>125548</t>
  </si>
  <si>
    <t>395.7018922809353</t>
  </si>
  <si>
    <t>https://detail.tmall.com/item.htm?id=729881694445</t>
  </si>
  <si>
    <t>737372002963</t>
  </si>
  <si>
    <t>[新品]德龙翡冷翠全自动咖啡机R5 进口现磨小型家用意式办公室</t>
  </si>
  <si>
    <t>206955</t>
  </si>
  <si>
    <t>147.8294760068208</t>
  </si>
  <si>
    <t>15</t>
  </si>
  <si>
    <t>7</t>
  </si>
  <si>
    <t>https://detail.tmall.com/item.htm?id=737372002963</t>
  </si>
  <si>
    <t>696732866701</t>
  </si>
  <si>
    <t>【新品】Delonghi/德龙 ET系列 ECAM220.21 全自动咖啡机家用触屏</t>
  </si>
  <si>
    <t>161330</t>
  </si>
  <si>
    <t>279.7417285777309</t>
  </si>
  <si>
    <t>30</t>
  </si>
  <si>
    <t>https://detail.tmall.com/item.htm?id=696732866701</t>
  </si>
  <si>
    <t>飞利浦官方旗舰店</t>
  </si>
  <si>
    <t>RAzN8HAjib9BdRDpz4v8gAemAEVd3</t>
  </si>
  <si>
    <t>674039723616</t>
  </si>
  <si>
    <t>飞利浦咖啡机全自动新年送礼EP1221意式家用小型研磨一体机打奶泡</t>
  </si>
  <si>
    <t>124652</t>
  </si>
  <si>
    <t>332.7357717377753</t>
  </si>
  <si>
    <t>https://detail.tmall.com/item.htm?id=674039723616</t>
  </si>
  <si>
    <t>696235679617</t>
  </si>
  <si>
    <t>Petrus/柏翠 复古意式咖啡机家用小型全半自动浓缩美式一体奶泡机</t>
  </si>
  <si>
    <t>109359</t>
  </si>
  <si>
    <t>359.5754702553317</t>
  </si>
  <si>
    <t>60</t>
  </si>
  <si>
    <t>-80</t>
  </si>
  <si>
    <t>https://detail.tmall.com/item.htm?id=696235679617</t>
  </si>
  <si>
    <t>supor苏泊尔兆洪专卖店</t>
  </si>
  <si>
    <t>RAzN8HWMjQSD5Gsti9SXD17QRGgsRgmaUFvJFwGCKNgnU873bHe</t>
  </si>
  <si>
    <t>706763130808</t>
  </si>
  <si>
    <t>99984</t>
  </si>
  <si>
    <t>175.5263625731985</t>
  </si>
  <si>
    <t>75</t>
  </si>
  <si>
    <t>https://detail.tmall.com/item.htm?id=706763130808</t>
  </si>
  <si>
    <t>697160214777</t>
  </si>
  <si>
    <t>Delonghi/德龙 S2/ Emax新款家用进口意式全自动咖啡机研磨一体</t>
  </si>
  <si>
    <t>89942</t>
  </si>
  <si>
    <t>320.0207353053792</t>
  </si>
  <si>
    <t>-181</t>
  </si>
  <si>
    <t>https://item.taobao.com/item.htm?id=697160214777</t>
  </si>
  <si>
    <t>艾尔菲德旗舰店</t>
  </si>
  <si>
    <t>RAzN8HWTeANgkhvec5hp7pcjnAia9jVkW7wecms5CmwMnRqcfnV</t>
  </si>
  <si>
    <t>681588798975</t>
  </si>
  <si>
    <t>艾尔菲德胶囊咖啡机全自动小型家用便携式办公室通用咖啡粉一体机</t>
  </si>
  <si>
    <t>82339</t>
  </si>
  <si>
    <t>394.0756427566917</t>
  </si>
  <si>
    <t>105</t>
  </si>
  <si>
    <t>https://detail.tmall.com/item.htm?id=681588798975</t>
  </si>
  <si>
    <t>649128096848</t>
  </si>
  <si>
    <t>[新品]格米莱小钢炮CRM3007L 意式半自动咖啡机家用小型可调温度</t>
  </si>
  <si>
    <t>76018</t>
  </si>
  <si>
    <t>275.7161582061333</t>
  </si>
  <si>
    <t>121</t>
  </si>
  <si>
    <t>-12</t>
  </si>
  <si>
    <t>https://detail.tmall.com/item.htm?id=649128096848</t>
  </si>
  <si>
    <t>659227898252</t>
  </si>
  <si>
    <t>Delonghi/德龙 EC9865.M冷萃版咖啡机家用小型半自动9355意式研磨</t>
  </si>
  <si>
    <t>70142</t>
  </si>
  <si>
    <t>333.0295711288027</t>
  </si>
  <si>
    <t>136</t>
  </si>
  <si>
    <t>52</t>
  </si>
  <si>
    <t>https://item.taobao.com/item.htm?id=659227898252</t>
  </si>
  <si>
    <t>677766240366</t>
  </si>
  <si>
    <t>意大利Lelit Bianca V3咖啡机变压拨杆双锅炉PID旋转泵E61半自动</t>
  </si>
  <si>
    <t>66186</t>
  </si>
  <si>
    <t>193.5712576505475</t>
  </si>
  <si>
    <t>150</t>
  </si>
  <si>
    <t>https://item.taobao.com/item.htm?id=677766240366</t>
  </si>
  <si>
    <t>德购DE</t>
  </si>
  <si>
    <t>RAzN8HAZySx48n7rKf9SaNebTVYJo</t>
  </si>
  <si>
    <t>704899294939</t>
  </si>
  <si>
    <t>全新现货JURA优瑞Z10全自动咖啡机意式美式咖啡现磨一键制作冷萃</t>
  </si>
  <si>
    <t>63195</t>
  </si>
  <si>
    <t>304.3118692118886</t>
  </si>
  <si>
    <t>164</t>
  </si>
  <si>
    <t>-115</t>
  </si>
  <si>
    <t>https://item.taobao.com/item.htm?id=704899294939</t>
  </si>
  <si>
    <t>格林咖啡</t>
  </si>
  <si>
    <t>RAzN8HAtMhvtgHzmPBrm64eWH1dxA</t>
  </si>
  <si>
    <t>595424147932</t>
  </si>
  <si>
    <t>全自动咖啡机商用研磨一体机现磨意式奶泡咖啡家用磨豆小型美式机</t>
  </si>
  <si>
    <t>60963</t>
  </si>
  <si>
    <t>164.6538425796356</t>
  </si>
  <si>
    <t>178</t>
  </si>
  <si>
    <t>https://item.taobao.com/item.htm?id=595424147932</t>
  </si>
  <si>
    <t>58418</t>
  </si>
  <si>
    <t>255.3314344498323</t>
  </si>
  <si>
    <t>192</t>
  </si>
  <si>
    <t>IMDD</t>
  </si>
  <si>
    <t>RAzN8HWLdLCwfzARgnYF1SuF5AiU5sAxLm6RUpiE4k6Hne4SZwf</t>
  </si>
  <si>
    <t>568193543072</t>
  </si>
  <si>
    <t>现货 Breville/铂富 BES878/870/880/990 半自动 意式咖啡机 包邮</t>
  </si>
  <si>
    <t>55581</t>
  </si>
  <si>
    <t>429.075354905321</t>
  </si>
  <si>
    <t>206</t>
  </si>
  <si>
    <t>50</t>
  </si>
  <si>
    <t>https://item.taobao.com/item.htm?id=568193543072</t>
  </si>
  <si>
    <t>706518202245</t>
  </si>
  <si>
    <t>柏翠pe3690海盐小方 复古意式咖啡机家用小型浓缩全半自动打奶泡</t>
  </si>
  <si>
    <t>54460</t>
  </si>
  <si>
    <t>131.3922011966324</t>
  </si>
  <si>
    <t>220</t>
  </si>
  <si>
    <t>-60</t>
  </si>
  <si>
    <t>https://detail.tmall.com/item.htm?id=706518202245</t>
  </si>
  <si>
    <t>702492077642</t>
  </si>
  <si>
    <t>施威朗SEVERIN美式咖啡机全自动研磨一体机家用办公室滴滤式两用</t>
  </si>
  <si>
    <t>52735</t>
  </si>
  <si>
    <t>239.5449484601054</t>
  </si>
  <si>
    <t>234</t>
  </si>
  <si>
    <t>-17</t>
  </si>
  <si>
    <t>https://detail.tmall.com/item.htm?id=702492077642</t>
  </si>
  <si>
    <t>Fungchan海外专营店</t>
  </si>
  <si>
    <t>RAzN8HWXipS4JH2oXb5fsTbn36umYP8s39jM6wTz4jMPEo3DgSK</t>
  </si>
  <si>
    <t>664175528811</t>
  </si>
  <si>
    <t>德龙/DeLonghi ec9155.w咖啡机半自动家用意式浓缩蒸汽磨豆奶泡</t>
  </si>
  <si>
    <t>50574</t>
  </si>
  <si>
    <t>269.3194722727508</t>
  </si>
  <si>
    <t>248</t>
  </si>
  <si>
    <t>https://detail.tmall.com/item.htm?id=664175528811</t>
  </si>
  <si>
    <t>小猪夫妇旗舰店</t>
  </si>
  <si>
    <t>RAzN8HWTxwb4vWevvKqZVgFhCEKbuWxQ5A8119sYNXwPHPbGRkq</t>
  </si>
  <si>
    <t>753898578116</t>
  </si>
  <si>
    <t>HiBREW意式半自动咖啡机浓缩冷热萃取小型家用蒸汽奶泡一体机H10A</t>
  </si>
  <si>
    <t>48546</t>
  </si>
  <si>
    <t>486.0246561008007</t>
  </si>
  <si>
    <t>262</t>
  </si>
  <si>
    <t>https://detail.tmall.com/item.htm?id=753898578116</t>
  </si>
  <si>
    <t>47899</t>
  </si>
  <si>
    <t>342.799559104322</t>
  </si>
  <si>
    <t>276</t>
  </si>
  <si>
    <t>高泰电器旗舰店</t>
  </si>
  <si>
    <t>RAzN8HWTvRWcPU7Y9rzk8sFfK8xPmTAm7VLPfMudJT5R14rSuvq</t>
  </si>
  <si>
    <t>617553963484</t>
  </si>
  <si>
    <t>Gotech/高泰全自动咖啡机磨豆一体现磨家用小型美式迷你办公室煮</t>
  </si>
  <si>
    <t>47016</t>
  </si>
  <si>
    <t>280.5783638058231</t>
  </si>
  <si>
    <t>290</t>
  </si>
  <si>
    <t>https://detail.tmall.com/item.htm?id=617553963484</t>
  </si>
  <si>
    <t>123324</t>
  </si>
  <si>
    <t>429.7961139018753</t>
  </si>
  <si>
    <t>小牛妈妈2号店</t>
  </si>
  <si>
    <t>RAzN8HWXZRc9XAGLe2hHmeWu8nSw9RCkBcPZPcNWnmzbjXPe4ax</t>
  </si>
  <si>
    <t>575107637231</t>
  </si>
  <si>
    <t>进口星巴克Starbucks胶囊咖啡/雀巢多趣酷思三盒装超值囤货装拿铁</t>
  </si>
  <si>
    <t>82204</t>
  </si>
  <si>
    <t>1564.636830965747</t>
  </si>
  <si>
    <t>https://item.taobao.com/item.htm?id=575107637231</t>
  </si>
  <si>
    <t>673200571680</t>
  </si>
  <si>
    <t>Barsetto/百胜图二代S咖啡机双加热商用半自动意式家用研磨一体机</t>
  </si>
  <si>
    <t>391637</t>
  </si>
  <si>
    <t>206.1720602649241</t>
  </si>
  <si>
    <t>https://detail.tmall.com/item.htm?id=673200571680</t>
  </si>
  <si>
    <t>742235258784</t>
  </si>
  <si>
    <t>马克西姆新马赛经典B1咖啡机意式半自动家用奶泡机研磨一体机小型</t>
  </si>
  <si>
    <t>201413</t>
  </si>
  <si>
    <t>424.6684058271261</t>
  </si>
  <si>
    <t>https://detail.tmall.com/item.htm?id=742235258784</t>
  </si>
  <si>
    <t>683369816733</t>
  </si>
  <si>
    <t>Delonghi德龙银骑士升级冷萃版研磨一体半自动EC9865咖啡机家商用</t>
  </si>
  <si>
    <t>156851</t>
  </si>
  <si>
    <t>74.24597152885882</t>
  </si>
  <si>
    <t>31</t>
  </si>
  <si>
    <t>https://detail.tmall.com/item.htm?id=683369816733</t>
  </si>
  <si>
    <t>Roasters 烘焙家</t>
  </si>
  <si>
    <t>RAzN8HWJZ2Ez9m9y9GaFV2wFWrg6RiYTkgHHtSZSfCsrndkWoBU</t>
  </si>
  <si>
    <t>733862846167</t>
  </si>
  <si>
    <t>WEGA毕加索pegaso咖啡机双头e61专业意式半自动高杯电控萃取商用</t>
  </si>
  <si>
    <t>123704</t>
  </si>
  <si>
    <t>317.7839997414188</t>
  </si>
  <si>
    <t>46</t>
  </si>
  <si>
    <t>-45</t>
  </si>
  <si>
    <t>https://item.taobao.com/item.htm?id=733862846167</t>
  </si>
  <si>
    <t>677507672602</t>
  </si>
  <si>
    <t>Delonghi/德龙全自动咖啡机进口意式现磨小型家用办公E max/E pro</t>
  </si>
  <si>
    <t>108565</t>
  </si>
  <si>
    <t>337.8805454451192</t>
  </si>
  <si>
    <t>-19</t>
  </si>
  <si>
    <t>https://item.taobao.com/item.htm?id=677507672602</t>
  </si>
  <si>
    <t>SCHNEIDER花非尔专卖店</t>
  </si>
  <si>
    <t>RAzN8HWZgTeyHm4bXdpbSdJTjGNfu35q4ajupc9vgJchnzq7f3m</t>
  </si>
  <si>
    <t>724519916545</t>
  </si>
  <si>
    <t>法国施耐德咖啡机意式浓缩全半自动家用小型打奶泡意式半自动萃取</t>
  </si>
  <si>
    <t>98446</t>
  </si>
  <si>
    <t>257.5179430616818</t>
  </si>
  <si>
    <t>76</t>
  </si>
  <si>
    <t>https://detail.tmall.com/item.htm?id=724519916545</t>
  </si>
  <si>
    <t>welhome电器旗舰店</t>
  </si>
  <si>
    <t>RAzN8HWKePPFnK4zxJPp7YdxF4QM5sxDcqtV5QcP9EPdoP34Mn2</t>
  </si>
  <si>
    <t>45519474664</t>
  </si>
  <si>
    <t>WPM惠家咖啡机KD310家用小型意式半自动现磨咖啡家商可用胶囊美式</t>
  </si>
  <si>
    <t>89795</t>
  </si>
  <si>
    <t>200.9180400375238</t>
  </si>
  <si>
    <t>91</t>
  </si>
  <si>
    <t>https://detail.tmall.com/item.htm?id=45519474664</t>
  </si>
  <si>
    <t>RAzN8HWLXFEK6ujJHDbef4dmqGxByLeFNPUR2wte8LtCR9sEfU9</t>
  </si>
  <si>
    <t>630069876330</t>
  </si>
  <si>
    <t>SMEG/斯麦格ECF01意式半自动咖啡机家用办公室用小型一体奶泡蒸汽</t>
  </si>
  <si>
    <t>81657</t>
  </si>
  <si>
    <t>149.5615520395774</t>
  </si>
  <si>
    <t>106</t>
  </si>
  <si>
    <t>https://detail.tmall.com/item.htm?id=630069876330</t>
  </si>
  <si>
    <t>礼醇旗舰店</t>
  </si>
  <si>
    <t>RAzN8HWUi7ubWC5dPqG12qqkt59q6HyoSdKvcgkGYGZk2GYDxmF</t>
  </si>
  <si>
    <t>598997624875</t>
  </si>
  <si>
    <t>礼醇商用全自动速溶咖啡机热饮机办公室速溶咖啡奶茶一体机冷热</t>
  </si>
  <si>
    <t>75358</t>
  </si>
  <si>
    <t>375.8832301704742</t>
  </si>
  <si>
    <t>122</t>
  </si>
  <si>
    <t>-56</t>
  </si>
  <si>
    <t>https://detail.tmall.com/item.htm?id=598997624875</t>
  </si>
  <si>
    <t>611438476323</t>
  </si>
  <si>
    <t>铂富Breville 876/878半自动意式家用商用专业一体咖啡机蒸汽磨豆</t>
  </si>
  <si>
    <t>69812</t>
  </si>
  <si>
    <t>365.3524612679748</t>
  </si>
  <si>
    <t>137</t>
  </si>
  <si>
    <t>https://item.taobao.com/item.htm?id=611438476323</t>
  </si>
  <si>
    <t>意利美咖啡店</t>
  </si>
  <si>
    <t>RAzN8HWVaFiV8nt2Gt95YJ8tCfXKn2MKiqoEYSes3jHbV9uwjy8</t>
  </si>
  <si>
    <t>657795167519</t>
  </si>
  <si>
    <t>65538</t>
  </si>
  <si>
    <t>261.915860614898</t>
  </si>
  <si>
    <t>151</t>
  </si>
  <si>
    <t>https://item.taobao.com/item.htm?id=657795167519</t>
  </si>
  <si>
    <t>精品小家电商城</t>
  </si>
  <si>
    <t>RAzN8HWacbymjhv9SiJn1fxkoYnqigzB6XFTENvEgxe4hPhDQRh</t>
  </si>
  <si>
    <t>717078445297</t>
  </si>
  <si>
    <t>百胜图V1咖啡机商用家用小型全半自动意式带研磨豆一体机</t>
  </si>
  <si>
    <t>62771</t>
  </si>
  <si>
    <t>385.5542982553317</t>
  </si>
  <si>
    <t>165</t>
  </si>
  <si>
    <t>-85</t>
  </si>
  <si>
    <t>https://item.taobao.com/item.htm?id=717078445297</t>
  </si>
  <si>
    <t>蓝咖时光</t>
  </si>
  <si>
    <t>RAzN8HAjGqDPMrxpz9SiR3UL3vJsy</t>
  </si>
  <si>
    <t>24987004195</t>
  </si>
  <si>
    <t>Delonghi/德龙 S2意式浓缩美式全自动咖啡机小型家用型Emax/E Pro</t>
  </si>
  <si>
    <t>60850</t>
  </si>
  <si>
    <t>337.8652410951864</t>
  </si>
  <si>
    <t>179</t>
  </si>
  <si>
    <t>-102</t>
  </si>
  <si>
    <t>https://item.taobao.com/item.htm?id=24987004195</t>
  </si>
  <si>
    <t>向北咖啡</t>
  </si>
  <si>
    <t>RAzN8HAck4mFF7i6tzkFHxgaLN35S</t>
  </si>
  <si>
    <t>714987267158</t>
  </si>
  <si>
    <t>意大利进口 Nuova APPIAI life诺瓦咖啡机商用双头意式半自动电控</t>
  </si>
  <si>
    <t>57770</t>
  </si>
  <si>
    <t>172.6019604623396</t>
  </si>
  <si>
    <t>193</t>
  </si>
  <si>
    <t>-81</t>
  </si>
  <si>
    <t>https://item.taobao.com/item.htm?id=714987267158</t>
  </si>
  <si>
    <t>55528</t>
  </si>
  <si>
    <t>145.7458175072923</t>
  </si>
  <si>
    <t>207</t>
  </si>
  <si>
    <t>82</t>
  </si>
  <si>
    <t>RAzN8HWVd8C8KqQYijirSAV95WDtpjhXFLxB6QidhC55WPK24Ay</t>
  </si>
  <si>
    <t>665178965303</t>
  </si>
  <si>
    <t>雀巢多趣酷思胶囊咖啡机小型家用全自动意式咖啡机Star礼盒一体机</t>
  </si>
  <si>
    <t>54400</t>
  </si>
  <si>
    <t>293.1687271571269</t>
  </si>
  <si>
    <t>221</t>
  </si>
  <si>
    <t>19</t>
  </si>
  <si>
    <t>https://detail.tmall.com/item.htm?id=665178965303</t>
  </si>
  <si>
    <t>642576196667</t>
  </si>
  <si>
    <t>Delonghi/德龙 ECP35.31/36.31咖啡机半自动意式浓缩家用泵压拉花</t>
  </si>
  <si>
    <t>52626</t>
  </si>
  <si>
    <t>219.7763836161766</t>
  </si>
  <si>
    <t>235</t>
  </si>
  <si>
    <t>-10</t>
  </si>
  <si>
    <t>https://item.taobao.com/item.htm?id=642576196667</t>
  </si>
  <si>
    <t>优质生活电器店</t>
  </si>
  <si>
    <t>RAzN8HAsxkkogerPjVYhrv4oyxqXr</t>
  </si>
  <si>
    <t>752470972692</t>
  </si>
  <si>
    <t>Philips飞利浦咖啡机EP3146意式全自动研磨打奶泡机EP5144 EP1221</t>
  </si>
  <si>
    <t>50448</t>
  </si>
  <si>
    <t>544.5181406300719</t>
  </si>
  <si>
    <t>249</t>
  </si>
  <si>
    <t>https://item.taobao.com/item.htm?id=752470972692</t>
  </si>
  <si>
    <t>48495</t>
  </si>
  <si>
    <t>559.8915860242226</t>
  </si>
  <si>
    <t>263</t>
  </si>
  <si>
    <t>577192704621</t>
  </si>
  <si>
    <t>Delonghi/德龙复古系列半自动咖啡机+烤面包机/多士炉家用2件套</t>
  </si>
  <si>
    <t>47825</t>
  </si>
  <si>
    <t>350.8836243725697</t>
  </si>
  <si>
    <t>277</t>
  </si>
  <si>
    <t>https://detail.tmall.com/item.htm?id=577192704621</t>
  </si>
  <si>
    <t>743036130981</t>
  </si>
  <si>
    <t>Delonghi/德龙咖啡机EC885 意式家用 半自动小型不锈钢办公室</t>
  </si>
  <si>
    <t>46981</t>
  </si>
  <si>
    <t>387.6288460120779</t>
  </si>
  <si>
    <t>291</t>
  </si>
  <si>
    <t>https://detail.tmall.com/item.htm?id=743036130981</t>
  </si>
  <si>
    <t>622453721820</t>
  </si>
  <si>
    <t>Peets皮爷精品胶囊咖啡美式浓缩黑咖啡粉60颗适配nespresso胶囊机</t>
  </si>
  <si>
    <t>118450</t>
  </si>
  <si>
    <t>808.0722274394374</t>
  </si>
  <si>
    <t>https://detail.tmall.com/item.htm?id=622453721820</t>
  </si>
  <si>
    <t>654167969185</t>
  </si>
  <si>
    <t>Delonghi/德龙E LattePro咖啡机进口全自动一键奶咖现磨家用小型</t>
  </si>
  <si>
    <t>377419</t>
  </si>
  <si>
    <t>234.8386207136555</t>
  </si>
  <si>
    <t>https://detail.tmall.com/item.htm?id=654167969185</t>
  </si>
  <si>
    <t>522924277596</t>
  </si>
  <si>
    <t>格米莱 CRM3005E意式咖啡机家用办公室用小型半自动浓缩打奶泡</t>
  </si>
  <si>
    <t>200042</t>
  </si>
  <si>
    <t>267.3802060788355</t>
  </si>
  <si>
    <t>17</t>
  </si>
  <si>
    <t>https://detail.tmall.com/item.htm?id=522924277596</t>
  </si>
  <si>
    <t>654544526456</t>
  </si>
  <si>
    <t>Delonghi/德龙咖啡机EC9155 半自动家用研磨一体意式小型办公室</t>
  </si>
  <si>
    <t>152295</t>
  </si>
  <si>
    <t>135.1731284203566</t>
  </si>
  <si>
    <t>32</t>
  </si>
  <si>
    <t>https://detail.tmall.com/item.htm?id=654544526456</t>
  </si>
  <si>
    <t>694189152222</t>
  </si>
  <si>
    <t>Delonghi/德龙 S2 全自动咖啡机 家用进口意式现磨办公室</t>
  </si>
  <si>
    <t>121102</t>
  </si>
  <si>
    <t>136.2453853833082</t>
  </si>
  <si>
    <t>47</t>
  </si>
  <si>
    <t>36</t>
  </si>
  <si>
    <t>https://detail.tmall.com/item.htm?id=694189152222</t>
  </si>
  <si>
    <t>LELITBIANCA旗舰店</t>
  </si>
  <si>
    <t>RAzN8HWLH5KYfcXUUSAHRrHqXqP2BiucvG8ac69Kr4w9hDu7991</t>
  </si>
  <si>
    <t>731752561163</t>
  </si>
  <si>
    <t>意大利Lelit Bianca V3半自动式咖啡机小型家用变压拨杆E61双锅炉</t>
  </si>
  <si>
    <t>107368</t>
  </si>
  <si>
    <t>216.6648831198559</t>
  </si>
  <si>
    <t>62</t>
  </si>
  <si>
    <t>https://detail.tmall.com/item.htm?id=731752561163</t>
  </si>
  <si>
    <t>657438321194</t>
  </si>
  <si>
    <t>SMEG/斯麦格BCC02全自动咖啡机意式打奶泡拉花研磨一体家用办公室</t>
  </si>
  <si>
    <t>98249</t>
  </si>
  <si>
    <t>154.1743220266395</t>
  </si>
  <si>
    <t>77</t>
  </si>
  <si>
    <t>https://detail.tmall.com/item.htm?id=657438321194</t>
  </si>
  <si>
    <t>571219273217</t>
  </si>
  <si>
    <t>格米莱3605家用高压煮意式咖啡机手动半自动小型蒸汽奶泡泵压萃取</t>
  </si>
  <si>
    <t>88445</t>
  </si>
  <si>
    <t>307.1588214169795</t>
  </si>
  <si>
    <t>92</t>
  </si>
  <si>
    <t>https://detail.tmall.com/item.htm?id=571219273217</t>
  </si>
  <si>
    <t>81169</t>
  </si>
  <si>
    <t>273.3861778950966</t>
  </si>
  <si>
    <t>107</t>
  </si>
  <si>
    <t>38</t>
  </si>
  <si>
    <t>729293590768</t>
  </si>
  <si>
    <t>德国Derlla全半自动咖啡机小型家用意式浓缩蒸汽奶泡复古美式一体</t>
  </si>
  <si>
    <t>75240</t>
  </si>
  <si>
    <t>461.2967467662984</t>
  </si>
  <si>
    <t>123</t>
  </si>
  <si>
    <t>https://detail.tmall.com/item.htm?id=729293590768</t>
  </si>
  <si>
    <t>625011456384</t>
  </si>
  <si>
    <t>雀巢多趣酷思胶囊咖啡机小型家用plus礼盒全自动意式咖啡机一体机</t>
  </si>
  <si>
    <t>69687</t>
  </si>
  <si>
    <t>342.0187847988431</t>
  </si>
  <si>
    <t>138</t>
  </si>
  <si>
    <t>https://detail.tmall.com/item.htm?id=625011456384</t>
  </si>
  <si>
    <t>602685084150</t>
  </si>
  <si>
    <t>飞利浦全自动咖啡机云朵3146意式小型家用办公室研磨一体打奶泡</t>
  </si>
  <si>
    <t>65371</t>
  </si>
  <si>
    <t>218.1095033144709</t>
  </si>
  <si>
    <t>https://detail.tmall.com/item.htm?id=602685084150</t>
  </si>
  <si>
    <t>62401</t>
  </si>
  <si>
    <t>184.8848623727476</t>
  </si>
  <si>
    <t>166</t>
  </si>
  <si>
    <t>回头客20万 小二推荐企业店</t>
  </si>
  <si>
    <t>RAzN8HWQsrGmbCdY4N6wCMZnmz6EvUG9zE42bPxghGfHQXSFtXb</t>
  </si>
  <si>
    <t>570998025026</t>
  </si>
  <si>
    <t>速溶咖啡奶茶一体机商用全自动冷热自助果汁多功能饮料豆浆热饮机</t>
  </si>
  <si>
    <t>60401</t>
  </si>
  <si>
    <t>251.2491263784052</t>
  </si>
  <si>
    <t>180</t>
  </si>
  <si>
    <t>https://item.taobao.com/item.htm?id=570998025026</t>
  </si>
  <si>
    <t>UDi电器旗舰店</t>
  </si>
  <si>
    <t>RAzN8HWafvH6wQdyRx8SPbR4LGVxCqVH7BFvoHAQTUkG4mJ6aVz</t>
  </si>
  <si>
    <t>730383798937</t>
  </si>
  <si>
    <t>UDI\\CM7020咖啡机研磨一体机意式半全自动小型家用浓缩双加热商用</t>
  </si>
  <si>
    <t>57533</t>
  </si>
  <si>
    <t>166.9854908800127</t>
  </si>
  <si>
    <t>194</t>
  </si>
  <si>
    <t>https://detail.tmall.com/item.htm?id=730383798937</t>
  </si>
  <si>
    <t>意大利德龙电器</t>
  </si>
  <si>
    <t>RAzN8HWJvhFEf6T9w1DiYGkkfLHpTxEnJW48ELjM2dhMXfykvzw</t>
  </si>
  <si>
    <t>702867534589</t>
  </si>
  <si>
    <t>Delonghi/德龙 E Pro/Max全自动咖啡机意式现磨家用办公室美式</t>
  </si>
  <si>
    <t>55497</t>
  </si>
  <si>
    <t>240.669397798344</t>
  </si>
  <si>
    <t>208</t>
  </si>
  <si>
    <t>https://item.taobao.com/item.htm?id=702867534589</t>
  </si>
  <si>
    <t>598461064473</t>
  </si>
  <si>
    <t>雀巢多趣酷思胶囊咖啡机小型家用piccolo XS小星星半自动咖啡机</t>
  </si>
  <si>
    <t>54388</t>
  </si>
  <si>
    <t>334.3449249481998</t>
  </si>
  <si>
    <t>222</t>
  </si>
  <si>
    <t>https://detail.tmall.com/item.htm?id=598461064473</t>
  </si>
  <si>
    <t>HiBREW品牌店</t>
  </si>
  <si>
    <t>RAzN8HWYTWsFsebaoE9eA58vtPegb9jxS6KNSzPUR7fo9uqPGFb</t>
  </si>
  <si>
    <t>703919331727</t>
  </si>
  <si>
    <t>HiBREW咖喜萃咖啡机H10A半自动意式冷萃家用小型不锈钢小白进阶</t>
  </si>
  <si>
    <t>52253</t>
  </si>
  <si>
    <t>316.5570875091826</t>
  </si>
  <si>
    <t>236</t>
  </si>
  <si>
    <t>https://item.taobao.com/item.htm?id=703919331727</t>
  </si>
  <si>
    <t>卡伦特电器旗舰店</t>
  </si>
  <si>
    <t>RAzN8HWMqGVk49hVnhGbXqTCmiXiJDsCXsGLBS4CjNDuaMQfacZ</t>
  </si>
  <si>
    <t>718684328416</t>
  </si>
  <si>
    <t>卡伦特全自动办公室研磨一体家用美式浓缩意式现磨萃取小型咖啡机</t>
  </si>
  <si>
    <t>50313</t>
  </si>
  <si>
    <t>295.5679130593494</t>
  </si>
  <si>
    <t>250</t>
  </si>
  <si>
    <t>20</t>
  </si>
  <si>
    <t>https://detail.tmall.com/item.htm?id=718684328416</t>
  </si>
  <si>
    <t>719187095285</t>
  </si>
  <si>
    <t>小熊意式咖啡机办公室自动蒸汽奶泡拉花家用高压式萃取胶囊咖啡壶</t>
  </si>
  <si>
    <t>48358</t>
  </si>
  <si>
    <t>329.1986970559645</t>
  </si>
  <si>
    <t>264</t>
  </si>
  <si>
    <t>https://detail.tmall.com/item.htm?id=719187095285</t>
  </si>
  <si>
    <t>咖啡拉花机</t>
  </si>
  <si>
    <t>RAzN8HB23z7qXyaHnamrCaA4rYLemP</t>
  </si>
  <si>
    <t>644111589818</t>
  </si>
  <si>
    <t>Dr.coffee咖博士H10F09F10F11全自动奶咖啡机商用拿铁美意式浓缩</t>
  </si>
  <si>
    <t>47753</t>
  </si>
  <si>
    <t>239.4955103130761</t>
  </si>
  <si>
    <t>278</t>
  </si>
  <si>
    <t>https://item.taobao.com/item.htm?id=644111589818</t>
  </si>
  <si>
    <t>582429733380</t>
  </si>
  <si>
    <t>Delonghi德龙ECO310半自动咖啡机多士炉电水壶三件套复古家用浓缩</t>
  </si>
  <si>
    <t>46456</t>
  </si>
  <si>
    <t>208.7482348616489</t>
  </si>
  <si>
    <t>292</t>
  </si>
  <si>
    <t>https://item.taobao.com/item.htm?id=582429733380</t>
  </si>
  <si>
    <t>小牛妈妈品质生活馆</t>
  </si>
  <si>
    <t>RAzN8HWT6u5vMEG9bAFBnwhYJgR75FhgE4qTc4FcNH3dhQ2H4Jd</t>
  </si>
  <si>
    <t>39530431956</t>
  </si>
  <si>
    <t>瑞士进口雀巢星巴克胶囊咖啡适用Nespresso小米胶囊机器50粒意式</t>
  </si>
  <si>
    <t>114259</t>
  </si>
  <si>
    <t>1136.957216536501</t>
  </si>
  <si>
    <t>https://item.taobao.com/item.htm?id=39530431956</t>
  </si>
  <si>
    <t>737433197612</t>
  </si>
  <si>
    <t>De&amp;#39;Longhi/德龙 半自动研磨一体咖啡机EC9255.Wl家用办公室</t>
  </si>
  <si>
    <t>301810</t>
  </si>
  <si>
    <t>199.537087457733</t>
  </si>
  <si>
    <t>-2</t>
  </si>
  <si>
    <t>https://detail.tmall.com/item.htm?id=737433197612</t>
  </si>
  <si>
    <t>674829737815</t>
  </si>
  <si>
    <t>191371</t>
  </si>
  <si>
    <t>175.3557437837069</t>
  </si>
  <si>
    <t>18</t>
  </si>
  <si>
    <t>https://detail.tmall.com/item.htm?id=674829737815</t>
  </si>
  <si>
    <t>moaiqo摩巧旗舰店</t>
  </si>
  <si>
    <t>RAzN8HWPSeQBtRc3yZhDrrMjq7NyujwqcSAsL8twKoPuDqnYS4J</t>
  </si>
  <si>
    <t>719484791611</t>
  </si>
  <si>
    <t>摩巧K1小天秤半全自动意式咖啡机小型浓缩奶泡美式家用研磨一体机</t>
  </si>
  <si>
    <t>152027</t>
  </si>
  <si>
    <t>336.9445685359807</t>
  </si>
  <si>
    <t>https://detail.tmall.com/item.htm?id=719484791611</t>
  </si>
  <si>
    <t>701441384159</t>
  </si>
  <si>
    <t>新品Dr.coffee咖博士咖啡机家用小型意式全自动研磨一体打奶泡H1</t>
  </si>
  <si>
    <t>121087</t>
  </si>
  <si>
    <t>301.804276497727</t>
  </si>
  <si>
    <t>48</t>
  </si>
  <si>
    <t>https://detail.tmall.com/item.htm?id=701441384159</t>
  </si>
  <si>
    <t>柏翠严选直营店</t>
  </si>
  <si>
    <t>RAzN8HWMmEjass1ZWLC2mmvVktXotcKwgMEReonEAMuyrujNyB7</t>
  </si>
  <si>
    <t>736759765747</t>
  </si>
  <si>
    <t>柏翠咖啡机家用小型PE3366小白醒醒全半自动意式浓缩商用现磨奶泡</t>
  </si>
  <si>
    <t>106947</t>
  </si>
  <si>
    <t>527.17467024239</t>
  </si>
  <si>
    <t>63</t>
  </si>
  <si>
    <t>https://item.taobao.com/item.htm?id=736759765747</t>
  </si>
  <si>
    <t>Coffee Youth</t>
  </si>
  <si>
    <t>RAzN8HWPAWwSyDfLdnbonA4vvVGVU3NkeGxAzEnc2Cn7bqE8swr</t>
  </si>
  <si>
    <t>733832906457</t>
  </si>
  <si>
    <t>98202</t>
  </si>
  <si>
    <t>439.1727325141169</t>
  </si>
  <si>
    <t>78</t>
  </si>
  <si>
    <t>-70</t>
  </si>
  <si>
    <t>https://item.taobao.com/item.htm?id=733832906457</t>
  </si>
  <si>
    <t>631058175358</t>
  </si>
  <si>
    <t>SMEG斯麦格  ECF01意式半自动咖啡机CGF01研磨豆机黑咖啡复古套装</t>
  </si>
  <si>
    <t>87521</t>
  </si>
  <si>
    <t>145.4783264159632</t>
  </si>
  <si>
    <t>53</t>
  </si>
  <si>
    <t>https://detail.tmall.com/item.htm?id=631058175358</t>
  </si>
  <si>
    <t>rancilio旗舰店</t>
  </si>
  <si>
    <t>RAzN8HWMmbGKpfCmYfhZ9Wxt33VtuLVMvNsBtzBy6eUb7jMzgoG</t>
  </si>
  <si>
    <t>655400056051</t>
  </si>
  <si>
    <t>兰奇里奥/Rancilio Silvia Pro X 大S 家用双PID双锅炉意式咖啡机</t>
  </si>
  <si>
    <t>81060</t>
  </si>
  <si>
    <t>285.9368622262932</t>
  </si>
  <si>
    <t>108</t>
  </si>
  <si>
    <t>-71</t>
  </si>
  <si>
    <t>https://detail.tmall.com/item.htm?id=655400056051</t>
  </si>
  <si>
    <t>RAzN8HWL1hkNiomS8kjwgy9cA1jdBahxDPUttyWNXjGvZ31Lqnm</t>
  </si>
  <si>
    <t>632725513845</t>
  </si>
  <si>
    <t>铂富Breville BES878半自动意式蒸汽澳洲咖啡机家用磨豆打奶泡</t>
  </si>
  <si>
    <t>75069</t>
  </si>
  <si>
    <t>255.2103834110712</t>
  </si>
  <si>
    <t>124</t>
  </si>
  <si>
    <t>https://detail.tmall.com/item.htm?id=632725513845</t>
  </si>
  <si>
    <t>TG品质家电</t>
  </si>
  <si>
    <t>RAzN8HWLWzkMcdg5RxrPpfSywPAEohEpUhi1sm9U3YXhASoWmV7</t>
  </si>
  <si>
    <t>737712008892</t>
  </si>
  <si>
    <t>摩巧K1小天秤全半自动意式咖啡机小型浓缩奶泡美式家用研磨一体机</t>
  </si>
  <si>
    <t>69591</t>
  </si>
  <si>
    <t>1474.57879986452</t>
  </si>
  <si>
    <t>139</t>
  </si>
  <si>
    <t>-146</t>
  </si>
  <si>
    <t>https://item.taobao.com/item.htm?id=737712008892</t>
  </si>
  <si>
    <t>乐浦电器店</t>
  </si>
  <si>
    <t>RAzN8HWM4Jvy5j49oJ4Ev6L2NQbmuNQuxMeNpxRUg4btGtMbGCH</t>
  </si>
  <si>
    <t>635918976453</t>
  </si>
  <si>
    <t>柏翠PE3180B 意式咖啡机家用小型迷你壶煮全半自动蒸汽打奶泡美式</t>
  </si>
  <si>
    <t>64960</t>
  </si>
  <si>
    <t>354.4053980882298</t>
  </si>
  <si>
    <t>153</t>
  </si>
  <si>
    <t>https://item.taobao.com/item.htm?id=635918976453</t>
  </si>
  <si>
    <t>564702488857</t>
  </si>
  <si>
    <t>铂富Breville BES870半自动意式蒸汽澳洲咖啡机家用磨豆打奶泡</t>
  </si>
  <si>
    <t>62345</t>
  </si>
  <si>
    <t>279.0377558388973</t>
  </si>
  <si>
    <t>167</t>
  </si>
  <si>
    <t>https://detail.tmall.com/item.htm?id=564702488857</t>
  </si>
  <si>
    <t>630717818027</t>
  </si>
  <si>
    <t>SMEG/斯麦格DCF02美式咖啡机家用复古办公全自动滴漏式保温一体机</t>
  </si>
  <si>
    <t>60132</t>
  </si>
  <si>
    <t>222.5197902302828</t>
  </si>
  <si>
    <t>181</t>
  </si>
  <si>
    <t>-35</t>
  </si>
  <si>
    <t>https://detail.tmall.com/item.htm?id=630717818027</t>
  </si>
  <si>
    <t>RAzN8HWTQZu7opHnsGtG5NAujmarU7cM9LeZhDdp6HakQN11TM2</t>
  </si>
  <si>
    <t>646353589852</t>
  </si>
  <si>
    <t>飞利浦美式全自动咖啡机HD7761小型豆粉两用家用办公商用研磨一体</t>
  </si>
  <si>
    <t>57450</t>
  </si>
  <si>
    <t>347.3369095214134</t>
  </si>
  <si>
    <t>195</t>
  </si>
  <si>
    <t>110</t>
  </si>
  <si>
    <t>https://detail.tmall.com/item.htm?id=646353589852</t>
  </si>
  <si>
    <t>45241377644</t>
  </si>
  <si>
    <t>多趣酷思Genio Basic Plus全自动胶囊咖啡机自制迷你mini me家用</t>
  </si>
  <si>
    <t>55391</t>
  </si>
  <si>
    <t>396.5874728258624</t>
  </si>
  <si>
    <t>209</t>
  </si>
  <si>
    <t>https://item.taobao.com/item.htm?id=45241377644</t>
  </si>
  <si>
    <t>570796853940</t>
  </si>
  <si>
    <t>意大利Delonghi/德龙 ECAM650.85 全自动进口意式咖啡机智能家用</t>
  </si>
  <si>
    <t>54269</t>
  </si>
  <si>
    <t>93.53707493188304</t>
  </si>
  <si>
    <t>223</t>
  </si>
  <si>
    <t>https://detail.tmall.com/item.htm?id=570796853940</t>
  </si>
  <si>
    <t>743465300329</t>
  </si>
  <si>
    <t>年度新品Breville/铂富BES881智能压布粉海盐白家用意式咖啡机</t>
  </si>
  <si>
    <t>52223</t>
  </si>
  <si>
    <t>471.4511499692712</t>
  </si>
  <si>
    <t>237</t>
  </si>
  <si>
    <t>https://detail.tmall.com/item.htm?id=743465300329</t>
  </si>
  <si>
    <t>佳选咖啡时尚生活</t>
  </si>
  <si>
    <t>RAzN8HWUWZn8DxLBdTpvZ5n7oFdmtv1MbnLsvrmoYSRgPNgbxXB</t>
  </si>
  <si>
    <t>685479155644</t>
  </si>
  <si>
    <t>意大利原装进口 Lelit Bianca V3家用发烧级商用半自动意式咖啡机</t>
  </si>
  <si>
    <t>50230</t>
  </si>
  <si>
    <t>187.6212392743846</t>
  </si>
  <si>
    <t>251</t>
  </si>
  <si>
    <t>https://item.taobao.com/item.htm?id=685479155644</t>
  </si>
  <si>
    <t>wmf电器旗舰店</t>
  </si>
  <si>
    <t>RAzN8HWW1KZfHgnN6HpJmh8akBXaGCr39JB5YKKtbUqEjiWYK8Y</t>
  </si>
  <si>
    <t>743617488387</t>
  </si>
  <si>
    <t>德国WMF全自动咖啡机研磨一体机意式浓缩进口咖啡机家用小型奶泡</t>
  </si>
  <si>
    <t>48194</t>
  </si>
  <si>
    <t>146.6039137667691</t>
  </si>
  <si>
    <t>265</t>
  </si>
  <si>
    <t>https://detail.tmall.com/item.htm?id=743617488387</t>
  </si>
  <si>
    <t>645971408064</t>
  </si>
  <si>
    <t>Breville/铂富BES990双锅炉家用商用咖啡机920自动压粉研磨一体</t>
  </si>
  <si>
    <t>47748</t>
  </si>
  <si>
    <t>270.6784458013291</t>
  </si>
  <si>
    <t>279</t>
  </si>
  <si>
    <t>https://item.taobao.com/item.htm?id=645971408064</t>
  </si>
  <si>
    <t>优购品牌正品直销店</t>
  </si>
  <si>
    <t>RAzN8HWVgSscUDgPjgSWvzQjtetHWCsVWHhE6Y72KugPMjLyoWK</t>
  </si>
  <si>
    <t>734701841541</t>
  </si>
  <si>
    <t>Stelang/雪特朗AC-517E咖啡机 意式全半自动家用小型奶泡研磨一体</t>
  </si>
  <si>
    <t>46418</t>
  </si>
  <si>
    <t>320.3096285275274</t>
  </si>
  <si>
    <t>293</t>
  </si>
  <si>
    <t>https://item.taobao.com/item.htm?id=734701841541</t>
  </si>
  <si>
    <t>106910</t>
  </si>
  <si>
    <t>368.7954716421218</t>
  </si>
  <si>
    <t>716285336148</t>
  </si>
  <si>
    <t>[新品]格米莱 CRM3145双瞳商用半自动咖啡机家用意式商用奶茶店</t>
  </si>
  <si>
    <t>288420</t>
  </si>
  <si>
    <t>127.0840351441249</t>
  </si>
  <si>
    <t>https://detail.tmall.com/item.htm?id=716285336148</t>
  </si>
  <si>
    <t>713865529993</t>
  </si>
  <si>
    <t>小熊咖啡机家用小型意式半全自动办公室一体机美式手研磨煮咖啡壶</t>
  </si>
  <si>
    <t>188068</t>
  </si>
  <si>
    <t>331.0876678787461</t>
  </si>
  <si>
    <t>https://detail.tmall.com/item.htm?id=713865529993</t>
  </si>
  <si>
    <t>703799416998</t>
  </si>
  <si>
    <t>【新品】De&amp;#39;Longhi/德龙EC9255 冷萃版研磨一体半自动咖啡机现磨</t>
  </si>
  <si>
    <t>148092</t>
  </si>
  <si>
    <t>139.8623865845671</t>
  </si>
  <si>
    <t>https://detail.tmall.com/item.htm?id=703799416998</t>
  </si>
  <si>
    <t>primitalia电器旗舰店</t>
  </si>
  <si>
    <t>RAzN8HWN8Qp6cNRgFGfxtg6a88qvjd2LojzpfaNL7sbZxVg8sNe</t>
  </si>
  <si>
    <t>672038328169</t>
  </si>
  <si>
    <t>primitalia浦美泰美式咖啡机家用全自动研磨一体机小型一人办公室</t>
  </si>
  <si>
    <t>120171</t>
  </si>
  <si>
    <t>278.6269379874926</t>
  </si>
  <si>
    <t>49</t>
  </si>
  <si>
    <t>https://detail.tmall.com/item.htm?id=672038328169</t>
  </si>
  <si>
    <t>105408</t>
  </si>
  <si>
    <t>302.7703534518274</t>
  </si>
  <si>
    <t>64</t>
  </si>
  <si>
    <t>妙雀官方品牌店</t>
  </si>
  <si>
    <t>RAzN8HWK6kQZid8UNoehVXndwPujjjo2pBuPAgQCaQ817A38vC6</t>
  </si>
  <si>
    <t>565058058111</t>
  </si>
  <si>
    <t>妙雀全自动速溶咖啡饮料机商用冷热自助奶茶一体机果汁豆浆热饮机</t>
  </si>
  <si>
    <t>98188</t>
  </si>
  <si>
    <t>406.3891933294471</t>
  </si>
  <si>
    <t>79</t>
  </si>
  <si>
    <t>-32</t>
  </si>
  <si>
    <t>https://item.taobao.com/item.htm?id=565058058111</t>
  </si>
  <si>
    <t>上海宜家生活馆</t>
  </si>
  <si>
    <t>RAzN8HWLgZVJ1vZ2hG8v7pFFQJD5MmhgvgJB3c86hr851DDodx1</t>
  </si>
  <si>
    <t>696135600135</t>
  </si>
  <si>
    <t>86445</t>
  </si>
  <si>
    <t>622.4659521503887</t>
  </si>
  <si>
    <t>https://item.taobao.com/item.htm?id=696135600135</t>
  </si>
  <si>
    <t>755727932968</t>
  </si>
  <si>
    <t>【李佳琦直播间】格米莱CRM3005E/3005G意式咖啡机家用小型半自动</t>
  </si>
  <si>
    <t>80953</t>
  </si>
  <si>
    <t>178.1402357791663</t>
  </si>
  <si>
    <t>109</t>
  </si>
  <si>
    <t>https://detail.tmall.com/item.htm?id=755727932968</t>
  </si>
  <si>
    <t>全球咖啡设备超市</t>
  </si>
  <si>
    <t>RAzN8HWYPi6UY9VQrSg6FCBh6pqcHTAJxcCeFvAr6QcNkpQZLzS</t>
  </si>
  <si>
    <t>742403321928</t>
  </si>
  <si>
    <t>KAFFA卡法咖啡机半自动意式国货E61多锅炉单头商用双头一代二代</t>
  </si>
  <si>
    <t>74991</t>
  </si>
  <si>
    <t>277.3793622781631</t>
  </si>
  <si>
    <t>125</t>
  </si>
  <si>
    <t>-39</t>
  </si>
  <si>
    <t>https://item.taobao.com/item.htm?id=742403321928</t>
  </si>
  <si>
    <t>707418496185</t>
  </si>
  <si>
    <t>LADETINA拉迪天纳传奇咖啡机商用意式半自动单双头E61咖啡机定制</t>
  </si>
  <si>
    <t>68897</t>
  </si>
  <si>
    <t>277.2716454212996</t>
  </si>
  <si>
    <t>140</t>
  </si>
  <si>
    <t>-130</t>
  </si>
  <si>
    <t>https://item.taobao.com/item.htm?id=707418496185</t>
  </si>
  <si>
    <t>64904</t>
  </si>
  <si>
    <t>194.1810685651878</t>
  </si>
  <si>
    <t>154</t>
  </si>
  <si>
    <t>680864452734</t>
  </si>
  <si>
    <t>Breville/铂富 BES876海盐白家用小型半自动咖啡机意式研磨一体</t>
  </si>
  <si>
    <t>62251</t>
  </si>
  <si>
    <t>558.9666531879608</t>
  </si>
  <si>
    <t>168</t>
  </si>
  <si>
    <t>https://item.taobao.com/item.htm?id=680864452734</t>
  </si>
  <si>
    <t>PHlLlPS梓宸电商</t>
  </si>
  <si>
    <t>RAzN8HWNdRYq7s16EmpC96udEYQrXyZzUf6QgCTXvZXobRwaBkm</t>
  </si>
  <si>
    <t>534317482641</t>
  </si>
  <si>
    <t>飞利浦咖啡机HD7751/7762/7901家用全自动研磨一体机美式豆粉两用</t>
  </si>
  <si>
    <t>60069</t>
  </si>
  <si>
    <t>318.3885357858885</t>
  </si>
  <si>
    <t>182</t>
  </si>
  <si>
    <t>https://item.taobao.com/item.htm?id=534317482641</t>
  </si>
  <si>
    <t>673880139826</t>
  </si>
  <si>
    <t>Delonghi/德龙 ECAM450.76.T意式浓缩家用型全自动咖啡机450.86</t>
  </si>
  <si>
    <t>57099</t>
  </si>
  <si>
    <t>349.8103132164625</t>
  </si>
  <si>
    <t>196</t>
  </si>
  <si>
    <t>-68</t>
  </si>
  <si>
    <t>https://item.taobao.com/item.htm?id=673880139826</t>
  </si>
  <si>
    <t>744090598353</t>
  </si>
  <si>
    <t>马克西姆鲶鱼意式浓缩咖啡机马赛全半自动家用磨豆一体机学院联名</t>
  </si>
  <si>
    <t>55336</t>
  </si>
  <si>
    <t>246.1043476979973</t>
  </si>
  <si>
    <t>210</t>
  </si>
  <si>
    <t>https://item.taobao.com/item.htm?id=744090598353</t>
  </si>
  <si>
    <t>711811920408</t>
  </si>
  <si>
    <t>Barsetto/百胜图M2咖啡机家用小型意式浓缩全半自动蒸汽奶泡机</t>
  </si>
  <si>
    <t>54217</t>
  </si>
  <si>
    <t>244.2150558084236</t>
  </si>
  <si>
    <t>224</t>
  </si>
  <si>
    <t>80</t>
  </si>
  <si>
    <t>https://detail.tmall.com/item.htm?id=711811920408</t>
  </si>
  <si>
    <t>艾尔菲德电器专卖店</t>
  </si>
  <si>
    <t>RAzN8HWaG4dX4yhaGz4h8wX9bAzJsjoDvLdzYciasxrNHJv9y9Q</t>
  </si>
  <si>
    <t>709374073753</t>
  </si>
  <si>
    <t>艾尔菲德现磨研磨一体机意式全自动咖啡机办公室商用美式家用小型</t>
  </si>
  <si>
    <t>52052</t>
  </si>
  <si>
    <t>272.2553653846919</t>
  </si>
  <si>
    <t>238</t>
  </si>
  <si>
    <t>https://detail.tmall.com/item.htm?id=709374073753</t>
  </si>
  <si>
    <t>品优生活电器</t>
  </si>
  <si>
    <t>RAzN8HWRB7dMvX8U4Sk7sryNMD3S5aQfsWuMYs6VjKDjhpv6nM7</t>
  </si>
  <si>
    <t>720165423771</t>
  </si>
  <si>
    <t>Delonghi德龙全自动咖啡机D5W进口研磨奶泡一体450.86探索者家用</t>
  </si>
  <si>
    <t>50203</t>
  </si>
  <si>
    <t>553.7091327107494</t>
  </si>
  <si>
    <t>252</t>
  </si>
  <si>
    <t>https://item.taobao.com/item.htm?id=720165423771</t>
  </si>
  <si>
    <t>684259862684</t>
  </si>
  <si>
    <t>德龙泵压式EC685半自动咖啡机电动磨豆机两件套意式美式家用小型</t>
  </si>
  <si>
    <t>48175</t>
  </si>
  <si>
    <t>196.0524915778544</t>
  </si>
  <si>
    <t>266</t>
  </si>
  <si>
    <t>173</t>
  </si>
  <si>
    <t>https://detail.tmall.com/item.htm?id=684259862684</t>
  </si>
  <si>
    <t>maximsdeparis海外旗舰店</t>
  </si>
  <si>
    <t>RAzN8HWQWHEXcM2EueJqXx5mA6knUM1LrbPosvMVRD33WHBKfzx</t>
  </si>
  <si>
    <t>742152353934</t>
  </si>
  <si>
    <t>47742</t>
  </si>
  <si>
    <t>255.8364048442892</t>
  </si>
  <si>
    <t>280</t>
  </si>
  <si>
    <t>https://detail.tmall.com/item.htm?id=742152353934</t>
  </si>
  <si>
    <t>milesto迈拓旗舰店</t>
  </si>
  <si>
    <t>RAzN8HWY526iNYioiHj1u6QbJzcqWV5sjimk8TcJ5Xz49ViAzg5</t>
  </si>
  <si>
    <t>717692260962</t>
  </si>
  <si>
    <t>X20新极光MILESTO/迈拓aurora意式半自动咖啡机家用</t>
  </si>
  <si>
    <t>46295</t>
  </si>
  <si>
    <t>415.0899306421293</t>
  </si>
  <si>
    <t>https://detail.tmall.com/item.htm?id=717692260962</t>
  </si>
  <si>
    <t>622149524311</t>
  </si>
  <si>
    <t>Peets皮爷原装进口胶囊咖啡美式浓缩100颗适配nespresso胶囊机</t>
  </si>
  <si>
    <t>104110</t>
  </si>
  <si>
    <t>801.6983400734616</t>
  </si>
  <si>
    <t>https://detail.tmall.com/item.htm?id=622149524311</t>
  </si>
  <si>
    <t>739288987987</t>
  </si>
  <si>
    <t>[新品]格米莱CRM3028云象半自动咖啡机小型家用意式商用大锅炉</t>
  </si>
  <si>
    <t>277550</t>
  </si>
  <si>
    <t>145.275072800757</t>
  </si>
  <si>
    <t>https://detail.tmall.com/item.htm?id=739288987987</t>
  </si>
  <si>
    <t>737438437403</t>
  </si>
  <si>
    <t>SMEG/斯麦格新款EGF03研磨一体意式咖啡机一键现磨咖啡蒸汽打奶泡</t>
  </si>
  <si>
    <t>187654</t>
  </si>
  <si>
    <t>190.9909754956506</t>
  </si>
  <si>
    <t>https://detail.tmall.com/item.htm?id=737438437403</t>
  </si>
  <si>
    <t>608863880416</t>
  </si>
  <si>
    <t>Delonghi/德龙 EC9355.M 9865银骑士意式研磨一体 家商用咖啡机</t>
  </si>
  <si>
    <t>147883</t>
  </si>
  <si>
    <t>459.9818614891789</t>
  </si>
  <si>
    <t>35</t>
  </si>
  <si>
    <t>https://item.taobao.com/item.htm?id=608863880416</t>
  </si>
  <si>
    <t>Dhron旗舰店</t>
  </si>
  <si>
    <t>RAzN8HWayYrtFZK6fBJ7oDyoZz4KTtkBjYXKwk9bzoeptYBJCYp</t>
  </si>
  <si>
    <t>741897777021</t>
  </si>
  <si>
    <t>DHRON海豚7107pro意式半自动咖啡机小型商用家用3孔蒸汽式奶茶店</t>
  </si>
  <si>
    <t>119766</t>
  </si>
  <si>
    <t>285.8445343954526</t>
  </si>
  <si>
    <t>-105</t>
  </si>
  <si>
    <t>https://detail.tmall.com/item.htm?id=741897777021</t>
  </si>
  <si>
    <t>609249292562</t>
  </si>
  <si>
    <t>飞利浦咖啡机意式美式家用全自动现磨EP1221/ep3146/2124浓缩进口</t>
  </si>
  <si>
    <t>105063</t>
  </si>
  <si>
    <t>264.6548245710754</t>
  </si>
  <si>
    <t>65</t>
  </si>
  <si>
    <t>-76</t>
  </si>
  <si>
    <t>https://item.taobao.com/item.htm?id=609249292562</t>
  </si>
  <si>
    <t>yocosoda旗舰店</t>
  </si>
  <si>
    <t>RAzN8HWSXox1L9Dt5WjynE39Z96wCBEccbrtFmcHyoEB8WnbDkh</t>
  </si>
  <si>
    <t>744870605493</t>
  </si>
  <si>
    <t>yocosoda优可萌新小白意式咖啡机浓缩家用小型全半自动蒸汽打奶泡</t>
  </si>
  <si>
    <t>96688</t>
  </si>
  <si>
    <t>549.5672327452511</t>
  </si>
  <si>
    <t>-82</t>
  </si>
  <si>
    <t>https://detail.tmall.com/item.htm?id=744870605493</t>
  </si>
  <si>
    <t>675936535184</t>
  </si>
  <si>
    <t>保税直发雀巢奈斯派索nespresso胶囊咖啡机inissia EN80商用家用</t>
  </si>
  <si>
    <t>86220</t>
  </si>
  <si>
    <t>502.6975730725384</t>
  </si>
  <si>
    <t>95</t>
  </si>
  <si>
    <t>https://item.taobao.com/item.htm?id=675936535184</t>
  </si>
  <si>
    <t>566197436593</t>
  </si>
  <si>
    <t>Delonghi/德龙咖啡机 ECP35.31家用办公室意式泵压式半自动打奶泡</t>
  </si>
  <si>
    <t>79268</t>
  </si>
  <si>
    <t>200.6947943932988</t>
  </si>
  <si>
    <t>https://detail.tmall.com/item.htm?id=566197436593</t>
  </si>
  <si>
    <t>598930129075</t>
  </si>
  <si>
    <t>现磨意式全自动咖啡机办公商用研磨一体自动上水家用小型豆粉两用</t>
  </si>
  <si>
    <t>74809</t>
  </si>
  <si>
    <t>212.2764595661382</t>
  </si>
  <si>
    <t>126</t>
  </si>
  <si>
    <t>https://item.taobao.com/item.htm?id=598930129075</t>
  </si>
  <si>
    <t>飞利浦腾飞专卖店</t>
  </si>
  <si>
    <t>RAzN8HWTbXqwTsghzTxuZJdyPcQ43WdLpVMiMiLX1NC7GDiVnsX</t>
  </si>
  <si>
    <t>557164418863</t>
  </si>
  <si>
    <t>飞利浦美式咖啡机家用全自动小型专业现磨办公室带研磨一体机7761</t>
  </si>
  <si>
    <t>68681</t>
  </si>
  <si>
    <t>332.1196565404473</t>
  </si>
  <si>
    <t>141</t>
  </si>
  <si>
    <t>https://detail.tmall.com/item.htm?id=557164418863</t>
  </si>
  <si>
    <t>格米莱利爵专卖店</t>
  </si>
  <si>
    <t>RAzN8HWT5wkhzQfh1kBvDMvtKw4sRrvtzkbwfkKc2Wcu6t72Bpe</t>
  </si>
  <si>
    <t>737440749022</t>
  </si>
  <si>
    <t>格米莱CRM3813坦克M咖啡机半自动家用商用意式浓缩奶泡研磨一体机</t>
  </si>
  <si>
    <t>64849</t>
  </si>
  <si>
    <t>123.1425486830095</t>
  </si>
  <si>
    <t>155</t>
  </si>
  <si>
    <t>https://detail.tmall.com/item.htm?id=737440749022</t>
  </si>
  <si>
    <t>668901092859</t>
  </si>
  <si>
    <t>Delonghi/德龙ECAM450.76 探索者全自动进口咖啡机意式触屏现磨</t>
  </si>
  <si>
    <t>62211</t>
  </si>
  <si>
    <t>236.360219170435</t>
  </si>
  <si>
    <t>169</t>
  </si>
  <si>
    <t>113</t>
  </si>
  <si>
    <t>https://detail.tmall.com/item.htm?id=668901092859</t>
  </si>
  <si>
    <t>艾泽森旗舰店</t>
  </si>
  <si>
    <t>RAzN8HWRHuaxKonAsxiFvhysVM1ML38E2f2DGPKQ6tGrjSUPniP</t>
  </si>
  <si>
    <t>686846953864</t>
  </si>
  <si>
    <t>艾泽森3090小钢炮咖啡机商用意式半自动小型奶茶咖啡店研磨一体机</t>
  </si>
  <si>
    <t>60057</t>
  </si>
  <si>
    <t>139.303574411912</t>
  </si>
  <si>
    <t>183</t>
  </si>
  <si>
    <t>-116</t>
  </si>
  <si>
    <t>https://detail.tmall.com/item.htm?id=686846953864</t>
  </si>
  <si>
    <t>551809113355</t>
  </si>
  <si>
    <t>Welhome/惠家 KD-310全半自动意式家用商用专业高压打奶泡咖啡机</t>
  </si>
  <si>
    <t>57038</t>
  </si>
  <si>
    <t>159.841902932873</t>
  </si>
  <si>
    <t>197</t>
  </si>
  <si>
    <t>https://item.taobao.com/item.htm?id=551809113355</t>
  </si>
  <si>
    <t>658925386033</t>
  </si>
  <si>
    <t>[旗舰机皇] Delonghi/德龙EPAM960.75全自动咖啡机进口意式现磨</t>
  </si>
  <si>
    <t>55304</t>
  </si>
  <si>
    <t>272.1861357093866</t>
  </si>
  <si>
    <t>211</t>
  </si>
  <si>
    <t>-44</t>
  </si>
  <si>
    <t>https://item.taobao.com/item.htm?id=658925386033</t>
  </si>
  <si>
    <t>717332324336</t>
  </si>
  <si>
    <t>INNICOFFEE咖啡机家用小型带研磨一体半全自动意美式半商用摆摊</t>
  </si>
  <si>
    <t>53711</t>
  </si>
  <si>
    <t>179.6689455608359</t>
  </si>
  <si>
    <t>225</t>
  </si>
  <si>
    <t>https://detail.tmall.com/item.htm?id=717332324336</t>
  </si>
  <si>
    <t>汉美驰尚客专卖店</t>
  </si>
  <si>
    <t>RAzN8HWaNkBvwZyvupy6t3Es51xYAXHSk4EX5cxiMGnrwR6uvsq</t>
  </si>
  <si>
    <t>734570561008</t>
  </si>
  <si>
    <t>美国汉美驰咖啡机研磨一体家用办公小型半自动现磨美式意式咖啡机</t>
  </si>
  <si>
    <t>51753</t>
  </si>
  <si>
    <t>158.5545163752426</t>
  </si>
  <si>
    <t>239</t>
  </si>
  <si>
    <t>https://detail.tmall.com/item.htm?id=734570561008</t>
  </si>
  <si>
    <t>673272873202</t>
  </si>
  <si>
    <t>飞利浦黑珍珠意式全自动咖啡机EP1221家用小型便捷咖啡研磨一体机</t>
  </si>
  <si>
    <t>50056</t>
  </si>
  <si>
    <t>313.470077414415</t>
  </si>
  <si>
    <t>253</t>
  </si>
  <si>
    <t>https://detail.tmall.com/item.htm?id=673272873202</t>
  </si>
  <si>
    <t>690566723797</t>
  </si>
  <si>
    <t>美国UDI咖啡机家用小型全半自动一体机高压萃取意式浓缩打奶泡机</t>
  </si>
  <si>
    <t>48168</t>
  </si>
  <si>
    <t>259.3649094185504</t>
  </si>
  <si>
    <t>https://detail.tmall.com/item.htm?id=690566723797</t>
  </si>
  <si>
    <t>653060260280</t>
  </si>
  <si>
    <t>飞利浦意式咖啡机全自动家用小型研磨一体浓缩办公室打奶泡EP2124</t>
  </si>
  <si>
    <t>47641</t>
  </si>
  <si>
    <t>238.9161739292369</t>
  </si>
  <si>
    <t>281</t>
  </si>
  <si>
    <t>https://detail.tmall.com/item.htm?id=653060260280</t>
  </si>
  <si>
    <t>德龙咖啡馆</t>
  </si>
  <si>
    <t>RAzN8HWP7zK38f71FUR7Ji1PywN9yShho6fKCkDXNvRxzoMEHNL</t>
  </si>
  <si>
    <t>718161421160</t>
  </si>
  <si>
    <t>Delonghi/德龙 EC9865.M银骑士冷萃版研磨一体半自动咖啡机9355.M</t>
  </si>
  <si>
    <t>46172</t>
  </si>
  <si>
    <t>236.2380527984345</t>
  </si>
  <si>
    <t>295</t>
  </si>
  <si>
    <t>https://item.taobao.com/item.htm?id=718161421160</t>
  </si>
  <si>
    <t>昊京食品专营店</t>
  </si>
  <si>
    <t>RAzN8HWYmH6jCyonij7maxBgqYj2WjK37s2d97SK38FQxZuwkwQ</t>
  </si>
  <si>
    <t>657940543886</t>
  </si>
  <si>
    <t>星巴克胶囊咖啡Nespresso十口味100粒适用奈斯派索雀巢小米咖啡机</t>
  </si>
  <si>
    <t>98253</t>
  </si>
  <si>
    <t>1258.393918230334</t>
  </si>
  <si>
    <t>9</t>
  </si>
  <si>
    <t>https://detail.tmall.com/item.htm?id=657940543886</t>
  </si>
  <si>
    <t>694943275431</t>
  </si>
  <si>
    <t>De&amp;#39;Longhi/德龙S3 Pro 全自动咖啡机家用进口现磨触屏小型办公室</t>
  </si>
  <si>
    <t>266968</t>
  </si>
  <si>
    <t>254.5717461626389</t>
  </si>
  <si>
    <t>https://detail.tmall.com/item.htm?id=694943275431</t>
  </si>
  <si>
    <t>636721657907</t>
  </si>
  <si>
    <t>卡伦特触屏全自动一体家用蒸汽打奶泡美式意式现磨小型咖啡机07S</t>
  </si>
  <si>
    <t>185506</t>
  </si>
  <si>
    <t>286.5321679884975</t>
  </si>
  <si>
    <t>21</t>
  </si>
  <si>
    <t>https://detail.tmall.com/item.htm?id=636721657907</t>
  </si>
  <si>
    <t>646697030276</t>
  </si>
  <si>
    <t>飞利浦意式全自动云朵咖啡机EP3146小型家用奶泡研磨一体机送礼物</t>
  </si>
  <si>
    <t>146832</t>
  </si>
  <si>
    <t>137.5069803321917</t>
  </si>
  <si>
    <t>23</t>
  </si>
  <si>
    <t>https://detail.tmall.com/item.htm?id=646697030276</t>
  </si>
  <si>
    <t>IMDD海外专营店</t>
  </si>
  <si>
    <t>RAzN8HWRtYz8kEHJmo7mh8mrGpwki7oj69S8GJHZQeGZfbjC8Ud</t>
  </si>
  <si>
    <t>681765207670</t>
  </si>
  <si>
    <t>铂富/Breville BES878/876家用半自动意式咖啡机奶泡磨豆一体机器</t>
  </si>
  <si>
    <t>118345</t>
  </si>
  <si>
    <t>508.3535031410304</t>
  </si>
  <si>
    <t>51</t>
  </si>
  <si>
    <t>https://detail.tmall.com/item.htm?id=681765207670</t>
  </si>
  <si>
    <t>656821090235</t>
  </si>
  <si>
    <t>WEGA PEGASO意大利原装进口毕加索意式双头商用咖啡机高杯电控E61</t>
  </si>
  <si>
    <t>104877</t>
  </si>
  <si>
    <t>238.2560007202514</t>
  </si>
  <si>
    <t>66</t>
  </si>
  <si>
    <t>-126</t>
  </si>
  <si>
    <t>https://item.taobao.com/item.htm?id=656821090235</t>
  </si>
  <si>
    <t>700565923810</t>
  </si>
  <si>
    <t>Stelang/雪特朗ST-530咖啡机 家用商用全半自动意式现磨豆一体机</t>
  </si>
  <si>
    <t>96446</t>
  </si>
  <si>
    <t>207.1918595024262</t>
  </si>
  <si>
    <t>81</t>
  </si>
  <si>
    <t>https://detail.tmall.com/item.htm?id=700565923810</t>
  </si>
  <si>
    <t>德龙品质生活</t>
  </si>
  <si>
    <t>RAzN8HAffEshcZWRcGY8reCDnYuiL</t>
  </si>
  <si>
    <t>610114527124</t>
  </si>
  <si>
    <t>Delonghi/德龙 EC9335.M/9355/9865咖啡机半自动家用商用意式现磨</t>
  </si>
  <si>
    <t>86217</t>
  </si>
  <si>
    <t>296.2076215668541</t>
  </si>
  <si>
    <t>96</t>
  </si>
  <si>
    <t>https://item.taobao.com/item.htm?id=610114527124</t>
  </si>
  <si>
    <t>704052522972</t>
  </si>
  <si>
    <t>【新品】飞利浦美式全自动咖啡机HD7901家用小型研磨一体熊猫机</t>
  </si>
  <si>
    <t>78374</t>
  </si>
  <si>
    <t>295.2255244294656</t>
  </si>
  <si>
    <t>111</t>
  </si>
  <si>
    <t>-41</t>
  </si>
  <si>
    <t>https://detail.tmall.com/item.htm?id=704052522972</t>
  </si>
  <si>
    <t>631143425800</t>
  </si>
  <si>
    <t>Rancilio/兰奇里奥小s全半自动意式咖啡机家用小型商用 美式 浓缩</t>
  </si>
  <si>
    <t>74693</t>
  </si>
  <si>
    <t>216.1341983672949</t>
  </si>
  <si>
    <t>127</t>
  </si>
  <si>
    <t>https://detail.tmall.com/item.htm?id=631143425800</t>
  </si>
  <si>
    <t>655128375799</t>
  </si>
  <si>
    <t>Delonghi/德龙 ECZ351 咖啡机半自动泵压意式家用奶泡小型办公室</t>
  </si>
  <si>
    <t>68354</t>
  </si>
  <si>
    <t>282.970042373047</t>
  </si>
  <si>
    <t>142</t>
  </si>
  <si>
    <t>https://detail.tmall.com/item.htm?id=655128375799</t>
  </si>
  <si>
    <t>德颐电器旗舰店</t>
  </si>
  <si>
    <t>RAzN8HWVRi1K5FebruLXwx3ZWk3uK7aFkBrKUuEazMRz4Mp6Pbo</t>
  </si>
  <si>
    <t>44990504710</t>
  </si>
  <si>
    <t>德颐彩屏一键奶泡现磨全自动咖啡机家用商用办公室意式美式DE-320</t>
  </si>
  <si>
    <t>64683</t>
  </si>
  <si>
    <t>201.7175137124757</t>
  </si>
  <si>
    <t>156</t>
  </si>
  <si>
    <t>https://detail.tmall.com/item.htm?id=44990504710</t>
  </si>
  <si>
    <t>692747786892</t>
  </si>
  <si>
    <t>国行正品Breville/铂富BES878/876磨豆萃取一体家用意式咖啡机880</t>
  </si>
  <si>
    <t>62012</t>
  </si>
  <si>
    <t>352.4376175875916</t>
  </si>
  <si>
    <t>170</t>
  </si>
  <si>
    <t>https://detail.tmall.com/item.htm?id=692747786892</t>
  </si>
  <si>
    <t>692423033411</t>
  </si>
  <si>
    <t>国行联保Breville铂富BES876海盐白家用半自动意式压粉磨豆咖啡机</t>
  </si>
  <si>
    <t>59478</t>
  </si>
  <si>
    <t>450.4900174662451</t>
  </si>
  <si>
    <t>184</t>
  </si>
  <si>
    <t>https://detail.tmall.com/item.htm?id=692423033411</t>
  </si>
  <si>
    <t>672484610249</t>
  </si>
  <si>
    <t>德国Derlla全半自动意式浓缩咖啡机家用小型打奶泡机一体复古迷你</t>
  </si>
  <si>
    <t>56817</t>
  </si>
  <si>
    <t>413.3902885066511</t>
  </si>
  <si>
    <t>198</t>
  </si>
  <si>
    <t>https://detail.tmall.com/item.htm?id=672484610249</t>
  </si>
  <si>
    <t>695635645157</t>
  </si>
  <si>
    <t>Delonghi/德龙 D9 T进口意式浓缩家用办公花式奶咖全自动咖啡机</t>
  </si>
  <si>
    <t>55180</t>
  </si>
  <si>
    <t>376.157591093788</t>
  </si>
  <si>
    <t>212</t>
  </si>
  <si>
    <t>https://item.taobao.com/item.htm?id=695635645157</t>
  </si>
  <si>
    <t>海氏厨房电器旗舰店</t>
  </si>
  <si>
    <t>RAzN8HWWrmfSNLvQjz3Qput5jzknn4fVCydARjQWP7zb47twSsd</t>
  </si>
  <si>
    <t>748019945517</t>
  </si>
  <si>
    <t>海氏C5意式咖啡机家用小型浓缩全半自动研磨一体机办公室商用专业</t>
  </si>
  <si>
    <t>53695</t>
  </si>
  <si>
    <t>175.1615878280602</t>
  </si>
  <si>
    <t>226</t>
  </si>
  <si>
    <t>https://detail.tmall.com/item.htm?id=748019945517</t>
  </si>
  <si>
    <t>黎明咖啡</t>
  </si>
  <si>
    <t>RAzN8HWSHoncwDhVeaLh6tmPcVsZfcxJjSqHLZZZk2J7YqyrXMq</t>
  </si>
  <si>
    <t>651169679482</t>
  </si>
  <si>
    <t>KAFFA卡法REART咖啡机意式商用半自动单头双头预浸泡功能E61机头</t>
  </si>
  <si>
    <t>51723</t>
  </si>
  <si>
    <t>294.4012493697904</t>
  </si>
  <si>
    <t>240</t>
  </si>
  <si>
    <t>https://item.taobao.com/item.htm?id=651169679482</t>
  </si>
  <si>
    <t>580610234444</t>
  </si>
  <si>
    <t>EM-30将军 MILESTO/迈拓  意式半自动咖啡机双锅炉旋转泵商用家用</t>
  </si>
  <si>
    <t>49903</t>
  </si>
  <si>
    <t>285.1146073256113</t>
  </si>
  <si>
    <t>254</t>
  </si>
  <si>
    <t>https://detail.tmall.com/item.htm?id=580610234444</t>
  </si>
  <si>
    <t>艾瑞欧洲进口家电企业店</t>
  </si>
  <si>
    <t>RAzN8HWUfBnjH37EnpjVs15s4dndUNzCF7uJtRKLpbzKJ1Q1Kzy</t>
  </si>
  <si>
    <t>677431038499</t>
  </si>
  <si>
    <t>Delonghi/德龙 ECAM450.76探索者全自动咖啡机家用纯进口450.86</t>
  </si>
  <si>
    <t>48149</t>
  </si>
  <si>
    <t>448.7342584180935</t>
  </si>
  <si>
    <t>268</t>
  </si>
  <si>
    <t>https://item.taobao.com/item.htm?id=677431038499</t>
  </si>
  <si>
    <t>典雅品味馆</t>
  </si>
  <si>
    <t>RAzN8HB22yum22hSbJKgXSnnLfU5Lf</t>
  </si>
  <si>
    <t>683724933261</t>
  </si>
  <si>
    <t>Delonghi/德龙 EC9665.MEC9865家用意式美式浓缩一体半自动咖啡机</t>
  </si>
  <si>
    <t>47507</t>
  </si>
  <si>
    <t>179.99202778232</t>
  </si>
  <si>
    <t>282</t>
  </si>
  <si>
    <t>https://item.taobao.com/item.htm?id=683724933261</t>
  </si>
  <si>
    <t>664495306010</t>
  </si>
  <si>
    <t>primitalia浦美泰美式咖啡机家用全自动研磨一体机小型现磨办公室</t>
  </si>
  <si>
    <t>46144</t>
  </si>
  <si>
    <t>279.5176703144486</t>
  </si>
  <si>
    <t>296</t>
  </si>
  <si>
    <t>https://detail.tmall.com/item.htm?id=664495306010</t>
  </si>
  <si>
    <t>604009576092</t>
  </si>
  <si>
    <t>星巴克胶囊咖啡瑞士进口雀巢nespresso小米咖啡机适用意式美式</t>
  </si>
  <si>
    <t>96216</t>
  </si>
  <si>
    <t>1206.353620354641</t>
  </si>
  <si>
    <t>https://item.taobao.com/item.htm?id=604009576092</t>
  </si>
  <si>
    <t>677932492949</t>
  </si>
  <si>
    <t>Barsetto/百胜图V1咖啡机商用小型半自动家用意式研磨豆一体机</t>
  </si>
  <si>
    <t>254568</t>
  </si>
  <si>
    <t>154.0141317247157</t>
  </si>
  <si>
    <t>https://detail.tmall.com/item.htm?id=677932492949</t>
  </si>
  <si>
    <t>182410</t>
  </si>
  <si>
    <t>308.3358715480744</t>
  </si>
  <si>
    <t>675134339427</t>
  </si>
  <si>
    <t>柏翠PE3899双锅炉意式全半自动咖啡机家用奶泡机研磨一体机小型</t>
  </si>
  <si>
    <t>146248</t>
  </si>
  <si>
    <t>232.2767196498731</t>
  </si>
  <si>
    <t>37</t>
  </si>
  <si>
    <t>https://detail.tmall.com/item.htm?id=675134339427</t>
  </si>
  <si>
    <t>LELIT海外旗舰店</t>
  </si>
  <si>
    <t>RAzN8HWK71it2nbdWfBKRQCqksD9qBdT3GGQM6EFKbLogwtdfgw</t>
  </si>
  <si>
    <t>687368216915</t>
  </si>
  <si>
    <t>意大利Lelit Bianca V3变压双锅炉E61半自动意式咖啡机小型家用</t>
  </si>
  <si>
    <t>117486</t>
  </si>
  <si>
    <t>194.3344042753465</t>
  </si>
  <si>
    <t>https://detail.tmall.com/item.htm?id=687368216915</t>
  </si>
  <si>
    <t>648877384718</t>
  </si>
  <si>
    <t>诺瓦咖啡机Nuova appia life意大利进口双头商用半自动电控高杯版</t>
  </si>
  <si>
    <t>103877</t>
  </si>
  <si>
    <t>284.5607113908333</t>
  </si>
  <si>
    <t>67</t>
  </si>
  <si>
    <t>https://item.taobao.com/item.htm?id=648877384718</t>
  </si>
  <si>
    <t>610217503702</t>
  </si>
  <si>
    <t>Delonghi/德龙ECAM450.86.T冷萃版探索者450.76家用全自动咖啡机</t>
  </si>
  <si>
    <t>95417</t>
  </si>
  <si>
    <t>562.5010479517582</t>
  </si>
  <si>
    <t>https://item.taobao.com/item.htm?id=610217503702</t>
  </si>
  <si>
    <t>739780784658</t>
  </si>
  <si>
    <t>卡伦特小型办公室研磨一体全自动家用意式美式2023新款咖啡机M7Z</t>
  </si>
  <si>
    <t>85635</t>
  </si>
  <si>
    <t>269.5478151114403</t>
  </si>
  <si>
    <t>97</t>
  </si>
  <si>
    <t>https://detail.tmall.com/item.htm?id=739780784658</t>
  </si>
  <si>
    <t>745308338687</t>
  </si>
  <si>
    <t>黑鹰eagle one Prima 单头家用商用半自动咖啡机电控双锅炉旋转泵</t>
  </si>
  <si>
    <t>78066</t>
  </si>
  <si>
    <t>387.3979675711531</t>
  </si>
  <si>
    <t>112</t>
  </si>
  <si>
    <t>-127</t>
  </si>
  <si>
    <t>https://item.taobao.com/item.htm?id=745308338687</t>
  </si>
  <si>
    <t>682786576551</t>
  </si>
  <si>
    <t>Delonghi/德龙 咖啡机EC885.CR不锈钢打奶泡家用半自动办公室意式</t>
  </si>
  <si>
    <t>74151</t>
  </si>
  <si>
    <t>164.3113145489433</t>
  </si>
  <si>
    <t>54</t>
  </si>
  <si>
    <t>https://detail.tmall.com/item.htm?id=682786576551</t>
  </si>
  <si>
    <t>647183111593</t>
  </si>
  <si>
    <t>ROCKET火箭APPARTAMENTO半自动咖啡机意大利家用APP水箱版单头</t>
  </si>
  <si>
    <t>67922</t>
  </si>
  <si>
    <t>198.2181020959956</t>
  </si>
  <si>
    <t>143</t>
  </si>
  <si>
    <t>https://detail.tmall.com/item.htm?id=647183111593</t>
  </si>
  <si>
    <t>679869663402</t>
  </si>
  <si>
    <t>Barsetto/百胜图M2咖啡机家用小型半自动意式浓缩蒸汽打奶泡一体</t>
  </si>
  <si>
    <t>64486</t>
  </si>
  <si>
    <t>243.5699929259907</t>
  </si>
  <si>
    <t>157</t>
  </si>
  <si>
    <t>https://detail.tmall.com/item.htm?id=679869663402</t>
  </si>
  <si>
    <t>大秦礼品馆</t>
  </si>
  <si>
    <t>RAzN8HWJwnzMxvdwVhYCdumQ3sxepiyYR4hBvhJSNYbDs8bXAiV</t>
  </si>
  <si>
    <t>752672198968</t>
  </si>
  <si>
    <t>61662</t>
  </si>
  <si>
    <t>346.0826738924653</t>
  </si>
  <si>
    <t>171</t>
  </si>
  <si>
    <t>https://item.taobao.com/item.htm?id=752672198968</t>
  </si>
  <si>
    <t>652787134947</t>
  </si>
  <si>
    <t>wega pegaso毕加索半自动商用咖啡机意大利原装进口意式双/单头</t>
  </si>
  <si>
    <t>59390</t>
  </si>
  <si>
    <t>333.5994590717414</t>
  </si>
  <si>
    <t>185</t>
  </si>
  <si>
    <t>https://item.taobao.com/item.htm?id=652787134947</t>
  </si>
  <si>
    <t>677990902736</t>
  </si>
  <si>
    <t>艾泽森3089小钢炮咖啡机研磨一体商用意式双锅炉半自动小型奶茶店</t>
  </si>
  <si>
    <t>56695</t>
  </si>
  <si>
    <t>147.4218892142938</t>
  </si>
  <si>
    <t>199</t>
  </si>
  <si>
    <t>https://detail.tmall.com/item.htm?id=677990902736</t>
  </si>
  <si>
    <t>701912771011</t>
  </si>
  <si>
    <t>54936</t>
  </si>
  <si>
    <t>664.8051703735687</t>
  </si>
  <si>
    <t>213</t>
  </si>
  <si>
    <t>https://item.taobao.com/item.htm?id=701912771011</t>
  </si>
  <si>
    <t>735433967348</t>
  </si>
  <si>
    <t>柏翠PE3690复古浓缩意式咖啡机家用奶泡全半自动小型一体商用美式</t>
  </si>
  <si>
    <t>53686</t>
  </si>
  <si>
    <t>291.1380929012247</t>
  </si>
  <si>
    <t>227</t>
  </si>
  <si>
    <t>https://detail.tmall.com/item.htm?id=735433967348</t>
  </si>
  <si>
    <t>656852769880</t>
  </si>
  <si>
    <t>KAFFA卡法咖啡机REART意式商用半自动单头双头预浸泡功能E61机头</t>
  </si>
  <si>
    <t>51719</t>
  </si>
  <si>
    <t>201.8113427038834</t>
  </si>
  <si>
    <t>241</t>
  </si>
  <si>
    <t>https://item.taobao.com/item.htm?id=656852769880</t>
  </si>
  <si>
    <t>世雅官方企业店</t>
  </si>
  <si>
    <t>RAzN8HWTjjRqY8f7dJoCPQ83wukbAKECg9sjanvitgbVapVUhcu</t>
  </si>
  <si>
    <t>563716215701</t>
  </si>
  <si>
    <t>速溶咖啡机商用全自动奶茶一体多功能美式办公果汁饮料机冷热意式</t>
  </si>
  <si>
    <t>49875</t>
  </si>
  <si>
    <t>357.4634745260291</t>
  </si>
  <si>
    <t>255</t>
  </si>
  <si>
    <t>https://item.taobao.com/item.htm?id=563716215701</t>
  </si>
  <si>
    <t>尚尼电器旗舰店</t>
  </si>
  <si>
    <t>RAzN8HWR9mrACdVr66hZUkZYLioAHyFYQuPGS9UhZK2Lx37xyrF</t>
  </si>
  <si>
    <t>734378365402</t>
  </si>
  <si>
    <t>意大利尚尼半自动意式咖啡机一键萃取家用小型蒸汽打奶泡浓缩咖啡</t>
  </si>
  <si>
    <t>48101</t>
  </si>
  <si>
    <t>204.4384246901944</t>
  </si>
  <si>
    <t>269</t>
  </si>
  <si>
    <t>https://detail.tmall.com/item.htm?id=734378365402</t>
  </si>
  <si>
    <t>626737435231</t>
  </si>
  <si>
    <t>Dr.coffee咖博士H10全自动意式美式家用研磨一体机商用办公咖啡机</t>
  </si>
  <si>
    <t>47460</t>
  </si>
  <si>
    <t>315.3233282317491</t>
  </si>
  <si>
    <t>283</t>
  </si>
  <si>
    <t>https://detail.tmall.com/item.htm?id=626737435231</t>
  </si>
  <si>
    <t>广州迈拓咖啡机</t>
  </si>
  <si>
    <t>RAzN8HAeeUxaJk5v8gzVPTME79A9K</t>
  </si>
  <si>
    <t>744594378417</t>
  </si>
  <si>
    <t>迈拓EM-60坦途TANTU双锅炉旋转泵意式半自动咖啡机小商用</t>
  </si>
  <si>
    <t>46139</t>
  </si>
  <si>
    <t>144.7286937455765</t>
  </si>
  <si>
    <t>297</t>
  </si>
  <si>
    <t>https://item.taobao.com/item.htm?id=744594378417</t>
  </si>
  <si>
    <t>RAzN8HWLT3Ag6MR8hdsAZZDShjVE5q4tpiWCKRefxGSuWeBNZnB</t>
  </si>
  <si>
    <t>708839668879</t>
  </si>
  <si>
    <t>【216元任选6件】星巴克胶囊咖啡Nespresso胶囊（1月27左右发货）</t>
  </si>
  <si>
    <t>95964</t>
  </si>
  <si>
    <t>636.0558211501415</t>
  </si>
  <si>
    <t>https://detail.tmall.com/item.htm?id=708839668879</t>
  </si>
  <si>
    <t>81994</t>
  </si>
  <si>
    <t>851.9025049805034</t>
  </si>
  <si>
    <t>-18</t>
  </si>
  <si>
    <t>653347251498</t>
  </si>
  <si>
    <t>254187</t>
  </si>
  <si>
    <t>308.9064737708097</t>
  </si>
  <si>
    <t>https://detail.tmall.com/item.htm?id=653347251498</t>
  </si>
  <si>
    <t>652735617080</t>
  </si>
  <si>
    <t>意大利百胜图02二代双锅炉意式半自动咖啡机带现研磨豆一体家用商</t>
  </si>
  <si>
    <t>175881</t>
  </si>
  <si>
    <t>291.4049357921699</t>
  </si>
  <si>
    <t>https://detail.tmall.com/item.htm?id=652735617080</t>
  </si>
  <si>
    <t>726228506203</t>
  </si>
  <si>
    <t>小熊咖啡机意式浓缩家用小型全半自动蒸汽打奶泡一体机美式咖啡壶</t>
  </si>
  <si>
    <t>144644</t>
  </si>
  <si>
    <t>320.8155058309031</t>
  </si>
  <si>
    <t>https://detail.tmall.com/item.htm?id=726228506203</t>
  </si>
  <si>
    <t>752561197389</t>
  </si>
  <si>
    <t>格米莱CRM3007L咖啡机小型家用意式半自动双锅炉办公室奶茶店商用</t>
  </si>
  <si>
    <t>117087</t>
  </si>
  <si>
    <t>347.1738130455646</t>
  </si>
  <si>
    <t>https://detail.tmall.com/item.htm?id=752561197389</t>
  </si>
  <si>
    <t>103266</t>
  </si>
  <si>
    <t>249.6637217574878</t>
  </si>
  <si>
    <t>711281881102</t>
  </si>
  <si>
    <t>Barsetto/百胜图PRO1泰坦咖啡机半自动意式变压萃取研磨豆一体机</t>
  </si>
  <si>
    <t>95151</t>
  </si>
  <si>
    <t>97.74657554404915</t>
  </si>
  <si>
    <t>83</t>
  </si>
  <si>
    <t>https://detail.tmall.com/item.htm?id=711281881102</t>
  </si>
  <si>
    <t>650438122548</t>
  </si>
  <si>
    <t>飞利浦意式全自动云朵咖啡机EP5144小型家用办公室打奶泡研磨一体</t>
  </si>
  <si>
    <t>85200</t>
  </si>
  <si>
    <t>251.6719442890594</t>
  </si>
  <si>
    <t>98</t>
  </si>
  <si>
    <t>https://detail.tmall.com/item.htm?id=650438122548</t>
  </si>
  <si>
    <t>网易严选旗舰店</t>
  </si>
  <si>
    <t>RAzN8HWXz6vJn9UERe1GWuwDEB8E2e7U5KTMmARptyoMYbgQUzy</t>
  </si>
  <si>
    <t>573034645047</t>
  </si>
  <si>
    <t>网易严选意式咖啡机家用小型全半自动浓缩复古蒸汽式美萃取打奶泡</t>
  </si>
  <si>
    <t>77880</t>
  </si>
  <si>
    <t>317.5636972328804</t>
  </si>
  <si>
    <t>https://detail.tmall.com/item.htm?id=573034645047</t>
  </si>
  <si>
    <t>北京科米电子商务</t>
  </si>
  <si>
    <t>RAzN8HWW9c5ugp9ErsrAeirVi3WqdxxywV7KuSbXX7qNKTiriYR</t>
  </si>
  <si>
    <t>681742318899</t>
  </si>
  <si>
    <t>小米米家胶囊咖啡机家用自动智能便携小型迷你台式意式浓缩胶囊机</t>
  </si>
  <si>
    <t>74024</t>
  </si>
  <si>
    <t>445.0517258439709</t>
  </si>
  <si>
    <t>129</t>
  </si>
  <si>
    <t>https://item.taobao.com/item.htm?id=681742318899</t>
  </si>
  <si>
    <t>卡梭君撷专卖店</t>
  </si>
  <si>
    <t>RAzN8HWR9yAFHqtrLNLZTxo3s4kFZTpcRAahG3UV2ycr8fJQxrT</t>
  </si>
  <si>
    <t>719513139224</t>
  </si>
  <si>
    <t>caso卡梭家用小型意式全自动咖啡机办公室用咖啡研磨冲泡一体机</t>
  </si>
  <si>
    <t>67742</t>
  </si>
  <si>
    <t>205.8030033909472</t>
  </si>
  <si>
    <t>144</t>
  </si>
  <si>
    <t>https://detail.tmall.com/item.htm?id=719513139224</t>
  </si>
  <si>
    <t>小米官方旗舰店</t>
  </si>
  <si>
    <t>RAzN8HWamrLTP26T5cu1T83EigUkCJq9TGQAoU6BK4UUBDF6Xwc</t>
  </si>
  <si>
    <t>623588108911</t>
  </si>
  <si>
    <t>小米米家胶囊咖啡机家用小型自动打咖啡办公室饮料机官方旗舰正品</t>
  </si>
  <si>
    <t>64480</t>
  </si>
  <si>
    <t>342.9044108435157</t>
  </si>
  <si>
    <t>158</t>
  </si>
  <si>
    <t>-74</t>
  </si>
  <si>
    <t>https://detail.tmall.com/item.htm?id=623588108911</t>
  </si>
  <si>
    <t>Evanshu海外专营店</t>
  </si>
  <si>
    <t>RAzN8HWaZkVvfD7Y12M7QsRYWckuHx6JwTjqmBAjWjQTKBpGDFh</t>
  </si>
  <si>
    <t>696585422796</t>
  </si>
  <si>
    <t>Nespresso/奈斯派索Creatista pro J620全自动雀巢胶囊咖啡机J520</t>
  </si>
  <si>
    <t>61501</t>
  </si>
  <si>
    <t>383.3165134450667</t>
  </si>
  <si>
    <t>172</t>
  </si>
  <si>
    <t>https://detail.tmall.com/item.htm?id=696585422796</t>
  </si>
  <si>
    <t>696020832957</t>
  </si>
  <si>
    <t>Delonghi/德龙咖啡机全自动进口意式浓缩美式家用办公E max/E pro</t>
  </si>
  <si>
    <t>59253</t>
  </si>
  <si>
    <t>331.1103216190418</t>
  </si>
  <si>
    <t>186</t>
  </si>
  <si>
    <t>https://item.taobao.com/item.htm?id=696020832957</t>
  </si>
  <si>
    <t>618651127284</t>
  </si>
  <si>
    <t>Petrus/柏翠 复古咖啡机家用小型全半自动意式浓缩商用蒸汽打奶泡</t>
  </si>
  <si>
    <t>56690</t>
  </si>
  <si>
    <t>355.0644507289458</t>
  </si>
  <si>
    <t>200</t>
  </si>
  <si>
    <t>https://detail.tmall.com/item.htm?id=618651127284</t>
  </si>
  <si>
    <t>676177228775</t>
  </si>
  <si>
    <t>Stelang/雪特朗AC-517K胶囊咖啡机 全半自动家用意式美式磨豆一体</t>
  </si>
  <si>
    <t>54912</t>
  </si>
  <si>
    <t>265.0969726556472</t>
  </si>
  <si>
    <t>214</t>
  </si>
  <si>
    <t>https://detail.tmall.com/item.htm?id=676177228775</t>
  </si>
  <si>
    <t>ALMKOPi阿莱蔓旗舰店</t>
  </si>
  <si>
    <t>RAzN8HWZaRQGBwwDp8JWfxnsN8nHH2YpBEcgKVUEkHCSmQje27e</t>
  </si>
  <si>
    <t>694759370927</t>
  </si>
  <si>
    <t>阿莱蔓2/2s 手压咖啡机家用 小型商用意式浓缩咖啡機阿莱曼拉杆式</t>
  </si>
  <si>
    <t>53523</t>
  </si>
  <si>
    <t>175.0869939286713</t>
  </si>
  <si>
    <t>228</t>
  </si>
  <si>
    <t>https://detail.tmall.com/item.htm?id=694759370927</t>
  </si>
  <si>
    <t>merol美宜侬旗舰店</t>
  </si>
  <si>
    <t>RAzN8HWNozW4A9ddYM1oPhzeEkAvo2auL7B7UDZox3p8NR6tK29</t>
  </si>
  <si>
    <t>704312174963</t>
  </si>
  <si>
    <t>Merol/美宜侬Me-715全自动咖啡机家用研磨一体意式浓缩蒸汽奶泡</t>
  </si>
  <si>
    <t>51568</t>
  </si>
  <si>
    <t>165.6033535394619</t>
  </si>
  <si>
    <t>242</t>
  </si>
  <si>
    <t>https://detail.tmall.com/item.htm?id=704312174963</t>
  </si>
  <si>
    <t>731397848635</t>
  </si>
  <si>
    <t>DeLonghi/德龙 EC9255.M半自动家用咖啡机冷萃版研磨一体台式现磨</t>
  </si>
  <si>
    <t>49872</t>
  </si>
  <si>
    <t>396.5481967573107</t>
  </si>
  <si>
    <t>256</t>
  </si>
  <si>
    <t>https://detail.tmall.com/item.htm?id=731397848635</t>
  </si>
  <si>
    <t>599826817054</t>
  </si>
  <si>
    <t>【双12价】德龙ECAM290.61/290.81一键触控奶咖咖啡机E LattePro</t>
  </si>
  <si>
    <t>48095</t>
  </si>
  <si>
    <t>378.0715160382883</t>
  </si>
  <si>
    <t>270</t>
  </si>
  <si>
    <t>https://detail.tmall.com/item.htm?id=599826817054</t>
  </si>
  <si>
    <t>691442929188</t>
  </si>
  <si>
    <t>Delonghi/德龙 ECAM450.86.T新款家用全自动意式咖啡机 冷萃中文</t>
  </si>
  <si>
    <t>47420</t>
  </si>
  <si>
    <t>681.7302056215593</t>
  </si>
  <si>
    <t>284</t>
  </si>
  <si>
    <t>https://item.taobao.com/item.htm?id=691442929188</t>
  </si>
  <si>
    <t>朗德生活馆</t>
  </si>
  <si>
    <t>RAzN8HWTSb3ZFWZZF7EmcVUx4pXXMjraxs1mnCCnPu3tgW2jgLD</t>
  </si>
  <si>
    <t>576002307350</t>
  </si>
  <si>
    <t>Delonghi/德龙 ECAM22.110.SB家用250.23/33进口全自动咖啡机除垢</t>
  </si>
  <si>
    <t>46134</t>
  </si>
  <si>
    <t>311.4087157574174</t>
  </si>
  <si>
    <t>298</t>
  </si>
  <si>
    <t>https://item.taobao.com/item.htm?id=576002307350</t>
  </si>
  <si>
    <t>89356</t>
  </si>
  <si>
    <t>539.0103273802011</t>
  </si>
  <si>
    <t>704085889093</t>
  </si>
  <si>
    <t>【新品】De&amp;#39;Longhi/德龙冷萃版探索者ECAM450.86全自动咖啡机进口</t>
  </si>
  <si>
    <t>253628</t>
  </si>
  <si>
    <t>106.6010957383379</t>
  </si>
  <si>
    <t>https://detail.tmall.com/item.htm?id=704085889093</t>
  </si>
  <si>
    <t>668479757611</t>
  </si>
  <si>
    <t>170453</t>
  </si>
  <si>
    <t>360.0270623952176</t>
  </si>
  <si>
    <t>24</t>
  </si>
  <si>
    <t>https://detail.tmall.com/item.htm?id=668479757611</t>
  </si>
  <si>
    <t>654302352773</t>
  </si>
  <si>
    <t>Delonghi/德龙咖啡机E Pro进口全自动意式现磨家用小型办公室</t>
  </si>
  <si>
    <t>137359</t>
  </si>
  <si>
    <t>142.2635569667479</t>
  </si>
  <si>
    <t>39</t>
  </si>
  <si>
    <t>https://detail.tmall.com/item.htm?id=654302352773</t>
  </si>
  <si>
    <t>falata旗舰店</t>
  </si>
  <si>
    <t>RAzN8HWZDwSXh4don4tvAfVWAFra3FoQAEZTYZU1HXwewq6rqjS</t>
  </si>
  <si>
    <t>704097767904</t>
  </si>
  <si>
    <t>falata法拉塔小金杯咖啡机家用小型意式半自动浓缩咖啡机办公室用</t>
  </si>
  <si>
    <t>115926</t>
  </si>
  <si>
    <t>330.2885704687515</t>
  </si>
  <si>
    <t>https://detail.tmall.com/item.htm?id=704097767904</t>
  </si>
  <si>
    <t>693208855475</t>
  </si>
  <si>
    <t>Delonghi/德龙 EC9665.M/9865冷萃银骑士家商用半自动咖啡机研磨</t>
  </si>
  <si>
    <t>101833</t>
  </si>
  <si>
    <t>248.1243608483131</t>
  </si>
  <si>
    <t>-59</t>
  </si>
  <si>
    <t>https://item.taobao.com/item.htm?id=693208855475</t>
  </si>
  <si>
    <t>诗诺旗舰店</t>
  </si>
  <si>
    <t>RAzN8HWS2oRX7GtXcMSdmzrmfnaFJN8vmmckSntLqZ5FGSPTz3K</t>
  </si>
  <si>
    <t>585469934561</t>
  </si>
  <si>
    <t>诗诺全自动商用冷热咖啡奶茶一体机果汁机办公室自助餐店自助扫码</t>
  </si>
  <si>
    <t>94042</t>
  </si>
  <si>
    <t>84</t>
  </si>
  <si>
    <t>https://detail.tmall.com/item.htm?id=585469934561</t>
  </si>
  <si>
    <t>747898779934</t>
  </si>
  <si>
    <t>Delonghi/德龙 EC885.CR不锈钢家用办公室意式半自动意式咖啡机</t>
  </si>
  <si>
    <t>84467</t>
  </si>
  <si>
    <t>545.281830757791</t>
  </si>
  <si>
    <t>99</t>
  </si>
  <si>
    <t>https://item.taobao.com/item.htm?id=747898779934</t>
  </si>
  <si>
    <t>739115246591</t>
  </si>
  <si>
    <t>飞利浦咖啡机双子星意式新年礼物家用2218半自动胶囊研磨一体化</t>
  </si>
  <si>
    <t>77248</t>
  </si>
  <si>
    <t>81.92359247455076</t>
  </si>
  <si>
    <t>114</t>
  </si>
  <si>
    <t>https://detail.tmall.com/item.htm?id=739115246591</t>
  </si>
  <si>
    <t>687709117314</t>
  </si>
  <si>
    <t>意大利原装进口LELIT Mara X 半自动意式浓缩咖啡机小型家用E61</t>
  </si>
  <si>
    <t>71916</t>
  </si>
  <si>
    <t>185.9703159935028</t>
  </si>
  <si>
    <t>130</t>
  </si>
  <si>
    <t>-54</t>
  </si>
  <si>
    <t>https://detail.tmall.com/item.htm?id=687709117314</t>
  </si>
  <si>
    <t>左左摩旗舰店</t>
  </si>
  <si>
    <t>RAzN8HWUpKGFCKFTB432vmSVcunpmrQem85XY5ot8Z9cjywij7h</t>
  </si>
  <si>
    <t>675004519673</t>
  </si>
  <si>
    <t>左左摩咖啡机家用全半自动意式研磨蒸汽打奶泡一体机小型商用现磨</t>
  </si>
  <si>
    <t>67714</t>
  </si>
  <si>
    <t>216.881254561408</t>
  </si>
  <si>
    <t>145</t>
  </si>
  <si>
    <t>https://detail.tmall.com/item.htm?id=675004519673</t>
  </si>
  <si>
    <t>676708057408</t>
  </si>
  <si>
    <t>国行联保Breville铂富BES880/878海盐白家用小型意式半自动咖啡机</t>
  </si>
  <si>
    <t>63895</t>
  </si>
  <si>
    <t>327.5617040884839</t>
  </si>
  <si>
    <t>159</t>
  </si>
  <si>
    <t>https://item.taobao.com/item.htm?id=676708057408</t>
  </si>
  <si>
    <t>668573254403</t>
  </si>
  <si>
    <t>Delonghi/德龙EC9355小型意式家用咖啡机半自动蒸汽磨豆一体机</t>
  </si>
  <si>
    <t>61445</t>
  </si>
  <si>
    <t>357.4198439436796</t>
  </si>
  <si>
    <t>https://detail.tmall.com/item.htm?id=668573254403</t>
  </si>
  <si>
    <t>696628152758</t>
  </si>
  <si>
    <t>Delonghi/德龙 S2全自动咖啡机进口家用意式美式现磨黑咖啡办公室</t>
  </si>
  <si>
    <t>59242</t>
  </si>
  <si>
    <t>264.659574267544</t>
  </si>
  <si>
    <t>187</t>
  </si>
  <si>
    <t>https://item.taobao.com/item.htm?id=696628152758</t>
  </si>
  <si>
    <t>696260065734</t>
  </si>
  <si>
    <t>Stelang/雪特朗ST-520咖啡机小型家用意式全半自动研磨一体机商用</t>
  </si>
  <si>
    <t>56476</t>
  </si>
  <si>
    <t>197.2953388948757</t>
  </si>
  <si>
    <t>https://detail.tmall.com/item.htm?id=696260065734</t>
  </si>
  <si>
    <t>松下电器旗舰店</t>
  </si>
  <si>
    <t>RAzN8HWPsfBA9mYbCqAvPRsVN3RjcVZUKcp4mEFM3ZBwAN6hKDj</t>
  </si>
  <si>
    <t>687113637552</t>
  </si>
  <si>
    <t>松下美式咖啡机A702家用全自动研磨现煮浓缩冲泡智能保温豆粉两用</t>
  </si>
  <si>
    <t>54837</t>
  </si>
  <si>
    <t>458.5944452088392</t>
  </si>
  <si>
    <t>215</t>
  </si>
  <si>
    <t>https://detail.tmall.com/item.htm?id=687113637552</t>
  </si>
  <si>
    <t>749099556666</t>
  </si>
  <si>
    <t>施耐德双加热商用半全自动咖啡机家用意式小型研磨一体机浓缩奶泡</t>
  </si>
  <si>
    <t>53238</t>
  </si>
  <si>
    <t>86.3064140472976</t>
  </si>
  <si>
    <t>229</t>
  </si>
  <si>
    <t>https://detail.tmall.com/item.htm?id=749099556666</t>
  </si>
  <si>
    <t>mocano旗舰店</t>
  </si>
  <si>
    <t>RAzN8HWRSicQzZeo8D7WgQ8N6t3EzTqwduTfbQ9Qqcr2WppJSmi</t>
  </si>
  <si>
    <t>709843376094</t>
  </si>
  <si>
    <t>MOCANO咖啡机小型家用全半自动美式意式浓缩蒸汽冲泡一体机打奶泡</t>
  </si>
  <si>
    <t>51348</t>
  </si>
  <si>
    <t>265.0647069893608</t>
  </si>
  <si>
    <t>243</t>
  </si>
  <si>
    <t>https://detail.tmall.com/item.htm?id=709843376094</t>
  </si>
  <si>
    <t>730027762230</t>
  </si>
  <si>
    <t>Barsetto百胜图mini咖啡机家用小型意式浓缩小钢炮全半自动奶泡机</t>
  </si>
  <si>
    <t>49704</t>
  </si>
  <si>
    <t>273.5186578198801</t>
  </si>
  <si>
    <t>257</t>
  </si>
  <si>
    <t>https://detail.tmall.com/item.htm?id=730027762230</t>
  </si>
  <si>
    <t>edenpure宜盾普旗舰店</t>
  </si>
  <si>
    <t>RAzN8HWTbmoDE93P5H3zTFn5VdCAUk11svxXBnQFN5eEZ6zhC73</t>
  </si>
  <si>
    <t>731253672882</t>
  </si>
  <si>
    <t>【新品】美国宜盾普意式咖啡机小型家用全半自动浓缩蒸汽打奶泡</t>
  </si>
  <si>
    <t>48082</t>
  </si>
  <si>
    <t>314.0675264504126</t>
  </si>
  <si>
    <t>271</t>
  </si>
  <si>
    <t>https://detail.tmall.com/item.htm?id=731253672882</t>
  </si>
  <si>
    <t>713625812867</t>
  </si>
  <si>
    <t>卡伦特触屏咖啡机小型家用全自动一体研磨美式意式奶泡办公用X7T</t>
  </si>
  <si>
    <t>47410</t>
  </si>
  <si>
    <t>387.1918086979376</t>
  </si>
  <si>
    <t>285</t>
  </si>
  <si>
    <t>https://detail.tmall.com/item.htm?id=713625812867</t>
  </si>
  <si>
    <t>557707955203</t>
  </si>
  <si>
    <t>国行两年质保 进口雀巢Nespresso胶囊咖啡机Essenza Mini C30 D30</t>
  </si>
  <si>
    <t>45800</t>
  </si>
  <si>
    <t>573.9879713485511</t>
  </si>
  <si>
    <t>299</t>
  </si>
  <si>
    <t>https://item.taobao.com/item.htm?id=557707955203</t>
  </si>
  <si>
    <t>83216</t>
  </si>
  <si>
    <t>955.0323626154064</t>
  </si>
  <si>
    <t>81572</t>
  </si>
  <si>
    <t>415.4608490336589</t>
  </si>
  <si>
    <t>可牛食品专营店</t>
  </si>
  <si>
    <t>RAzN8HWaut1eoi1xcutLiKq6ib5p7DpoDLtQTtG1ZSewzQodZVR</t>
  </si>
  <si>
    <t>634824053985</t>
  </si>
  <si>
    <t>多趣酷思星巴克胶囊咖啡 兼容雀巢多趣酷思dolce gusto胶囊咖啡机</t>
  </si>
  <si>
    <t>81426</t>
  </si>
  <si>
    <t>1075.281361786078</t>
  </si>
  <si>
    <t>https://detail.tmall.com/item.htm?id=634824053985</t>
  </si>
  <si>
    <t>757197842383</t>
  </si>
  <si>
    <t>【超级年货节】隅田川龙年胶囊咖啡机年货礼盒</t>
  </si>
  <si>
    <t>80937</t>
  </si>
  <si>
    <t>439.1407872001117</t>
  </si>
  <si>
    <t>https://detail.tmall.com/item.htm?id=757197842383</t>
  </si>
  <si>
    <t>超爱冰拿铁</t>
  </si>
  <si>
    <t>RAzN8HWSU7f6TijvBzqTRs3SmbXdhHr9WNG2yqoHF1ApNrbQCuS</t>
  </si>
  <si>
    <t>638375507400</t>
  </si>
  <si>
    <t>日本进口AGF blendy布兰迪胶囊速溶黑咖啡浓缩液无蔗糖冰美式学生</t>
  </si>
  <si>
    <t>78440</t>
  </si>
  <si>
    <t>1560.572832089804</t>
  </si>
  <si>
    <t>https://item.taobao.com/item.htm?id=638375507400</t>
  </si>
  <si>
    <t>RAzN8HWZmMEwijCtqh1zrxbVGSCbkXd5PCRMD4BAo7cJwAqj6Cc</t>
  </si>
  <si>
    <t>750813896038</t>
  </si>
  <si>
    <t>illy法国进口浓缩兼容胶囊意式美式黑咖啡适配nespresso咖啡机</t>
  </si>
  <si>
    <t>76653</t>
  </si>
  <si>
    <t>884.1500523257521</t>
  </si>
  <si>
    <t>https://detail.tmall.com/item.htm?id=750813896038</t>
  </si>
  <si>
    <t>领鲜本色旗舰店</t>
  </si>
  <si>
    <t>RAzN8HWWg4GnYUteewf12qGDnveRftJ1E6zSfmz5uFL5AXJb77Y</t>
  </si>
  <si>
    <t>737911115988</t>
  </si>
  <si>
    <t>【90天口粮】领鲜本色胶囊咖啡机108颗咖啡中度烘焙0添加香浓醇厚</t>
  </si>
  <si>
    <t>73936</t>
  </si>
  <si>
    <t>626.0828116120188</t>
  </si>
  <si>
    <t>https://detail.tmall.com/item.htm?id=737911115988</t>
  </si>
  <si>
    <t>18201084114</t>
  </si>
  <si>
    <t>原装进口星巴克雀巢胶囊咖啡适用nespresso小米胶囊机器100粒美式</t>
  </si>
  <si>
    <t>72995</t>
  </si>
  <si>
    <t>1329.613225031418</t>
  </si>
  <si>
    <t>https://item.taobao.com/item.htm?id=18201084114</t>
  </si>
  <si>
    <t>636507482715</t>
  </si>
  <si>
    <t>雀巢多趣酷思胶囊咖啡 dolce gusto咖啡胶囊拿铁美式意式浓缩可选</t>
  </si>
  <si>
    <t>70965</t>
  </si>
  <si>
    <t>1220.61658543783</t>
  </si>
  <si>
    <t>https://detail.tmall.com/item.htm?id=636507482715</t>
  </si>
  <si>
    <t>capsulife胶囊生活旗舰店</t>
  </si>
  <si>
    <t>RAzN8HWZSTLkbWRE2K31C1zF9cHMCLVs1AVqTbj26QU2NC3Vmiu</t>
  </si>
  <si>
    <t>653911869685</t>
  </si>
  <si>
    <t>招财猫美的喵咖星胶囊咖啡机 家用全自动奶泡一体 兼容雀巢星巴克</t>
  </si>
  <si>
    <t>69810</t>
  </si>
  <si>
    <t>423.0832411425284</t>
  </si>
  <si>
    <t>https://detail.tmall.com/item.htm?id=653911869685</t>
  </si>
  <si>
    <t>743846972402</t>
  </si>
  <si>
    <t>【144元3件】雀巢多趣酷思星巴克胶囊美式黑咖啡取花咖多口味单盒</t>
  </si>
  <si>
    <t>68825</t>
  </si>
  <si>
    <t>961.8179575528053</t>
  </si>
  <si>
    <t>https://detail.tmall.com/item.htm?id=743846972402</t>
  </si>
  <si>
    <t>653945917420</t>
  </si>
  <si>
    <t>【热卖】illy进口浓缩兼容胶囊意式美式黑咖啡适配nespresso50颗</t>
  </si>
  <si>
    <t>67887</t>
  </si>
  <si>
    <t>698.9514954156381</t>
  </si>
  <si>
    <t>https://detail.tmall.com/item.htm?id=653945917420</t>
  </si>
  <si>
    <t>65364</t>
  </si>
  <si>
    <t>1242.567969782495</t>
  </si>
  <si>
    <t>669351376786</t>
  </si>
  <si>
    <t>【热卖】illy意大利意式浓缩胶囊拼配单一产区共5罐装</t>
  </si>
  <si>
    <t>64000</t>
  </si>
  <si>
    <t>531.2778263496384</t>
  </si>
  <si>
    <t>https://detail.tmall.com/item.htm?id=669351376786</t>
  </si>
  <si>
    <t>小艾咖啡馆</t>
  </si>
  <si>
    <t>RAzN8HWb1u2tniYKDLW5M2pGhop7nLPtknJRZvXQBUi73p1NZAi</t>
  </si>
  <si>
    <t>591834249411</t>
  </si>
  <si>
    <t>双11特价包邮现货 瑞士进口 雀巢nespresso奈斯派索胶囊咖啡 50粒</t>
  </si>
  <si>
    <t>62946</t>
  </si>
  <si>
    <t>832.6590036089473</t>
  </si>
  <si>
    <t>https://item.taobao.com/item.htm?id=591834249411</t>
  </si>
  <si>
    <t>58882</t>
  </si>
  <si>
    <t>974.728260179809</t>
  </si>
  <si>
    <t>58804</t>
  </si>
  <si>
    <t>245.6460135236917</t>
  </si>
  <si>
    <t>57503</t>
  </si>
  <si>
    <t>1523.02373047738</t>
  </si>
  <si>
    <t>640475950003</t>
  </si>
  <si>
    <t>【热卖】illy浓缩兼容胶囊意式美式黑咖啡适配nespresso机90颗</t>
  </si>
  <si>
    <t>57445</t>
  </si>
  <si>
    <t>533.2442803583289</t>
  </si>
  <si>
    <t>https://detail.tmall.com/item.htm?id=640475950003</t>
  </si>
  <si>
    <t>729536644774</t>
  </si>
  <si>
    <t>【口味上新】隅田川咖啡机精萃浓缩胶囊意式美式拿铁黑咖啡100颗</t>
  </si>
  <si>
    <t>54118</t>
  </si>
  <si>
    <t>805.8998768245596</t>
  </si>
  <si>
    <t>https://detail.tmall.com/item.htm?id=729536644774</t>
  </si>
  <si>
    <t>624977962923</t>
  </si>
  <si>
    <t>【双11】瑞士进口 特惠雀巢Nespresso 奈斯派索咖啡胶囊100粒</t>
  </si>
  <si>
    <t>53487</t>
  </si>
  <si>
    <t>1102.302763390504</t>
  </si>
  <si>
    <t>https://item.taobao.com/item.htm?id=624977962923</t>
  </si>
  <si>
    <t>39559881118</t>
  </si>
  <si>
    <t>瑞士原装nespresso雀巢咖啡胶囊大师匠心风味系列50粒美式黑咖</t>
  </si>
  <si>
    <t>52797</t>
  </si>
  <si>
    <t>1121.646251786017</t>
  </si>
  <si>
    <t>https://item.taobao.com/item.htm?id=39559881118</t>
  </si>
  <si>
    <t>RAzN8HWXgDmr714HQZL5dW5GWZtebQufepqjk1zLWTtvgsVYrHj</t>
  </si>
  <si>
    <t>606248486077</t>
  </si>
  <si>
    <t>【入会专享价】进口Lor胶囊黑咖啡10盒/100粒适配nespresso咖啡机</t>
  </si>
  <si>
    <t>49564</t>
  </si>
  <si>
    <t>951.3793000213946</t>
  </si>
  <si>
    <t>https://detail.tmall.com/item.htm?id=606248486077</t>
  </si>
  <si>
    <t>吾咖食品</t>
  </si>
  <si>
    <t>RAzN8HWMTr2j6pfYAtfQcUiwp3UKkj9Kj6JNAzwgipmzXhJapQK</t>
  </si>
  <si>
    <t>640853290065</t>
  </si>
  <si>
    <t>illy胶囊意利胶囊美式深度咖啡中度咖啡胶囊X7.1 Y3.2胶囊机21粒</t>
  </si>
  <si>
    <t>35740</t>
  </si>
  <si>
    <t>1049.567583825341</t>
  </si>
  <si>
    <t>-99</t>
  </si>
  <si>
    <t>https://item.taobao.com/item.htm?id=640853290065</t>
  </si>
  <si>
    <t>乐啡食品专营店</t>
  </si>
  <si>
    <t>RAzN8HWQaMb8pVxo7J27TeggVzmighmzV57E5624eKXpnbYBNPN</t>
  </si>
  <si>
    <t>637810860366</t>
  </si>
  <si>
    <t>星巴克胶囊咖啡Nespresso黑咖啡100粒适用奈斯派索米家心想咖啡机</t>
  </si>
  <si>
    <t>45961</t>
  </si>
  <si>
    <t>692.0381711126695</t>
  </si>
  <si>
    <t>https://detail.tmall.com/item.htm?id=637810860366</t>
  </si>
  <si>
    <t>572382045908</t>
  </si>
  <si>
    <t>原装进口雀巢多趣酷思胶囊咖啡dolce gusto美式意式黑咖啡拿铁</t>
  </si>
  <si>
    <t>45627</t>
  </si>
  <si>
    <t>1560.020725467114</t>
  </si>
  <si>
    <t>-61</t>
  </si>
  <si>
    <t>https://item.taobao.com/item.htm?id=572382045908</t>
  </si>
  <si>
    <t>639353328067</t>
  </si>
  <si>
    <t>雀巢多趣酷思星巴克胶囊咖啡美式黑咖花式全口味单盒装</t>
  </si>
  <si>
    <t>45387</t>
  </si>
  <si>
    <t>870.4383504976281</t>
  </si>
  <si>
    <t>https://detail.tmall.com/item.htm?id=639353328067</t>
  </si>
  <si>
    <t>681311648216</t>
  </si>
  <si>
    <t>星巴克胶囊咖啡10条装NESPRESSO雀巢奈斯派索雀巢小米胶囊咖啡机</t>
  </si>
  <si>
    <t>45364</t>
  </si>
  <si>
    <t>883.726059233586</t>
  </si>
  <si>
    <t>-4</t>
  </si>
  <si>
    <t>https://detail.tmall.com/item.htm?id=681311648216</t>
  </si>
  <si>
    <t>彼蒂旗舰店</t>
  </si>
  <si>
    <t>RAzN8HWXreLekfWM5b9uvyfdCHaQtrVoWUCSubuC9qjYjV9B96b</t>
  </si>
  <si>
    <t>678905246014</t>
  </si>
  <si>
    <t>彼蒂意大利进口铝壳胶囊咖啡榛果香浓nespresso美式拿铁兼容</t>
  </si>
  <si>
    <t>44238</t>
  </si>
  <si>
    <t>690.4927782198937</t>
  </si>
  <si>
    <t>-161</t>
  </si>
  <si>
    <t>https://detail.tmall.com/item.htm?id=678905246014</t>
  </si>
  <si>
    <t>半岛艺食品专营店</t>
  </si>
  <si>
    <t>RAzN8HWJR3HVfxxHchRGQrsMGPSMXMKseVXuV9PQGwzTxaw4pnc</t>
  </si>
  <si>
    <t>708722245664</t>
  </si>
  <si>
    <t>星巴克咖啡家享Nespresso胶囊咖啡意式浓缩黑咖啡1盒10粒多口味选</t>
  </si>
  <si>
    <t>43826</t>
  </si>
  <si>
    <t>1064.353952483762</t>
  </si>
  <si>
    <t>https://detail.tmall.com/item.htm?id=708722245664</t>
  </si>
  <si>
    <t>650355070974</t>
  </si>
  <si>
    <t>法国原装illy意利胶囊咖啡适用雀巢Nespresso咖啡机意式美式大杯</t>
  </si>
  <si>
    <t>43617</t>
  </si>
  <si>
    <t>939.7728463329028</t>
  </si>
  <si>
    <t>-94</t>
  </si>
  <si>
    <t>https://item.taobao.com/item.htm?id=650355070974</t>
  </si>
  <si>
    <t>强源食品专营店</t>
  </si>
  <si>
    <t>RAzN8HWWMGnyHb6nobibJjfQSgFmrc3DJaX3nQCA81yDeiYLAYb</t>
  </si>
  <si>
    <t>731926074124</t>
  </si>
  <si>
    <t>日本进口blendy咖啡浓缩液黑咖啡胶囊AGF冰美式速溶提神无糖学生</t>
  </si>
  <si>
    <t>42570</t>
  </si>
  <si>
    <t>1227.434218294143</t>
  </si>
  <si>
    <t>https://detail.tmall.com/item.htm?id=731926074124</t>
  </si>
  <si>
    <t>44905327652</t>
  </si>
  <si>
    <t>雀巢Dolce Gusto多趣酷思胶囊咖啡花式/纯咖啡多种口味三盒套装</t>
  </si>
  <si>
    <t>42155</t>
  </si>
  <si>
    <t>1637.644968917944</t>
  </si>
  <si>
    <t>https://item.taobao.com/item.htm?id=44905327652</t>
  </si>
  <si>
    <t>41913</t>
  </si>
  <si>
    <t>781.9082731955549</t>
  </si>
  <si>
    <t>-220</t>
  </si>
  <si>
    <t>685121294302</t>
  </si>
  <si>
    <t>彼蒂 意大利进口香浓醇黑胶囊咖啡60粒盒装nespresso咖啡机适用</t>
  </si>
  <si>
    <t>41264</t>
  </si>
  <si>
    <t>447.1427098191916</t>
  </si>
  <si>
    <t>https://detail.tmall.com/item.htm?id=685121294302</t>
  </si>
  <si>
    <t>595806083170</t>
  </si>
  <si>
    <t>进口Starbucks星巴克胶囊咖啡适用雀巢多趣酷思卡布奇诺美式大杯</t>
  </si>
  <si>
    <t>40612</t>
  </si>
  <si>
    <t>1482.955574706742</t>
  </si>
  <si>
    <t>-72</t>
  </si>
  <si>
    <t>https://item.taobao.com/item.htm?id=595806083170</t>
  </si>
  <si>
    <t>40579</t>
  </si>
  <si>
    <t>297.8906679256885</t>
  </si>
  <si>
    <t>40223</t>
  </si>
  <si>
    <t>509.1621727200582</t>
  </si>
  <si>
    <t>毅冬食品专营店</t>
  </si>
  <si>
    <t>RAzN8HWY3ZuQovrCA3rKmfTgwCoef8377GvvXQ6wUeEjeKNi4vv</t>
  </si>
  <si>
    <t>599776837620</t>
  </si>
  <si>
    <t>雀巢/星巴克多趣酷思胶囊咖啡dolce gusto卡布奇诺美式意式可选</t>
  </si>
  <si>
    <t>38338</t>
  </si>
  <si>
    <t>1269.581915914069</t>
  </si>
  <si>
    <t>https://detail.tmall.com/item.htm?id=599776837620</t>
  </si>
  <si>
    <t>602179943087</t>
  </si>
  <si>
    <t>雀巢多趣酷思胶囊咖啡粒星巴克爆款黑咖特选综合/闲庭综合6盒72颗</t>
  </si>
  <si>
    <t>38063</t>
  </si>
  <si>
    <t>591.5764505533651</t>
  </si>
  <si>
    <t>https://detail.tmall.com/item.htm?id=602179943087</t>
  </si>
  <si>
    <t>37413</t>
  </si>
  <si>
    <t>1485.991044477095</t>
  </si>
  <si>
    <t>559204929544</t>
  </si>
  <si>
    <t>雀巢多趣酷思胶囊咖啡dolce gusto美式醇香冷萃黑咖啡3盒装48颗</t>
  </si>
  <si>
    <t>37395</t>
  </si>
  <si>
    <t>1010.697735171099</t>
  </si>
  <si>
    <t>https://detail.tmall.com/item.htm?id=559204929544</t>
  </si>
  <si>
    <t>43073616096</t>
  </si>
  <si>
    <t>illy意利进口胶囊咖啡SOE单产区意式21粒装适用illy胶囊咖啡机</t>
  </si>
  <si>
    <t>37083</t>
  </si>
  <si>
    <t>1151.187148787583</t>
  </si>
  <si>
    <t>-24</t>
  </si>
  <si>
    <t>https://detail.tmall.com/item.htm?id=43073616096</t>
  </si>
  <si>
    <t>36586</t>
  </si>
  <si>
    <t>538.5232813490294</t>
  </si>
  <si>
    <t>710553639629</t>
  </si>
  <si>
    <t>原装进口星巴克Starbucks胶囊咖啡/雀巢多趣酷思胶囊咖啡三盒优惠</t>
  </si>
  <si>
    <t>36444</t>
  </si>
  <si>
    <t>997.3941181616915</t>
  </si>
  <si>
    <t>https://detail.tmall.com/item.htm?id=710553639629</t>
  </si>
  <si>
    <t>宁媛食品专营店</t>
  </si>
  <si>
    <t>RAzN8HWQ6kW11mkwFRY3R7LakLYRS4t24mdKGXycbEEN6qboEcj</t>
  </si>
  <si>
    <t>719623315680</t>
  </si>
  <si>
    <t>雀巢多趣酷思DOLCE GUSTO胶囊咖啡机Eclipse家用全自动奶泡一体</t>
  </si>
  <si>
    <t>35886</t>
  </si>
  <si>
    <t>527.4297017155219</t>
  </si>
  <si>
    <t>https://detail.tmall.com/item.htm?id=719623315680</t>
  </si>
  <si>
    <t>初衷食品专营店</t>
  </si>
  <si>
    <t>RAzN8HWLMK4aZoK58j4E2T4M93Dn1YrULS9xRDhP4VwiHQBs5dh</t>
  </si>
  <si>
    <t>730526404616</t>
  </si>
  <si>
    <t>瑞士进口咖啡胶囊雀巢多趣酷思DOLCE GUSTO拿铁卡布奇诺咖啡胶囊</t>
  </si>
  <si>
    <t>35485</t>
  </si>
  <si>
    <t>926.0275353873624</t>
  </si>
  <si>
    <t>https://detail.tmall.com/item.htm?id=730526404616</t>
  </si>
  <si>
    <t>42088731021</t>
  </si>
  <si>
    <t>illy意利进口咖啡机胶囊拼配意式IPSO浓缩咖啡21粒装</t>
  </si>
  <si>
    <t>35187</t>
  </si>
  <si>
    <t>913.7877835306833</t>
  </si>
  <si>
    <t>https://detail.tmall.com/item.htm?id=42088731021</t>
  </si>
  <si>
    <t>阿囧的咖啡馆</t>
  </si>
  <si>
    <t>RAzN8HWUDBRi54np6zUeauhFqdCL52KFhKZLgpyzP9jNYaoqxcb</t>
  </si>
  <si>
    <t>707066448541</t>
  </si>
  <si>
    <t>Peets Coffee进口peets胶囊咖啡适用Nespresso米家WACACO咖啡机</t>
  </si>
  <si>
    <t>34936</t>
  </si>
  <si>
    <t>1005.438347934262</t>
  </si>
  <si>
    <t>https://item.taobao.com/item.htm?id=707066448541</t>
  </si>
  <si>
    <t>东联佳士拿食品专营店</t>
  </si>
  <si>
    <t>RAzN8HWLA1RmLeSwhiu5pw65fRwyqdTBbLgHYb4JsW3MdHZzGvH</t>
  </si>
  <si>
    <t>681435421321</t>
  </si>
  <si>
    <t>VIAGGIO胶囊咖啡限定礼盒装nespresso系列12种口味送礼自用礼盒装</t>
  </si>
  <si>
    <t>34810</t>
  </si>
  <si>
    <t>532.4299565773815</t>
  </si>
  <si>
    <t>https://detail.tmall.com/item.htm?id=681435421321</t>
  </si>
  <si>
    <t>34800</t>
  </si>
  <si>
    <t>1480.961728644428</t>
  </si>
  <si>
    <t>34569</t>
  </si>
  <si>
    <t>1514.704548645746</t>
  </si>
  <si>
    <t>598817693956</t>
  </si>
  <si>
    <t>星巴克胶囊咖啡Nespresso雀巢胶囊咖啡80颗深烘冰美式黑咖啡胶囊</t>
  </si>
  <si>
    <t>34436</t>
  </si>
  <si>
    <t>374.2787785353249</t>
  </si>
  <si>
    <t>https://detail.tmall.com/item.htm?id=598817693956</t>
  </si>
  <si>
    <t>640390055661</t>
  </si>
  <si>
    <t>雀巢多趣酷思胶囊美式黑咖啡萃取意式冷萃花咖多口味单盒装</t>
  </si>
  <si>
    <t>34052</t>
  </si>
  <si>
    <t>812.7037164455542</t>
  </si>
  <si>
    <t>https://detail.tmall.com/item.htm?id=640390055661</t>
  </si>
  <si>
    <t>33861</t>
  </si>
  <si>
    <t>1312.389951353452</t>
  </si>
  <si>
    <t>649789299433</t>
  </si>
  <si>
    <t>进口nespresso星巴克胶囊咖啡3盒30粒适用雀巢心想小米胶囊咖啡机</t>
  </si>
  <si>
    <t>33827</t>
  </si>
  <si>
    <t>990.0235329746033</t>
  </si>
  <si>
    <t>-36</t>
  </si>
  <si>
    <t>https://detail.tmall.com/item.htm?id=649789299433</t>
  </si>
  <si>
    <t>星享咖啡</t>
  </si>
  <si>
    <t>RAzN8HWPa5QFqAPPyWqeMcy9dLSXFFohBRJ7To4FtbMXiwfVYbU</t>
  </si>
  <si>
    <t>686248268429</t>
  </si>
  <si>
    <t>进口雀巢多趣酷思咖啡胶囊Dolce gusto意式浓缩卡布奇诺花式咖啡</t>
  </si>
  <si>
    <t>33617</t>
  </si>
  <si>
    <t>1153.223153223501</t>
  </si>
  <si>
    <t>-89</t>
  </si>
  <si>
    <t>https://item.taobao.com/item.htm?id=686248268429</t>
  </si>
  <si>
    <t>674196669006</t>
  </si>
  <si>
    <t>illy进口浓缩兼容胶囊意式美式黑咖啡适配nespresso机120颗</t>
  </si>
  <si>
    <t>33609</t>
  </si>
  <si>
    <t>771.9152401355166</t>
  </si>
  <si>
    <t>https://detail.tmall.com/item.htm?id=674196669006</t>
  </si>
  <si>
    <t>33556</t>
  </si>
  <si>
    <t>1144.416898994042</t>
  </si>
  <si>
    <t>559323657431</t>
  </si>
  <si>
    <t>雀巢多趣酷思dolce&amp;nbsp;gusto胶囊爆款黑咖啡美式醇香/浓黑6盒96颗</t>
  </si>
  <si>
    <t>33311</t>
  </si>
  <si>
    <t>519.8253015690198</t>
  </si>
  <si>
    <t>https://detail.tmall.com/item.htm?id=559323657431</t>
  </si>
  <si>
    <t>635245342238</t>
  </si>
  <si>
    <t>星巴克胶囊咖啡瑞士进口Nespresso 多种口味自由搭配雀巢咖啡胶囊</t>
  </si>
  <si>
    <t>33218</t>
  </si>
  <si>
    <t>686.5500206389554</t>
  </si>
  <si>
    <t>https://detail.tmall.com/item.htm?id=635245342238</t>
  </si>
  <si>
    <t>32983</t>
  </si>
  <si>
    <t>561.138707700904</t>
  </si>
  <si>
    <t>极睿旗舰店</t>
  </si>
  <si>
    <t>RAzN8HWUvcWeG66UhXB6Awqao2eDeJHUsbCfgreNNZAiYkRxSWD</t>
  </si>
  <si>
    <t>670001302051</t>
  </si>
  <si>
    <t>极睿桶装50粒意式胶囊咖啡套装浓缩咖啡新鲜适用Nespresso胶囊机</t>
  </si>
  <si>
    <t>32812</t>
  </si>
  <si>
    <t>1002.480040083064</t>
  </si>
  <si>
    <t>https://detail.tmall.com/item.htm?id=670001302051</t>
  </si>
  <si>
    <t>32510</t>
  </si>
  <si>
    <t>769.7109847440107</t>
  </si>
  <si>
    <t>696306369807</t>
  </si>
  <si>
    <t>星巴克多趣酷思雀巢咖啡胶囊太妃坚果卡布焦糖香草拿铁花式咖啡</t>
  </si>
  <si>
    <t>32450</t>
  </si>
  <si>
    <t>906.6806538609588</t>
  </si>
  <si>
    <t>https://item.taobao.com/item.htm?id=696306369807</t>
  </si>
  <si>
    <t>Capsul－胶囊生活</t>
  </si>
  <si>
    <t>RAzN8HWKPHwHm8MtStNpvo3KyR1mYxtHjfiT6zaBY6YsvzHvaJx</t>
  </si>
  <si>
    <t>604428610970</t>
  </si>
  <si>
    <t>Starbucks星巴克胶囊咖啡兼容多趣酷思dolce gusto拿铁卡布美式</t>
  </si>
  <si>
    <t>32210</t>
  </si>
  <si>
    <t>1233.781218756447</t>
  </si>
  <si>
    <t>https://item.taobao.com/item.htm?id=604428610970</t>
  </si>
  <si>
    <t>610305514931</t>
  </si>
  <si>
    <t>雀巢多趣酷思胶囊咖啡胶囊Dolce Gusto卡布拿铁美式意式 原装进口</t>
  </si>
  <si>
    <t>31997</t>
  </si>
  <si>
    <t>1219.484125290124</t>
  </si>
  <si>
    <t>https://item.taobao.com/item.htm?id=610305514931</t>
  </si>
  <si>
    <t>UCC悠诗诗海外旗舰店</t>
  </si>
  <si>
    <t>RAzN8HWZpjf3ZPMRx2ZYa3dxWvMGopvFEPi67Jp2aSMTfff6xkj</t>
  </si>
  <si>
    <t>742374826034</t>
  </si>
  <si>
    <t>UCC悠诗诗胶囊咖啡美式无糖咖啡粉蓝山全自动滴滤咖啡机小型家用</t>
  </si>
  <si>
    <t>31904</t>
  </si>
  <si>
    <t>368.0919245919173</t>
  </si>
  <si>
    <t>-25</t>
  </si>
  <si>
    <t>https://detail.tmall.com/item.htm?id=742374826034</t>
  </si>
  <si>
    <t>31830</t>
  </si>
  <si>
    <t>1362.89905524042</t>
  </si>
  <si>
    <t>729996939547</t>
  </si>
  <si>
    <t>【口味上新】隅田川精萃浓缩胶囊意式美式拿铁黑咖啡咖啡机用20颗</t>
  </si>
  <si>
    <t>31622</t>
  </si>
  <si>
    <t>481.5098136591931</t>
  </si>
  <si>
    <t>https://detail.tmall.com/item.htm?id=729996939547</t>
  </si>
  <si>
    <t>潮人咖啡</t>
  </si>
  <si>
    <t>RAzN8HWUD1nMzYLuMfxstN1gTzrvMSMFpiiaeJ5ypLdztYN1zaH</t>
  </si>
  <si>
    <t>650495380106</t>
  </si>
  <si>
    <t>进口雀巢Nespresso Vertuo奈斯派索胶囊咖啡浓缩黑咖啡 10颗/盒</t>
  </si>
  <si>
    <t>31590</t>
  </si>
  <si>
    <t>970.8844170241754</t>
  </si>
  <si>
    <t>https://item.taobao.com/item.htm?id=650495380106</t>
  </si>
  <si>
    <t>31359</t>
  </si>
  <si>
    <t>1454.098023806629</t>
  </si>
  <si>
    <t>31273</t>
  </si>
  <si>
    <t>750.164121821469</t>
  </si>
  <si>
    <t>638386330128</t>
  </si>
  <si>
    <t>illy进口浓缩兼容胶囊意式美式黑咖啡适配nespresso胶囊机30粒</t>
  </si>
  <si>
    <t>31261</t>
  </si>
  <si>
    <t>892.3132134732821</t>
  </si>
  <si>
    <t>https://detail.tmall.com/item.htm?id=638386330128</t>
  </si>
  <si>
    <t>romaunt旗舰店</t>
  </si>
  <si>
    <t>RAzN8HWPFSKWXBEdbdSNVeFq8DKWFB2aQ9mgcHkg8Nbw7vp3U8E</t>
  </si>
  <si>
    <t>599604631125</t>
  </si>
  <si>
    <t>Romaunt胶囊咖啡组合100颗意式浓缩特浓现磨适配Nespresso胶囊机</t>
  </si>
  <si>
    <t>30935</t>
  </si>
  <si>
    <t>735.5473162729049</t>
  </si>
  <si>
    <t>https://detail.tmall.com/item.htm?id=599604631125</t>
  </si>
  <si>
    <t>欧美家</t>
  </si>
  <si>
    <t>RAzN8HWUGWK1BgyJj6R8xXPF3qi4uCQxiTU4x3pSNnmM7w4PCTB</t>
  </si>
  <si>
    <t>610538509689</t>
  </si>
  <si>
    <t>进口nespresso星巴克胶囊咖啡3盒30粒黑咖浓缩意式味雀巢咖啡胶囊</t>
  </si>
  <si>
    <t>30913</t>
  </si>
  <si>
    <t>1123.626369811724</t>
  </si>
  <si>
    <t>https://item.taobao.com/item.htm?id=610538509689</t>
  </si>
  <si>
    <t>703540860271</t>
  </si>
  <si>
    <t>星巴克胶囊咖啡100粒装NESPRESSO奈斯派索多口味自由搭配咖啡胶囊</t>
  </si>
  <si>
    <t>30891</t>
  </si>
  <si>
    <t>698.9977011589366</t>
  </si>
  <si>
    <t>https://detail.tmall.com/item.htm?id=703540860271</t>
  </si>
  <si>
    <t>649814627418</t>
  </si>
  <si>
    <t>原装进口NESPRESSO星巴克胶囊咖啡适配雀巢小米奈斯派索咖啡机粒</t>
  </si>
  <si>
    <t>30467</t>
  </si>
  <si>
    <t>817.7556315377801</t>
  </si>
  <si>
    <t>-90</t>
  </si>
  <si>
    <t>https://detail.tmall.com/item.htm?id=649814627418</t>
  </si>
  <si>
    <t>621539664037</t>
  </si>
  <si>
    <t>Peets皮爷原装进口精品胶囊咖啡30颗混合适配nespresso胶囊机</t>
  </si>
  <si>
    <t>30387</t>
  </si>
  <si>
    <t>833.0884857364581</t>
  </si>
  <si>
    <t>https://detail.tmall.com/item.htm?id=621539664037</t>
  </si>
  <si>
    <t>CAFE ROYAL旗舰店</t>
  </si>
  <si>
    <t>RAzN8HWMiDRJNrUwg7q4NM6yWj6Tqw18pLHFPxyWuvpQBvNLsYa</t>
  </si>
  <si>
    <t>625509023529</t>
  </si>
  <si>
    <t>CafeRoyal芮耀瑞士进口胶囊咖啡风味混合100颗兼容nespresso机</t>
  </si>
  <si>
    <t>30095</t>
  </si>
  <si>
    <t>456.8808635447933</t>
  </si>
  <si>
    <t>https://detail.tmall.com/item.htm?id=625509023529</t>
  </si>
  <si>
    <t>565306107017</t>
  </si>
  <si>
    <t>雀巢多趣酷思dolce gusto胶囊咖啡爆款花式拿铁卡布奇诺6盒装96颗</t>
  </si>
  <si>
    <t>29851</t>
  </si>
  <si>
    <t>519.8539152295838</t>
  </si>
  <si>
    <t>https://detail.tmall.com/item.htm?id=565306107017</t>
  </si>
  <si>
    <t>638527011893</t>
  </si>
  <si>
    <t>【239任选4件】星巴克家享多趣酷思胶囊美式浓缩黑咖啡组合装</t>
  </si>
  <si>
    <t>29633</t>
  </si>
  <si>
    <t>602.2079539537558</t>
  </si>
  <si>
    <t>https://detail.tmall.com/item.htm?id=638527011893</t>
  </si>
  <si>
    <t>UCC悠诗诗食品官方旗舰店</t>
  </si>
  <si>
    <t>RAzN8HWb91U6mLgPsKxH4rZ4aMmuyVAReMLQoGdmyck8cMdoTeG</t>
  </si>
  <si>
    <t>668170861897</t>
  </si>
  <si>
    <t>UCC悠诗诗咖啡胶囊美式咖啡意式浓缩适配nespresso咖啡机进口50粒</t>
  </si>
  <si>
    <t>29522</t>
  </si>
  <si>
    <t>1106.556516555447</t>
  </si>
  <si>
    <t>https://detail.tmall.com/item.htm?id=668170861897</t>
  </si>
  <si>
    <t>应然食品专营店</t>
  </si>
  <si>
    <t>RAzN8HWYJtGAJbZZmkZXA4nWQd7PaJw4yiseHfPeYgbccntfTqe</t>
  </si>
  <si>
    <t>729226436730</t>
  </si>
  <si>
    <t>意式浓缩星巴克胶囊咖啡瑞士雀巢Nespresso纯咖啡适用小米咖啡机</t>
  </si>
  <si>
    <t>29294</t>
  </si>
  <si>
    <t>944.5142916343422</t>
  </si>
  <si>
    <t>https://detail.tmall.com/item.htm?id=729226436730</t>
  </si>
  <si>
    <t>653952888838</t>
  </si>
  <si>
    <t>雀巢多趣酷思胶囊咖啡dolce gusto 原装进口星巴克人气花咖3盒</t>
  </si>
  <si>
    <t>29103</t>
  </si>
  <si>
    <t>1170.164580360335</t>
  </si>
  <si>
    <t>https://detail.tmall.com/item.htm?id=653952888838</t>
  </si>
  <si>
    <t>Anna咖啡集散店</t>
  </si>
  <si>
    <t>RAzN8HWSLG8kUJvAba3eVjoNPt8YqQaBZEVsxYoTqxBxAepT2C4</t>
  </si>
  <si>
    <t>552358762117</t>
  </si>
  <si>
    <t>Nescafe dolce gusto雀巢多趣酷思咖啡胶囊卡布奇诺美式等可选</t>
  </si>
  <si>
    <t>28758</t>
  </si>
  <si>
    <t>1079.890867125794</t>
  </si>
  <si>
    <t>https://item.taobao.com/item.htm?id=552358762117</t>
  </si>
  <si>
    <t>麦克斯德食品专营店</t>
  </si>
  <si>
    <t>RAzN8HWZ2LFEU6rBuefnwPzAyUYkYJNiyGKgHhoh4bwsMPoikYb</t>
  </si>
  <si>
    <t>718191621781</t>
  </si>
  <si>
    <t>NESPRESSO星巴克胶囊咖啡 瑞士原装进口美式浓缩黑咖啡套装100颗</t>
  </si>
  <si>
    <t>28377</t>
  </si>
  <si>
    <t>762.4351627867234</t>
  </si>
  <si>
    <t>https://detail.tmall.com/item.htm?id=718191621781</t>
  </si>
  <si>
    <t>693993818144</t>
  </si>
  <si>
    <t>NESPRESSO胶囊咖啡 10口味100粒 兼容雀巢小米心想NS便携式咖啡机</t>
  </si>
  <si>
    <t>28363</t>
  </si>
  <si>
    <t>778.7820276640634</t>
  </si>
  <si>
    <t>https://detail.tmall.com/item.htm?id=693993818144</t>
  </si>
  <si>
    <t>28192</t>
  </si>
  <si>
    <t>707.3143587084471</t>
  </si>
  <si>
    <t>671656196900</t>
  </si>
  <si>
    <t>原装雀巢多趣酷思DOLCE GUSTO拿铁摩卡卡布奇诺咖啡胶囊16粒/3盒</t>
  </si>
  <si>
    <t>27971</t>
  </si>
  <si>
    <t>1132.22264272838</t>
  </si>
  <si>
    <t>https://detail.tmall.com/item.htm?id=671656196900</t>
  </si>
  <si>
    <t>601985122964</t>
  </si>
  <si>
    <t>雀巢多趣酷思星巴克胶囊咖啡爆款花式焦糖拿铁卡布奇诺6盒72颗</t>
  </si>
  <si>
    <t>27889</t>
  </si>
  <si>
    <t>561.9685711808894</t>
  </si>
  <si>
    <t>https://detail.tmall.com/item.htm?id=601985122964</t>
  </si>
  <si>
    <t>677148933393</t>
  </si>
  <si>
    <t>星巴克Nespresso胶囊咖啡兼容雀巢奈斯派索小米心想米家咖啡机</t>
  </si>
  <si>
    <t>27636</t>
  </si>
  <si>
    <t>916.2500756779604</t>
  </si>
  <si>
    <t>https://item.taobao.com/item.htm?id=677148933393</t>
  </si>
  <si>
    <t>27544</t>
  </si>
  <si>
    <t>1308.733675624867</t>
  </si>
  <si>
    <t>27527</t>
  </si>
  <si>
    <t>1509.44316526882</t>
  </si>
  <si>
    <t>moccona旗舰店</t>
  </si>
  <si>
    <t>RAzN8HWY5K42DAb53toACtA2bsRf5yeWHbEMcawR9h57bDkYckz</t>
  </si>
  <si>
    <t>732191671139</t>
  </si>
  <si>
    <t>摩可纳moccona胶囊咖啡进口浓缩黑咖啡适配nespresso胶囊机</t>
  </si>
  <si>
    <t>27380</t>
  </si>
  <si>
    <t>640.7248937208926</t>
  </si>
  <si>
    <t>https://detail.tmall.com/item.htm?id=732191671139</t>
  </si>
  <si>
    <t>591765366552</t>
  </si>
  <si>
    <t>心想进口胶囊咖啡意式浓缩美式黑咖啡胶囊粒兼容nespresso咖啡机</t>
  </si>
  <si>
    <t>27341</t>
  </si>
  <si>
    <t>496.713514900622</t>
  </si>
  <si>
    <t>https://detail.tmall.com/item.htm?id=591765366552</t>
  </si>
  <si>
    <t>730318495677</t>
  </si>
  <si>
    <t>【原装进口】雀巢多趣酷思胶囊咖啡星巴克适配德龙雀巢胶囊咖啡机</t>
  </si>
  <si>
    <t>27164</t>
  </si>
  <si>
    <t>840.734760342479</t>
  </si>
  <si>
    <t>https://detail.tmall.com/item.htm?id=730318495677</t>
  </si>
  <si>
    <t>26124640221</t>
  </si>
  <si>
    <t>Nespresso雀巢胶囊咖啡 风味咖啡系列香草 巧克力 焦糖 30粒套装</t>
  </si>
  <si>
    <t>27037</t>
  </si>
  <si>
    <t>1263.882704042597</t>
  </si>
  <si>
    <t>-62</t>
  </si>
  <si>
    <t>https://item.taobao.com/item.htm?id=26124640221</t>
  </si>
  <si>
    <t>27014</t>
  </si>
  <si>
    <t>1278.304892967122</t>
  </si>
  <si>
    <t>26980</t>
  </si>
  <si>
    <t>1419.58605014107</t>
  </si>
  <si>
    <t>710179379123</t>
  </si>
  <si>
    <t>雀巢胶囊咖啡Nespresso星巴克【50粒】小米LOR心想咖啡机专用</t>
  </si>
  <si>
    <t>26949</t>
  </si>
  <si>
    <t>748.9970401130045</t>
  </si>
  <si>
    <t>https://detail.tmall.com/item.htm?id=710179379123</t>
  </si>
  <si>
    <t>728671207227</t>
  </si>
  <si>
    <t>【入会专享价】2024年4月有效期-原装进口Lor胶囊黑咖啡5盒/50粒</t>
  </si>
  <si>
    <t>26830</t>
  </si>
  <si>
    <t>883.2911227410092</t>
  </si>
  <si>
    <t>https://detail.tmall.com/item.htm?id=728671207227</t>
  </si>
  <si>
    <t>716974966113</t>
  </si>
  <si>
    <t>西班牙进口VIAGGIO ESPRESSO意式胶囊咖啡兼容Nespresso小米 心想</t>
  </si>
  <si>
    <t>26772</t>
  </si>
  <si>
    <t>1024.646112896928</t>
  </si>
  <si>
    <t>https://detail.tmall.com/item.htm?id=716974966113</t>
  </si>
  <si>
    <t>巴塞时尚食品专营店</t>
  </si>
  <si>
    <t>RAzN8HWVeHGSGN1fNy6ozSEhUiHCAydQRaYXGaNvVUkecvJqoeD</t>
  </si>
  <si>
    <t>684204640531</t>
  </si>
  <si>
    <t>法国进口LOR咖啡胶囊套装NESPRESSO100粒适用雀巢小米胶囊咖啡机</t>
  </si>
  <si>
    <t>26640</t>
  </si>
  <si>
    <t>812.3888783307441</t>
  </si>
  <si>
    <t>https://detail.tmall.com/item.htm?id=684204640531</t>
  </si>
  <si>
    <t>635309106904</t>
  </si>
  <si>
    <t>进口雀巢多趣酷思胶囊咖啡 兼容dolce gusto系列胶囊咖啡机三盒装</t>
  </si>
  <si>
    <t>26639</t>
  </si>
  <si>
    <t>1356.371423329932</t>
  </si>
  <si>
    <t>https://detail.tmall.com/item.htm?id=635309106904</t>
  </si>
  <si>
    <t>602325156878</t>
  </si>
  <si>
    <t>星巴克胶囊咖啡Nespress雀巢咖啡胶囊官方100颗美式黑咖啡胶囊</t>
  </si>
  <si>
    <t>26562</t>
  </si>
  <si>
    <t>408.2465047619441</t>
  </si>
  <si>
    <t>https://detail.tmall.com/item.htm?id=602325156878</t>
  </si>
  <si>
    <t>kimbo食品旗舰店</t>
  </si>
  <si>
    <t>RAzN8HWXCMDqBAagCdra9rDCTMa5q6fYGtZa4V4eSBxmAowdZj9</t>
  </si>
  <si>
    <t>563000386191</t>
  </si>
  <si>
    <t>KIMBO进口意式浓缩咖啡胶囊6盒60粒胶囊咖啡 nespresso系统机兼容</t>
  </si>
  <si>
    <t>26400</t>
  </si>
  <si>
    <t>949.7917043132256</t>
  </si>
  <si>
    <t>https://detail.tmall.com/item.htm?id=563000386191</t>
  </si>
  <si>
    <t>585984756229</t>
  </si>
  <si>
    <t>Capsulife胶囊生活胶囊咖啡奶茶豆浆牛奶兼容多趣酷思Dolce Gusto</t>
  </si>
  <si>
    <t>26115</t>
  </si>
  <si>
    <t>904.0440845175306</t>
  </si>
  <si>
    <t>https://item.taobao.com/item.htm?id=585984756229</t>
  </si>
  <si>
    <t>701946061784</t>
  </si>
  <si>
    <t>Starbucks星巴克多趣酷思原装进口胶囊咖啡家享多口味可选三盒装</t>
  </si>
  <si>
    <t>25900</t>
  </si>
  <si>
    <t>1179.738551992628</t>
  </si>
  <si>
    <t>https://detail.tmall.com/item.htm?id=701946061784</t>
  </si>
  <si>
    <t>25891</t>
  </si>
  <si>
    <t>490.4593213067039</t>
  </si>
  <si>
    <t>25864</t>
  </si>
  <si>
    <t>992.3989436964926</t>
  </si>
  <si>
    <t>25808</t>
  </si>
  <si>
    <t>1184.363541471198</t>
  </si>
  <si>
    <t>lavazza拉瓦萨旗舰店</t>
  </si>
  <si>
    <t>RAzN8HWZUHtWyDfr694UBL961bieTzgvV6czhfxtkvWDGUvr964</t>
  </si>
  <si>
    <t>735352301300</t>
  </si>
  <si>
    <t>【全新包装】LAVAZZA拉瓦萨胶囊咖啡意式浓缩意大利进口10粒</t>
  </si>
  <si>
    <t>25658</t>
  </si>
  <si>
    <t>1078.918150985256</t>
  </si>
  <si>
    <t>https://detail.tmall.com/item.htm?id=735352301300</t>
  </si>
  <si>
    <t>dodoco旗舰店</t>
  </si>
  <si>
    <t>RAzN8HWYn2SzdN3vV23TyzNNgxkrTg8zQbU8VDgquPJy5EeQ5K2</t>
  </si>
  <si>
    <t>752553983382</t>
  </si>
  <si>
    <t>kcup胶囊咖啡粒美式咖啡胶囊大号现磨意式浓缩蓝山胶囊10克6颗</t>
  </si>
  <si>
    <t>25622</t>
  </si>
  <si>
    <t>866.669904050541</t>
  </si>
  <si>
    <t>https://detail.tmall.com/item.htm?id=752553983382</t>
  </si>
  <si>
    <t>孔川食品专营店</t>
  </si>
  <si>
    <t>RAzN8HWQcN8ND7pLhwwGfdLJnsBWtH2FBAZyfxwraSZGQMwz39z</t>
  </si>
  <si>
    <t>640898432197</t>
  </si>
  <si>
    <t>雀巢Nespresso奈斯派索14粒咖啡胶囊 进口意式浓缩家用美式黑咖啡</t>
  </si>
  <si>
    <t>25569</t>
  </si>
  <si>
    <t>730.5956200458434</t>
  </si>
  <si>
    <t>-47</t>
  </si>
  <si>
    <t>https://detail.tmall.com/item.htm?id=640898432197</t>
  </si>
  <si>
    <t>560070045903</t>
  </si>
  <si>
    <t>进口星巴克/LOR/雀巢UCC咖啡胶囊100粒适用雀巢Nespresso咖啡机</t>
  </si>
  <si>
    <t>25456</t>
  </si>
  <si>
    <t>1148.474322007331</t>
  </si>
  <si>
    <t>https://detail.tmall.com/item.htm?id=560070045903</t>
  </si>
  <si>
    <t>609007776000</t>
  </si>
  <si>
    <t>CafeRoyal芮耀瑞士进口胶囊咖啡香醇组合40颗兼容nespresso雀巢机</t>
  </si>
  <si>
    <t>25435</t>
  </si>
  <si>
    <t>669.2163552034383</t>
  </si>
  <si>
    <t>-58</t>
  </si>
  <si>
    <t>https://detail.tmall.com/item.htm?id=609007776000</t>
  </si>
  <si>
    <t>714026248788</t>
  </si>
  <si>
    <t>双11特价 瑞士进口 雀巢NESPRESSO奈斯派索 胶囊咖啡30粒 3款口味</t>
  </si>
  <si>
    <t>25365</t>
  </si>
  <si>
    <t>743.4146214136503</t>
  </si>
  <si>
    <t>https://item.taobao.com/item.htm?id=714026248788</t>
  </si>
  <si>
    <t>687089534758</t>
  </si>
  <si>
    <t>雀巢多趣酷思Dolce Gusto星巴克胶囊咖啡花式太妃坚果胶囊3盒装</t>
  </si>
  <si>
    <t>25311</t>
  </si>
  <si>
    <t>894.603710896229</t>
  </si>
  <si>
    <t>https://detail.tmall.com/item.htm?id=687089534758</t>
  </si>
  <si>
    <t>盛镕泰食品专营店</t>
  </si>
  <si>
    <t>RAzN8HWTCTieL6bMcsV9rxd2JC9qwGzdixHhUAiAf27v4ae1E3E</t>
  </si>
  <si>
    <t>710820759745</t>
  </si>
  <si>
    <t>日本进口agf blendy胶囊咖啡浓缩咖啡液美式冷萃速溶布兰迪冰拿铁</t>
  </si>
  <si>
    <t>25067</t>
  </si>
  <si>
    <t>1239.418955738176</t>
  </si>
  <si>
    <t>https://detail.tmall.com/item.htm?id=710820759745</t>
  </si>
  <si>
    <t>25011</t>
  </si>
  <si>
    <t>1470.075395953996</t>
  </si>
  <si>
    <t>602532543950</t>
  </si>
  <si>
    <t>【节日限定】星巴克咖啡家享太妃坚果风味胶囊咖啡瑞士进口10粒装</t>
  </si>
  <si>
    <t>24890</t>
  </si>
  <si>
    <t>701.8568362413091</t>
  </si>
  <si>
    <t>https://detail.tmall.com/item.htm?id=602532543950</t>
  </si>
  <si>
    <t>金米兰旗舰店</t>
  </si>
  <si>
    <t>RAzN8HWWb8xUZRN8AZNVGLVdP8HHar9fEYdue9jHxaXjsRJd585</t>
  </si>
  <si>
    <t>671868776166</t>
  </si>
  <si>
    <t>金米兰胶囊咖啡 美式新鲜烘焙精品浓缩黑咖啡粉50颗混合Nespresso</t>
  </si>
  <si>
    <t>24719</t>
  </si>
  <si>
    <t>656.8013069668482</t>
  </si>
  <si>
    <t>https://detail.tmall.com/item.htm?id=671868776166</t>
  </si>
  <si>
    <t>558473642607</t>
  </si>
  <si>
    <t>德国进口BOSCH博世Tassimo胶囊咖啡拿铁卡布奇诺美式大杯意式浓缩</t>
  </si>
  <si>
    <t>24701</t>
  </si>
  <si>
    <t>1286.698420954179</t>
  </si>
  <si>
    <t>https://item.taobao.com/item.htm?id=558473642607</t>
  </si>
  <si>
    <t>美程饮品专营店</t>
  </si>
  <si>
    <t>RAzN8HWVzCLYYuwJSv6JayRUWk5JGk1AfELa9zkp15xUXgU1427</t>
  </si>
  <si>
    <t>742154813830</t>
  </si>
  <si>
    <t>意大利原装进口胶囊咖啡100粒套装Nespresso胶囊意式浓缩黑咖啡</t>
  </si>
  <si>
    <t>24633</t>
  </si>
  <si>
    <t>588.1039660298651</t>
  </si>
  <si>
    <t>https://detail.tmall.com/item.htm?id=742154813830</t>
  </si>
  <si>
    <t>TASSIMO食品旗舰店</t>
  </si>
  <si>
    <t>RAzN8HWazS4Z5HLTUV96MLkZuaPBWWwKM8rAP42wLG2jQQc6WSG</t>
  </si>
  <si>
    <t>620147667660</t>
  </si>
  <si>
    <t>Tassimo咖啡胶囊BOSCH博世胶囊咖啡馥芮白意式美式拿铁玛奇朵卡布</t>
  </si>
  <si>
    <t>24535</t>
  </si>
  <si>
    <t>1122.003061186223</t>
  </si>
  <si>
    <t>https://detail.tmall.com/item.htm?id=620147667660</t>
  </si>
  <si>
    <t>604000266983</t>
  </si>
  <si>
    <t>【入会专享价】进口Lor胶囊黑咖啡1盒/10粒适配nespresso 咖啡机</t>
  </si>
  <si>
    <t>24355</t>
  </si>
  <si>
    <t>945.7679853209614</t>
  </si>
  <si>
    <t>-40</t>
  </si>
  <si>
    <t>https://detail.tmall.com/item.htm?id=604000266983</t>
  </si>
  <si>
    <t>苏宁易购官方旗舰店</t>
  </si>
  <si>
    <t>RAzN8HWXotE5fwUh6PpaU21sZTAh8HfkohVEoQutSG26wWFWysT</t>
  </si>
  <si>
    <t>712460964633</t>
  </si>
  <si>
    <t>AGF咖啡液blendy无蔗糖胶囊美式浓缩拿铁速溶冷萃黑咖啡24颗2301</t>
  </si>
  <si>
    <t>24266</t>
  </si>
  <si>
    <t>1227.888473193886</t>
  </si>
  <si>
    <t>https://detail.tmall.com/item.htm?id=712460964633</t>
  </si>
  <si>
    <t>578409853044</t>
  </si>
  <si>
    <t>原装进口心想甄选LOR Jacobs咖啡胶囊10粒(兼容雀巢Nespresso小米</t>
  </si>
  <si>
    <t>24160</t>
  </si>
  <si>
    <t>1040.595868819271</t>
  </si>
  <si>
    <t>https://item.taobao.com/item.htm?id=578409853044</t>
  </si>
  <si>
    <t>601769712705</t>
  </si>
  <si>
    <t>Nespresso雀巢胶囊咖啡 咖啡大师之作系列Chiaro/Scuro/Corto30粒</t>
  </si>
  <si>
    <t>23936</t>
  </si>
  <si>
    <t>935.3175324053069</t>
  </si>
  <si>
    <t>-97</t>
  </si>
  <si>
    <t>https://item.taobao.com/item.htm?id=601769712705</t>
  </si>
  <si>
    <t>709177878261</t>
  </si>
  <si>
    <t>日本进口agf胶囊咖啡24枚速溶纯黑提神美式咖啡blendy浓缩液袋装</t>
  </si>
  <si>
    <t>23874</t>
  </si>
  <si>
    <t>853.2999263497036</t>
  </si>
  <si>
    <t>-83</t>
  </si>
  <si>
    <t>https://detail.tmall.com/item.htm?id=709177878261</t>
  </si>
  <si>
    <t>651126245936</t>
  </si>
  <si>
    <t>进口雀巢Nespresso奈斯派索商用胶囊咖啡饼浓缩无糖黑咖啡50颗/盒</t>
  </si>
  <si>
    <t>23836</t>
  </si>
  <si>
    <t>637.9218367035043</t>
  </si>
  <si>
    <t>-51</t>
  </si>
  <si>
    <t>https://item.taobao.com/item.htm?id=651126245936</t>
  </si>
  <si>
    <t>23808</t>
  </si>
  <si>
    <t>1340.112656577259</t>
  </si>
  <si>
    <t>慢节奏食品专营店</t>
  </si>
  <si>
    <t>RAzN8HWSrkdGShRRcqK73myoZHwdvWqUE5tKZx7392Cg911ofeG</t>
  </si>
  <si>
    <t>701671542006</t>
  </si>
  <si>
    <t>进口LOR黑咖啡胶囊 适用雀巢Nespresso便携咖啡机</t>
  </si>
  <si>
    <t>23753</t>
  </si>
  <si>
    <t>1146.623897237459</t>
  </si>
  <si>
    <t>https://detail.tmall.com/item.htm?id=701671542006</t>
  </si>
  <si>
    <t>611038168775</t>
  </si>
  <si>
    <t>星巴克胶囊咖啡家享nesspress胶囊咖啡粒意式浓缩黑咖啡美式10粒</t>
  </si>
  <si>
    <t>23726</t>
  </si>
  <si>
    <t>831.6884710471845</t>
  </si>
  <si>
    <t>https://detail.tmall.com/item.htm?id=611038168775</t>
  </si>
  <si>
    <t>23455</t>
  </si>
  <si>
    <t>536.8184342889275</t>
  </si>
  <si>
    <t>23393</t>
  </si>
  <si>
    <t>484.762643972829</t>
  </si>
  <si>
    <t>724892924556</t>
  </si>
  <si>
    <t>领鲜本色胶囊咖啡机全自动小型家用商用意式浓缩咖啡机便携迷你</t>
  </si>
  <si>
    <t>23294</t>
  </si>
  <si>
    <t>206.3640478464236</t>
  </si>
  <si>
    <t>https://detail.tmall.com/item.htm?id=724892924556</t>
  </si>
  <si>
    <t>人潮食品专营店</t>
  </si>
  <si>
    <t>RAzN8HWKuoUpqECehyhngHcsKK3vWaJyWxe8nLTSXzKxzLXeSyJ</t>
  </si>
  <si>
    <t>743666736123</t>
  </si>
  <si>
    <t>illy意利进口咖啡胶囊21粒烘焙意式精品罐装仅适用illy胶囊咖啡机</t>
  </si>
  <si>
    <t>23253</t>
  </si>
  <si>
    <t>932.7137735652592</t>
  </si>
  <si>
    <t>https://detail.tmall.com/item.htm?id=743666736123</t>
  </si>
  <si>
    <t>温州啡乐仕贸易有限公司</t>
  </si>
  <si>
    <t>RAzN8HWJQUSu2f8gPUHb47oNkyky12T79ox4TeJ29csa971hMGV</t>
  </si>
  <si>
    <t>528035847388</t>
  </si>
  <si>
    <t>非速溶新货illy胶囊咖啡深中度烘焙过滤式低因美式X7Y3Y5 100粒</t>
  </si>
  <si>
    <t>23218</t>
  </si>
  <si>
    <t>980.9891455639068</t>
  </si>
  <si>
    <t>https://item.taobao.com/item.htm?id=528035847388</t>
  </si>
  <si>
    <t>23193</t>
  </si>
  <si>
    <t>1082.424852023507</t>
  </si>
  <si>
    <t>佐伊の咖啡屋</t>
  </si>
  <si>
    <t>RAzN8HWLoYWfNzxrbv8CFeXpRm6vp9jUYHSqNWVvN4H5iWoW9vD</t>
  </si>
  <si>
    <t>620990494343</t>
  </si>
  <si>
    <t>星巴克咖啡家享多趣酷思胶囊咖啡花式浓缩咖啡 6款可选 3盒装36粒</t>
  </si>
  <si>
    <t>22972</t>
  </si>
  <si>
    <t>1484.598267641945</t>
  </si>
  <si>
    <t>-48</t>
  </si>
  <si>
    <t>https://item.taobao.com/item.htm?id=620990494343</t>
  </si>
  <si>
    <t>beamtimer治光师旗舰店</t>
  </si>
  <si>
    <t>RAzN8HWQXvu1qaQuNwmS9meWxLCKPshMEpjQYr8MDKmcsYmn6EA</t>
  </si>
  <si>
    <t>740235290973</t>
  </si>
  <si>
    <t>治光师Nespresso胶囊咖啡/茶胶囊意式美式浓缩黑咖啡胶囊组合</t>
  </si>
  <si>
    <t>22950</t>
  </si>
  <si>
    <t>864.0068014200255</t>
  </si>
  <si>
    <t>https://detail.tmall.com/item.htm?id=740235290973</t>
  </si>
  <si>
    <t>22829</t>
  </si>
  <si>
    <t>574.5330129680523</t>
  </si>
  <si>
    <t>JDE海外旗舰店</t>
  </si>
  <si>
    <t>RAzN8HWQEf9UgT4XC9ztkFK487Wnq9YYWRk3JhqVhyRVi8YeiqN</t>
  </si>
  <si>
    <t>618845949094</t>
  </si>
  <si>
    <t>法国LOR咖啡胶囊20粒黑咖啡美式适用雀巢nespresso星巴克咖啡机</t>
  </si>
  <si>
    <t>22730</t>
  </si>
  <si>
    <t>979.7176189904891</t>
  </si>
  <si>
    <t>-121</t>
  </si>
  <si>
    <t>https://detail.tmall.com/item.htm?id=618845949094</t>
  </si>
  <si>
    <t>602550241851</t>
  </si>
  <si>
    <t>星巴克胶囊咖啡Nespresso雀巢胶囊咖啡官方旗舰200粒美式咖啡胶囊</t>
  </si>
  <si>
    <t>22677</t>
  </si>
  <si>
    <t>298.0102681581026</t>
  </si>
  <si>
    <t>https://detail.tmall.com/item.htm?id=602550241851</t>
  </si>
  <si>
    <t>612419230276</t>
  </si>
  <si>
    <t>KIMBO进口意式浓缩咖啡胶囊12盒120粒胶囊咖啡 nespresso系统机用</t>
  </si>
  <si>
    <t>22637</t>
  </si>
  <si>
    <t>910.5696640323712</t>
  </si>
  <si>
    <t>https://detail.tmall.com/item.htm?id=612419230276</t>
  </si>
  <si>
    <t>精挑细选食品专营店</t>
  </si>
  <si>
    <t>RAzN8HWPrLT62yyNvms9PTXcFjVLbRzfnhitmkosdnhovTWFsYj</t>
  </si>
  <si>
    <t>745323261936</t>
  </si>
  <si>
    <t>22440</t>
  </si>
  <si>
    <t>952.8845854216465</t>
  </si>
  <si>
    <t>https://detail.tmall.com/item.htm?id=745323261936</t>
  </si>
  <si>
    <t>598818581161</t>
  </si>
  <si>
    <t>星巴克咖啡进口浓缩NESPRESSO胶囊咖啡4组合40粒222g</t>
  </si>
  <si>
    <t>22319</t>
  </si>
  <si>
    <t>679.0626102850584</t>
  </si>
  <si>
    <t>https://detail.tmall.com/item.htm?id=598818581161</t>
  </si>
  <si>
    <t>555102754700</t>
  </si>
  <si>
    <t>瑞士原产Cafe Royal芮耀胶囊咖啡意式黑咖适用雀巢nespresso机</t>
  </si>
  <si>
    <t>22281</t>
  </si>
  <si>
    <t>1408.172498328588</t>
  </si>
  <si>
    <t>https://item.taobao.com/item.htm?id=555102754700</t>
  </si>
  <si>
    <t>670667946809</t>
  </si>
  <si>
    <t>NESPRESSO胶囊咖啡 Espresso套装 瑞士进口意式浓烈黑咖啡50颗装</t>
  </si>
  <si>
    <t>22217</t>
  </si>
  <si>
    <t>942.7680933399866</t>
  </si>
  <si>
    <t>https://detail.tmall.com/item.htm?id=670667946809</t>
  </si>
  <si>
    <t>598129237946</t>
  </si>
  <si>
    <t>雀巢多趣酷思dolce gusto星巴克胶囊咖啡特选综合咖啡3盒装36颗</t>
  </si>
  <si>
    <t>22071</t>
  </si>
  <si>
    <t>951.1079953060364</t>
  </si>
  <si>
    <t>https://detail.tmall.com/item.htm?id=598129237946</t>
  </si>
  <si>
    <t>652509038265</t>
  </si>
  <si>
    <t>星巴克胶囊咖啡Starbucks多口味自由搭配30粒适合Nespresso咖啡机</t>
  </si>
  <si>
    <t>22037</t>
  </si>
  <si>
    <t>695.7636622399378</t>
  </si>
  <si>
    <t>https://detail.tmall.com/item.htm?id=652509038265</t>
  </si>
  <si>
    <t>753388079420</t>
  </si>
  <si>
    <t>心想进口胶囊咖啡意式浓缩美式黑咖啡适配兼容nespresso胶囊机</t>
  </si>
  <si>
    <t>21798</t>
  </si>
  <si>
    <t>427.3250379687051</t>
  </si>
  <si>
    <t>https://detail.tmall.com/item.htm?id=753388079420</t>
  </si>
  <si>
    <t>654013279681</t>
  </si>
  <si>
    <t>星巴克胶囊咖啡nespresso意式浓缩哥伦比亚美式黑咖啡胶囊粒雀巢</t>
  </si>
  <si>
    <t>21785</t>
  </si>
  <si>
    <t>1005.582170415741</t>
  </si>
  <si>
    <t>-108</t>
  </si>
  <si>
    <t>https://detail.tmall.com/item.htm?id=654013279681</t>
  </si>
  <si>
    <t>21734</t>
  </si>
  <si>
    <t>1494.449196252661</t>
  </si>
  <si>
    <t>21668</t>
  </si>
  <si>
    <t>1347.278057855103</t>
  </si>
  <si>
    <t>CaffeVergnano海外旗舰店</t>
  </si>
  <si>
    <t>RAzN8HWVmizd1gsdwpbhEVbkTcCMiSDH4ZcRBhaMsymWcdpRJi7</t>
  </si>
  <si>
    <t>751107655714</t>
  </si>
  <si>
    <t>CaffeVergnano胶囊咖啡兼容意式浓缩意大利进口10粒 30粒</t>
  </si>
  <si>
    <t>21639</t>
  </si>
  <si>
    <t>430.0451042200189</t>
  </si>
  <si>
    <t>https://detail.tmall.com/item.htm?id=751107655714</t>
  </si>
  <si>
    <t>620068799479</t>
  </si>
  <si>
    <t>瑞士进口雀巢Nespresso大杯胶囊咖啡50粒致敬世界咖啡之都5款50粒</t>
  </si>
  <si>
    <t>21500</t>
  </si>
  <si>
    <t>825.4857589838379</t>
  </si>
  <si>
    <t>https://item.taobao.com/item.htm?id=620068799479</t>
  </si>
  <si>
    <t>21052</t>
  </si>
  <si>
    <t>1270.973994454318</t>
  </si>
  <si>
    <t>627324279582</t>
  </si>
  <si>
    <t>星巴克咖啡胶囊兼容多趣酷思DOLCE GUSTO花式拿铁美式意式3盒套装</t>
  </si>
  <si>
    <t>20990</t>
  </si>
  <si>
    <t>1496.837943736142</t>
  </si>
  <si>
    <t>https://item.taobao.com/item.htm?id=627324279582</t>
  </si>
  <si>
    <t>20986</t>
  </si>
  <si>
    <t>1116.951709017709</t>
  </si>
  <si>
    <t>677846314924</t>
  </si>
  <si>
    <t>欧洲原装进口NESPRESSO胶囊咖啡50粒雀巢星巴克LOR小米心想咖啡机</t>
  </si>
  <si>
    <t>20962</t>
  </si>
  <si>
    <t>683.3066548742822</t>
  </si>
  <si>
    <t>https://detail.tmall.com/item.htm?id=677846314924</t>
  </si>
  <si>
    <t>693676925527</t>
  </si>
  <si>
    <t>雀巢多趣酷思胶囊咖啡Dolce Gusto适合德龙雀巢龙蛋胶囊咖啡机</t>
  </si>
  <si>
    <t>20940</t>
  </si>
  <si>
    <t>1348.643992962552</t>
  </si>
  <si>
    <t>https://detail.tmall.com/item.htm?id=693676925527</t>
  </si>
  <si>
    <t>20888</t>
  </si>
  <si>
    <t>3129.841437872778</t>
  </si>
  <si>
    <t>727637948471</t>
  </si>
  <si>
    <t>【新品】Peets皮爷原装进口胶囊咖啡焦糖风味适配nespresso胶囊机</t>
  </si>
  <si>
    <t>20779</t>
  </si>
  <si>
    <t>932.8851824773507</t>
  </si>
  <si>
    <t>https://detail.tmall.com/item.htm?id=727637948471</t>
  </si>
  <si>
    <t>硕实食品专营店</t>
  </si>
  <si>
    <t>RAzN8HWMcKunxYadr6vLixhi9VBWNCWk21AzdjaqtvxVML28Cnu</t>
  </si>
  <si>
    <t>727059770886</t>
  </si>
  <si>
    <t>日本隅田川咖啡浓缩液胶囊冰美式拿铁提神意式临期速溶AGF blendy</t>
  </si>
  <si>
    <t>20516</t>
  </si>
  <si>
    <t>659.9805162218237</t>
  </si>
  <si>
    <t>https://detail.tmall.com/item.htm?id=727059770886</t>
  </si>
  <si>
    <t>602759170749</t>
  </si>
  <si>
    <t>星巴克咖啡胶囊Nespresso雀巢胶囊咖啡15盒浓缩冰美式咖啡胶囊</t>
  </si>
  <si>
    <t>20507</t>
  </si>
  <si>
    <t>329.3789226526501</t>
  </si>
  <si>
    <t>https://detail.tmall.com/item.htm?id=602759170749</t>
  </si>
  <si>
    <t>668760270058</t>
  </si>
  <si>
    <t>星巴克胶囊咖啡无蔗糖冰美式Nespresso雀巢黑咖啡胶囊10口味100粒</t>
  </si>
  <si>
    <t>20403</t>
  </si>
  <si>
    <t>820.22284625398</t>
  </si>
  <si>
    <t>https://detail.tmall.com/item.htm?id=668760270058</t>
  </si>
  <si>
    <t>650882936395</t>
  </si>
  <si>
    <t>illy法国进口胶囊咖啡兼容Nespresso小米咖啡机意式美式咖啡胶囊</t>
  </si>
  <si>
    <t>20357</t>
  </si>
  <si>
    <t>750.5549744199848</t>
  </si>
  <si>
    <t>-55</t>
  </si>
  <si>
    <t>https://detail.tmall.com/item.htm?id=650882936395</t>
  </si>
  <si>
    <t>603280473922</t>
  </si>
  <si>
    <t>【新货】illy胶囊咖啡2罐巴西埃塞俄比亚危地马拉深中焙Y3.3X7.1</t>
  </si>
  <si>
    <t>20212</t>
  </si>
  <si>
    <t>1302.146484378442</t>
  </si>
  <si>
    <t>https://item.taobao.com/item.htm?id=603280473922</t>
  </si>
  <si>
    <t>720082512094</t>
  </si>
  <si>
    <t>illy意利法国进口30粒胶囊咖啡 兼容雀巢Nespresso咖啡机咖啡胶囊</t>
  </si>
  <si>
    <t>20183</t>
  </si>
  <si>
    <t>646.6457481258726</t>
  </si>
  <si>
    <t>https://detail.tmall.com/item.htm?id=720082512094</t>
  </si>
  <si>
    <t>咖茶主营店</t>
  </si>
  <si>
    <t>RAzN8HWa62W67NkWeWcGcfLUcFGizvaC5Ngf2zpPzfschkXL2qX</t>
  </si>
  <si>
    <t>609968380591</t>
  </si>
  <si>
    <t>法国原装进口jacobs LOR咖啡胶囊意式100粒 兼容雀巢NS版心想机</t>
  </si>
  <si>
    <t>19972</t>
  </si>
  <si>
    <t>1399.869685067256</t>
  </si>
  <si>
    <t>-73</t>
  </si>
  <si>
    <t>https://item.taobao.com/item.htm?id=609968380591</t>
  </si>
  <si>
    <t>680832105335</t>
  </si>
  <si>
    <t>法国进口NESPRESSO胶囊咖啡100粒套装LOR适用雀巢小米胶囊咖啡机</t>
  </si>
  <si>
    <t>19924</t>
  </si>
  <si>
    <t>1132.860923736547</t>
  </si>
  <si>
    <t>https://detail.tmall.com/item.htm?id=680832105335</t>
  </si>
  <si>
    <t>608158736590</t>
  </si>
  <si>
    <t>星巴克咖啡胶囊浓缩美式大杯(兼容雀巢NESPRESSO及小米心想咖啡机</t>
  </si>
  <si>
    <t>19643</t>
  </si>
  <si>
    <t>1050.570478561124</t>
  </si>
  <si>
    <t>https://item.taobao.com/item.htm?id=608158736590</t>
  </si>
  <si>
    <t>541809381612</t>
  </si>
  <si>
    <t>kimbo意大利进口意式浓缩脱低因咖啡胶囊10粒兼容nespresso系统机</t>
  </si>
  <si>
    <t>19621</t>
  </si>
  <si>
    <t>942.4021924435089</t>
  </si>
  <si>
    <t>https://detail.tmall.com/item.htm?id=541809381612</t>
  </si>
  <si>
    <t>柚子西选</t>
  </si>
  <si>
    <t>RAzN8HWY8iWwMLbxkR5EdcT7VeGjooQ4AucfBYHGU6JmXUarroB</t>
  </si>
  <si>
    <t>666288923560</t>
  </si>
  <si>
    <t>illy意利兼容雀巢Nespresso小米咖啡胶囊中深重度低因意式浓缩57g</t>
  </si>
  <si>
    <t>19544</t>
  </si>
  <si>
    <t>916.9974391286243</t>
  </si>
  <si>
    <t>https://item.taobao.com/item.htm?id=666288923560</t>
  </si>
  <si>
    <t>745321465706</t>
  </si>
  <si>
    <t>【新鲜日期】illy意利浓缩胶囊咖啡美式黑咖啡适配nespresso30粒</t>
  </si>
  <si>
    <t>19518</t>
  </si>
  <si>
    <t>967.5064453647135</t>
  </si>
  <si>
    <t>https://detail.tmall.com/item.htm?id=745321465706</t>
  </si>
  <si>
    <t>622150576593</t>
  </si>
  <si>
    <t>Peets皮爷胶囊咖啡美式浓缩黑咖啡粉意式70颗适配espresso胶囊机</t>
  </si>
  <si>
    <t>19426</t>
  </si>
  <si>
    <t>745.8424585792367</t>
  </si>
  <si>
    <t>https://detail.tmall.com/item.htm?id=622150576593</t>
  </si>
  <si>
    <t>艾薇零食甜品铺</t>
  </si>
  <si>
    <t>RAzN8HAwV2hsp8gjrnUboxpCG3fco</t>
  </si>
  <si>
    <t>674998014758</t>
  </si>
  <si>
    <t>日本进口AGF blendy胶囊浓缩液体咖啡液无蔗糖速溶提神冷萃黑咖啡</t>
  </si>
  <si>
    <t>19360</t>
  </si>
  <si>
    <t>1310.008794714051</t>
  </si>
  <si>
    <t>https://item.taobao.com/item.htm?id=674998014758</t>
  </si>
  <si>
    <t>683420030779</t>
  </si>
  <si>
    <t>雀巢多趣酷思胶囊咖啡dolce gusto拿铁冰美式意式浓缩卡布奇诺3盒</t>
  </si>
  <si>
    <t>19298</t>
  </si>
  <si>
    <t>1195.708001057561</t>
  </si>
  <si>
    <t>https://item.taobao.com/item.htm?id=683420030779</t>
  </si>
  <si>
    <t>599576077989</t>
  </si>
  <si>
    <t>星巴克咖啡家享多趣酷思胶囊咖啡浓缩黑咖啡5盒60粒</t>
  </si>
  <si>
    <t>19179</t>
  </si>
  <si>
    <t>439.9885526376974</t>
  </si>
  <si>
    <t>https://detail.tmall.com/item.htm?id=599576077989</t>
  </si>
  <si>
    <t>706728560063</t>
  </si>
  <si>
    <t>雀巢NESPRESSO胶囊咖啡多种套装50颗装意式浓缩黑咖啡 日期新鲜</t>
  </si>
  <si>
    <t>19095</t>
  </si>
  <si>
    <t>783.1190211356613</t>
  </si>
  <si>
    <t>https://detail.tmall.com/item.htm?id=706728560063</t>
  </si>
  <si>
    <t>博友美食品专营店</t>
  </si>
  <si>
    <t>RAzN8HWRbcvq7UsQzVxo7QZyo3MZKhHM8qSANXYhqk5CjCXyYsY</t>
  </si>
  <si>
    <t>578461989891</t>
  </si>
  <si>
    <t>原装雀巢多趣酷思DOLCE GUSTO拿铁摩卡卡布奇诺咖啡胶囊16粒X3盒</t>
  </si>
  <si>
    <t>19021</t>
  </si>
  <si>
    <t>1330.252030964242</t>
  </si>
  <si>
    <t>https://detail.tmall.com/item.htm?id=578461989891</t>
  </si>
  <si>
    <t>637690992561</t>
  </si>
  <si>
    <t>illy进口浓缩兼容咖啡意式美式胶囊10颗适配nespresso机</t>
  </si>
  <si>
    <t>18893</t>
  </si>
  <si>
    <t>1007.693907908674</t>
  </si>
  <si>
    <t>https://detail.tmall.com/item.htm?id=637690992561</t>
  </si>
  <si>
    <t>18884</t>
  </si>
  <si>
    <t>1423.177465450848</t>
  </si>
  <si>
    <t>716873655307</t>
  </si>
  <si>
    <t>雀巢胶囊咖啡nespresso咖啡胶囊意利illy星巴克意式浓缩黑咖50粒</t>
  </si>
  <si>
    <t>18852</t>
  </si>
  <si>
    <t>644.8468661243967</t>
  </si>
  <si>
    <t>https://detail.tmall.com/item.htm?id=716873655307</t>
  </si>
  <si>
    <t>18726</t>
  </si>
  <si>
    <t>582.2994278140255</t>
  </si>
  <si>
    <t>738178585503</t>
  </si>
  <si>
    <t>Peets皮爷进口精品胶囊咖啡30颗混合适配nespresso胶囊机</t>
  </si>
  <si>
    <t>18566</t>
  </si>
  <si>
    <t>890.1265337417504</t>
  </si>
  <si>
    <t>https://item.taobao.com/item.htm?id=738178585503</t>
  </si>
  <si>
    <t>556101368693</t>
  </si>
  <si>
    <t>三盒包邮 雀巢咖啡胶囊dolce gusto胶囊咖啡 适用多趣酷思咖啡机</t>
  </si>
  <si>
    <t>18484</t>
  </si>
  <si>
    <t>1074.251427781755</t>
  </si>
  <si>
    <t>https://item.taobao.com/item.htm?id=556101368693</t>
  </si>
  <si>
    <t>712554725622</t>
  </si>
  <si>
    <t>新！进口雀巢Nespresso23年圣诞胶囊咖啡30粒 焦糖坚果 暖心香料</t>
  </si>
  <si>
    <t>18438</t>
  </si>
  <si>
    <t>895.4078192815987</t>
  </si>
  <si>
    <t>https://item.taobao.com/item.htm?id=712554725622</t>
  </si>
  <si>
    <t>694457464542</t>
  </si>
  <si>
    <t>[限定礼盒]Peets皮爷原装进口精品胶囊咖啡40颗装太妃糖组合</t>
  </si>
  <si>
    <t>18376</t>
  </si>
  <si>
    <t>488.8168655744871</t>
  </si>
  <si>
    <t>https://detail.tmall.com/item.htm?id=694457464542</t>
  </si>
  <si>
    <t>661590954927</t>
  </si>
  <si>
    <t>五折特惠Romaunt意式浓缩胶囊咖啡80粒组合装适用nespresso胶囊机</t>
  </si>
  <si>
    <t>18357</t>
  </si>
  <si>
    <t>495.1002676311812</t>
  </si>
  <si>
    <t>https://detail.tmall.com/item.htm?id=661590954927</t>
  </si>
  <si>
    <t>706768598760</t>
  </si>
  <si>
    <t>（临期特价）星巴克雀巢咖啡胶囊咖啡豆咖啡粉速溶咖啡随星杯</t>
  </si>
  <si>
    <t>18339</t>
  </si>
  <si>
    <t>191.9976538362984</t>
  </si>
  <si>
    <t>https://item.taobao.com/item.htm?id=706768598760</t>
  </si>
  <si>
    <t>COFFEE部落</t>
  </si>
  <si>
    <t>RAzN8HWQtjzwinoPorC59XwkiYyVdWvVVFdhW4o8uAZvPtt1fku</t>
  </si>
  <si>
    <t>657775430998</t>
  </si>
  <si>
    <t>星巴克胶囊咖啡雀巢Nespresso意式浓缩黒咖啡适用小米心想咖啡机</t>
  </si>
  <si>
    <t>18334</t>
  </si>
  <si>
    <t>1146.545499370863</t>
  </si>
  <si>
    <t>https://item.taobao.com/item.htm?id=657775430998</t>
  </si>
  <si>
    <t>44993336162</t>
  </si>
  <si>
    <t>雀巢多趣酷思胶囊咖啡Dolce Gusto美式醇香/美式浓黑/大杯纯咖啡</t>
  </si>
  <si>
    <t>18248</t>
  </si>
  <si>
    <t>1522.479547940346</t>
  </si>
  <si>
    <t>https://item.taobao.com/item.htm?id=44993336162</t>
  </si>
  <si>
    <t>719655356772</t>
  </si>
  <si>
    <t>德国进口胶囊咖啡粒适用于雀巢nespresso奈斯派索星巴克意式浓缩</t>
  </si>
  <si>
    <t>18237</t>
  </si>
  <si>
    <t>881.1193767562028</t>
  </si>
  <si>
    <t>https://detail.tmall.com/item.htm?id=719655356772</t>
  </si>
  <si>
    <t>690414716041</t>
  </si>
  <si>
    <t>原装进口Nespresso胶囊咖啡星巴克LOR芮耀illy拉瓦萨多品牌100粒</t>
  </si>
  <si>
    <t>18149</t>
  </si>
  <si>
    <t>767.3564883329336</t>
  </si>
  <si>
    <t>https://detail.tmall.com/item.htm?id=690414716041</t>
  </si>
  <si>
    <t>562248062426</t>
  </si>
  <si>
    <t>进口雀巢星巴克Nespresso商用胶囊咖啡奈斯派索胶囊多款口味50粒</t>
  </si>
  <si>
    <t>18114</t>
  </si>
  <si>
    <t>686.2429252792765</t>
  </si>
  <si>
    <t>-46</t>
  </si>
  <si>
    <t>https://detail.tmall.com/item.htm?id=562248062426</t>
  </si>
  <si>
    <t>ACECOF旗舰店</t>
  </si>
  <si>
    <t>RAzN8HWRSqnhGWMn2rp13gBfszkBQH4srYQ1vwGqaoJsJuqTVVN</t>
  </si>
  <si>
    <t>655108240012</t>
  </si>
  <si>
    <t>ACECOF胶囊咖啡意式浓缩 兼容小米 雀巢Nespresso咖啡机original</t>
  </si>
  <si>
    <t>18066</t>
  </si>
  <si>
    <t>727.6115533435075</t>
  </si>
  <si>
    <t>https://detail.tmall.com/item.htm?id=655108240012</t>
  </si>
  <si>
    <t>559204493473</t>
  </si>
  <si>
    <t>雀巢多趣酷思胶囊黑咖啡dolce gusto意式浓缩咖啡3盒装48颗</t>
  </si>
  <si>
    <t>17972</t>
  </si>
  <si>
    <t>730.2005152939628</t>
  </si>
  <si>
    <t>https://detail.tmall.com/item.htm?id=559204493473</t>
  </si>
  <si>
    <t>17959</t>
  </si>
  <si>
    <t>1431.805842688789</t>
  </si>
  <si>
    <t>605633311380</t>
  </si>
  <si>
    <t>【入会专享价】进口Lor胶囊黑咖啡6盒/60粒适配 nespresso 咖啡机</t>
  </si>
  <si>
    <t>17872</t>
  </si>
  <si>
    <t>1145.968646935568</t>
  </si>
  <si>
    <t>https://detail.tmall.com/item.htm?id=605633311380</t>
  </si>
  <si>
    <t>17853</t>
  </si>
  <si>
    <t>1005.047230816402</t>
  </si>
  <si>
    <t>632649828425</t>
  </si>
  <si>
    <t>瑞士雀巢Nespresso/奈斯派索VERTUO咖啡机专用胶囊咖啡半球形浓缩</t>
  </si>
  <si>
    <t>17798</t>
  </si>
  <si>
    <t>791.2604437451279</t>
  </si>
  <si>
    <t>https://detail.tmall.com/item.htm?id=632649828425</t>
  </si>
  <si>
    <t>598613610401</t>
  </si>
  <si>
    <t>星巴克胶囊咖啡多趣酷思胶囊咖啡礼盒意式拿铁冰咖啡美式浓缩胶囊</t>
  </si>
  <si>
    <t>17766</t>
  </si>
  <si>
    <t>719.0300273659118</t>
  </si>
  <si>
    <t>https://detail.tmall.com/item.htm?id=598613610401</t>
  </si>
  <si>
    <t>冲饮食品小铺</t>
  </si>
  <si>
    <t>RAzN8HWJyzNbYAPGcDYuzL2TDEnfaGAQoRkGgfG2BVxQ1UiihjA</t>
  </si>
  <si>
    <t>743635245371</t>
  </si>
  <si>
    <t>17624</t>
  </si>
  <si>
    <t>809.8147178881671</t>
  </si>
  <si>
    <t>https://item.taobao.com/item.htm?id=743635245371</t>
  </si>
  <si>
    <t>599202280005</t>
  </si>
  <si>
    <t>瑞士进口雀巢NESPRESSO奈斯派索意式浓缩胶囊黑咖啡无添蔗糖10颗</t>
  </si>
  <si>
    <t>17543</t>
  </si>
  <si>
    <t>715.3566943723139</t>
  </si>
  <si>
    <t>https://detail.tmall.com/item.htm?id=599202280005</t>
  </si>
  <si>
    <t>599345548175</t>
  </si>
  <si>
    <t>星巴克进口多趣酷思胶囊咖啡粒美式浓缩冰美式黑咖啡胶囊40粒</t>
  </si>
  <si>
    <t>672.4586659549044</t>
  </si>
  <si>
    <t>https://detail.tmall.com/item.htm?id=599345548175</t>
  </si>
  <si>
    <t>17514</t>
  </si>
  <si>
    <t>1120.500093689511</t>
  </si>
  <si>
    <t>隅田川班顿专卖店</t>
  </si>
  <si>
    <t>RAzN8HWbNfDoMusHhVP247MVfhyohCeGySUrPYupd18J6wAxZjJ</t>
  </si>
  <si>
    <t>672085311115</t>
  </si>
  <si>
    <t>隅田川咖啡浓缩液抹茶胶囊咖啡懒人DIY美式冷萃速溶黑咖啡液原液</t>
  </si>
  <si>
    <t>17436</t>
  </si>
  <si>
    <t>813.3509661213468</t>
  </si>
  <si>
    <t>https://detail.tmall.com/item.htm?id=672085311115</t>
  </si>
  <si>
    <t>606022793684</t>
  </si>
  <si>
    <t>【入会专享价】进口Lor胶囊黑咖啡5盒/50粒适配 星巴克 咖啡机</t>
  </si>
  <si>
    <t>17411</t>
  </si>
  <si>
    <t>1159.639690812142</t>
  </si>
  <si>
    <t>https://detail.tmall.com/item.htm?id=606022793684</t>
  </si>
  <si>
    <t>603572898731</t>
  </si>
  <si>
    <t>原装进口Jacobs胶囊咖啡意式浓缩美式10粒(兼容雀巢NESPRESSO心想</t>
  </si>
  <si>
    <t>17367</t>
  </si>
  <si>
    <t>1258.20740642627</t>
  </si>
  <si>
    <t>https://item.taobao.com/item.htm?id=603572898731</t>
  </si>
  <si>
    <t>17243</t>
  </si>
  <si>
    <t>543.652760697409</t>
  </si>
  <si>
    <t>蜡竹小新</t>
  </si>
  <si>
    <t>RAzN8HWTEidYsH59QKtTSybVAZybXpFEMyaFCaXW1QAURHHu7PJ</t>
  </si>
  <si>
    <t>587950496143</t>
  </si>
  <si>
    <t>日本进口冲饮AGFblendy浓缩液体胶囊咖啡108g速溶网红拿铁冰咖啡</t>
  </si>
  <si>
    <t>17240</t>
  </si>
  <si>
    <t>897.0143957889986</t>
  </si>
  <si>
    <t>https://item.taobao.com/item.htm?id=587950496143</t>
  </si>
  <si>
    <t>17236</t>
  </si>
  <si>
    <t>671.0757866428495</t>
  </si>
  <si>
    <t>715087185110</t>
  </si>
  <si>
    <t>【入会专享价】进口Lor胶囊黑咖啡10盒/100粒 适配 星巴克 咖啡机</t>
  </si>
  <si>
    <t>17234</t>
  </si>
  <si>
    <t>774.5859133414283</t>
  </si>
  <si>
    <t>https://detail.tmall.com/item.htm?id=715087185110</t>
  </si>
  <si>
    <t>739229247046</t>
  </si>
  <si>
    <t>新品！拉瓦萨Lavazza 胶囊咖啡Nespresso适用雀巢奈斯派索咖啡机</t>
  </si>
  <si>
    <t>17169</t>
  </si>
  <si>
    <t>980.2858798651165</t>
  </si>
  <si>
    <t>https://item.taobao.com/item.htm?id=739229247046</t>
  </si>
  <si>
    <t>599199331349</t>
  </si>
  <si>
    <t>星巴克咖啡多趣酷思胶囊咖啡花式焦糖玛奇朵4盒48粒</t>
  </si>
  <si>
    <t>17145</t>
  </si>
  <si>
    <t>667.4287579040106</t>
  </si>
  <si>
    <t>https://detail.tmall.com/item.htm?id=599199331349</t>
  </si>
  <si>
    <t>零点吃货</t>
  </si>
  <si>
    <t>RAzN8HWQy7dLg1LpsRhMPyeGkrHPMF72vRsEqJEZL7dCY7ui7Ni</t>
  </si>
  <si>
    <t>728801689543</t>
  </si>
  <si>
    <t>清仓临期特价隅田川25杯意式生椰进口胶囊咖啡液浓缩液鲜萃黑咖啡</t>
  </si>
  <si>
    <t>17123</t>
  </si>
  <si>
    <t>440.2567939369143</t>
  </si>
  <si>
    <t>https://item.taobao.com/item.htm?id=728801689543</t>
  </si>
  <si>
    <t>学习贵夫人</t>
  </si>
  <si>
    <t>RAzN8HWVzEBr5KbCVJQuF5VQobRoyvEqGsC5gzVcveLKMvixyF7</t>
  </si>
  <si>
    <t>670626736838</t>
  </si>
  <si>
    <t>日本AGF Blendy stick原味牛奶咖啡微糖低因速溶咖啡无糖拿铁学生</t>
  </si>
  <si>
    <t>17071</t>
  </si>
  <si>
    <t>1898.144129539942</t>
  </si>
  <si>
    <t>https://item.taobao.com/item.htm?id=670626736838</t>
  </si>
  <si>
    <t>可见可享食品专营店</t>
  </si>
  <si>
    <t>RAzN8HWXHhZwReE9SzPky8LWQ6rFJGKKQHJmE86wSwdT7XYTAR3</t>
  </si>
  <si>
    <t>677896312172</t>
  </si>
  <si>
    <t>星巴克咖啡胶囊拿铁美式焦糖雀巢适用多趣酷思dolcegusto黑咖啡机</t>
  </si>
  <si>
    <t>17009</t>
  </si>
  <si>
    <t>995.7192744920626</t>
  </si>
  <si>
    <t>https://detail.tmall.com/item.htm?id=677896312172</t>
  </si>
  <si>
    <t>582704580343</t>
  </si>
  <si>
    <t>雀巢多趣酷思胶囊咖啡Dolce Gusto菲拉白花式咖啡3盒装48颗</t>
  </si>
  <si>
    <t>16917</t>
  </si>
  <si>
    <t>1080.726650617376</t>
  </si>
  <si>
    <t>https://detail.tmall.com/item.htm?id=582704580343</t>
  </si>
  <si>
    <t>16858</t>
  </si>
  <si>
    <t>1108.976893910715</t>
  </si>
  <si>
    <t>532957166319</t>
  </si>
  <si>
    <t>原装进口雀巢星巴克Nespresso商用胶囊咖啡商务商业50粒/盒</t>
  </si>
  <si>
    <t>16783</t>
  </si>
  <si>
    <t>845.169286909061</t>
  </si>
  <si>
    <t>https://item.taobao.com/item.htm?id=532957166319</t>
  </si>
  <si>
    <t>642487054047</t>
  </si>
  <si>
    <t>上新! 瑞士雀巢Nespresso低因胶囊纯咖啡无糖 30粒 decaffeinatto</t>
  </si>
  <si>
    <t>16693</t>
  </si>
  <si>
    <t>1085.526338484318</t>
  </si>
  <si>
    <t>https://item.taobao.com/item.htm?id=642487054047</t>
  </si>
  <si>
    <t>先赚个小目标</t>
  </si>
  <si>
    <t>RAzN8HWQtEXMdBqCUuvohH3z22xZt2KzjmHnB7e47HdbBm2z5rW</t>
  </si>
  <si>
    <t>699024980234</t>
  </si>
  <si>
    <t>现货日本AGF Blendy浓缩咖啡液胶囊美式无蔗糖黑咖啡拿铁</t>
  </si>
  <si>
    <t>16631</t>
  </si>
  <si>
    <t>1054.607877057991</t>
  </si>
  <si>
    <t>https://item.taobao.com/item.htm?id=699024980234</t>
  </si>
  <si>
    <t>566151992690</t>
  </si>
  <si>
    <t>德国进口BOSCH博世Tassimo胶囊咖啡L&amp;#39;OR拿铁卡布奇诺美式意式可选</t>
  </si>
  <si>
    <t>16400</t>
  </si>
  <si>
    <t>1126.786489958125</t>
  </si>
  <si>
    <t>https://detail.tmall.com/item.htm?id=566151992690</t>
  </si>
  <si>
    <t>乌鸦咖啡馆企业店</t>
  </si>
  <si>
    <t>RAzN8HWLyrnc6YMcnLibFaxiAcQMmFQaoAxuv3vP8ismqHweLn5</t>
  </si>
  <si>
    <t>673809273352</t>
  </si>
  <si>
    <t>法国原装illy意利咖啡胶囊兼容雀巢nespresso胶囊咖啡意美式30粒</t>
  </si>
  <si>
    <t>16389</t>
  </si>
  <si>
    <t>775.6418242785511</t>
  </si>
  <si>
    <t>https://item.taobao.com/item.htm?id=673809273352</t>
  </si>
  <si>
    <t>631599108878</t>
  </si>
  <si>
    <t>法国LOR咖啡胶囊适用雀巢Nespresso奈斯派索小米心想胶囊咖啡机</t>
  </si>
  <si>
    <t>16384</t>
  </si>
  <si>
    <t>1187.613416629955</t>
  </si>
  <si>
    <t>https://item.taobao.com/item.htm?id=631599108878</t>
  </si>
  <si>
    <t>腾辉食品专营店</t>
  </si>
  <si>
    <t>RAzN8HWXJ1WD4Lhua3gRdrrhvY6zoRa8MicBP92iVuZXBHNcjjz</t>
  </si>
  <si>
    <t>746190073374</t>
  </si>
  <si>
    <t>16304</t>
  </si>
  <si>
    <t>833.5617355956615</t>
  </si>
  <si>
    <t>https://detail.tmall.com/item.htm?id=746190073374</t>
  </si>
  <si>
    <t>16706903575</t>
  </si>
  <si>
    <t>Nespresso雀巢咖啡胶囊 Ristretto芮斯崔朵 1号 10粒/条</t>
  </si>
  <si>
    <t>16301</t>
  </si>
  <si>
    <t>1444.817138732956</t>
  </si>
  <si>
    <t>https://item.taobao.com/item.htm?id=16706903575</t>
  </si>
  <si>
    <t>eastsign旗舰店</t>
  </si>
  <si>
    <t>RAzN8HWSMbZ9di5zwxuBiARYwjxg194ou78ZpgNLd1cA35ZPkna</t>
  </si>
  <si>
    <t>656609798798</t>
  </si>
  <si>
    <t>Eastsign易晓胶囊咖啡进口意式浓缩咖啡100粒兼容Nespresso胶囊机</t>
  </si>
  <si>
    <t>16253</t>
  </si>
  <si>
    <t>442.0655686005681</t>
  </si>
  <si>
    <t>-28</t>
  </si>
  <si>
    <t>https://detail.tmall.com/item.htm?id=656609798798</t>
  </si>
  <si>
    <t>679173453808</t>
  </si>
  <si>
    <t>雀巢dolce gusto多趣酷思胶囊咖啡 卡布奇诺拿铁玛奇朵系列3盒装</t>
  </si>
  <si>
    <t>16219</t>
  </si>
  <si>
    <t>1472.550849784885</t>
  </si>
  <si>
    <t>https://item.taobao.com/item.htm?id=679173453808</t>
  </si>
  <si>
    <t>708549270970</t>
  </si>
  <si>
    <t>瑞士原装进口Nespresso胶囊咖啡意式美式浓缩精选风味雀巢40粒装</t>
  </si>
  <si>
    <t>16187</t>
  </si>
  <si>
    <t>535.663094812107</t>
  </si>
  <si>
    <t>https://detail.tmall.com/item.htm?id=708549270970</t>
  </si>
  <si>
    <t>745029868379</t>
  </si>
  <si>
    <t>瑞士原装进口Nespresso/奈斯派索 雀巢胶囊咖啡美式意式浓缩100粒</t>
  </si>
  <si>
    <t>16174</t>
  </si>
  <si>
    <t>727.1547841841673</t>
  </si>
  <si>
    <t>https://detail.tmall.com/item.htm?id=745029868379</t>
  </si>
  <si>
    <t>阿夫胶囊咖啡</t>
  </si>
  <si>
    <t>RAzN8HWXVFtd9bsAaj9wKEt9W4AepyresSA7h6cUdB6JPMQDoW2</t>
  </si>
  <si>
    <t>561937667616</t>
  </si>
  <si>
    <t>星巴克咖啡胶囊Starbucks KCUP美式k-cup拿铁热巧克力香草Keurig</t>
  </si>
  <si>
    <t>16169</t>
  </si>
  <si>
    <t>813.4304347071101</t>
  </si>
  <si>
    <t>https://item.taobao.com/item.htm?id=561937667616</t>
  </si>
  <si>
    <t>598789842465</t>
  </si>
  <si>
    <t>CafeRoyal芮耀瑞士进口胶囊咖啡低因浓缩10颗兼容nespresso雀巢机</t>
  </si>
  <si>
    <t>16153</t>
  </si>
  <si>
    <t>1017.799563942496</t>
  </si>
  <si>
    <t>https://detail.tmall.com/item.htm?id=598789842465</t>
  </si>
  <si>
    <t>629688552721</t>
  </si>
  <si>
    <t>雀巢胶囊咖啡多趣酷思DOLCE GUSTO花式拿铁纯咖啡美式意式3盒套装</t>
  </si>
  <si>
    <t>16122</t>
  </si>
  <si>
    <t>1290.256257425006</t>
  </si>
  <si>
    <t>https://item.taobao.com/item.htm?id=629688552721</t>
  </si>
  <si>
    <t>673963859631</t>
  </si>
  <si>
    <t>ACECOF胶囊咖啡重度烘焙意式浓缩 兼容小米 雀巢Nespresso咖啡机</t>
  </si>
  <si>
    <t>16059</t>
  </si>
  <si>
    <t>741.8597978272652</t>
  </si>
  <si>
    <t>https://detail.tmall.com/item.htm?id=673963859631</t>
  </si>
  <si>
    <t>540758835506</t>
  </si>
  <si>
    <t>雀巢多趣酷思胶囊咖啡dolcegusto拿铁玛奇朵研磨咖啡3盒装48颗</t>
  </si>
  <si>
    <t>16034</t>
  </si>
  <si>
    <t>942.8916617459278</t>
  </si>
  <si>
    <t>https://detail.tmall.com/item.htm?id=540758835506</t>
  </si>
  <si>
    <t>575032855530</t>
  </si>
  <si>
    <t>illy意利胶囊咖啡粉中深度烘焙低因意式美式危地埃塞巴西哥伦21粒</t>
  </si>
  <si>
    <t>16000</t>
  </si>
  <si>
    <t>849.7587012405759</t>
  </si>
  <si>
    <t>https://item.taobao.com/item.htm?id=575032855530</t>
  </si>
  <si>
    <t>620991142153</t>
  </si>
  <si>
    <t>雀巢多趣酷思胶囊咖啡dolce gusto 美式醇香黑咖啡 原装进口48粒</t>
  </si>
  <si>
    <t>15935</t>
  </si>
  <si>
    <t>1981.209879385612</t>
  </si>
  <si>
    <t>https://item.taobao.com/item.htm?id=620991142153</t>
  </si>
  <si>
    <t>喜桃 日杂店</t>
  </si>
  <si>
    <t>RAzN8HWPibwTRKaGE3E2BM9fsZMdbjEQUuC4FgwifsMJovGyiZB</t>
  </si>
  <si>
    <t>739882403364</t>
  </si>
  <si>
    <t>日本进口AGF blendy液体胶囊浓缩咖啡液美式速溶冷萃黑咖啡6枚</t>
  </si>
  <si>
    <t>15885</t>
  </si>
  <si>
    <t>1083.762160995893</t>
  </si>
  <si>
    <t>https://item.taobao.com/item.htm?id=739882403364</t>
  </si>
  <si>
    <t>15868</t>
  </si>
  <si>
    <t>657.1918739521393</t>
  </si>
  <si>
    <t>729763787390</t>
  </si>
  <si>
    <t>雀巢多趣酷思胶囊咖啡星巴克dolce gusto胶囊咖啡机美式意式醇香</t>
  </si>
  <si>
    <t>15773</t>
  </si>
  <si>
    <t>979.3468342568407</t>
  </si>
  <si>
    <t>https://detail.tmall.com/item.htm?id=729763787390</t>
  </si>
  <si>
    <t>奈斯船长NesCap</t>
  </si>
  <si>
    <t>RAzN8HWMqpaQQ4k23Coqkoj6PGSfJkFb8W1qkaiKrucaJkmjykZ</t>
  </si>
  <si>
    <t>737366533040</t>
  </si>
  <si>
    <t>Nespresso胶囊咖啡意式雀巢奈斯派索小米心想胶囊咖啡机器铝壳</t>
  </si>
  <si>
    <t>15751</t>
  </si>
  <si>
    <t>602.2626727784411</t>
  </si>
  <si>
    <t>https://item.taobao.com/item.htm?id=737366533040</t>
  </si>
  <si>
    <t>688188992450</t>
  </si>
  <si>
    <t>新！瑞士进口雀巢Nespresso圣诞日历礼盒24粒咖啡胶囊+限量马克杯</t>
  </si>
  <si>
    <t>15734</t>
  </si>
  <si>
    <t>649.8616776400976</t>
  </si>
  <si>
    <t>https://item.taobao.com/item.htm?id=688188992450</t>
  </si>
  <si>
    <t>capzo旗舰店</t>
  </si>
  <si>
    <t>RAzN8HWTVoNqjaUyFGUSYYRnuLgMSJ86HXhZKMVXXheDH5gD3s5</t>
  </si>
  <si>
    <t>633357528817</t>
  </si>
  <si>
    <t>咖索CAPZO美式现磨香草哥伦比亚蓝山意式早餐浓缩黑咖啡胶囊KCUP</t>
  </si>
  <si>
    <t>15670</t>
  </si>
  <si>
    <t>1074.32106316111</t>
  </si>
  <si>
    <t>https://detail.tmall.com/item.htm?id=633357528817</t>
  </si>
  <si>
    <t>606461283784</t>
  </si>
  <si>
    <t>【入会专享价】进口Lor胶囊黑咖啡3盒/30粒 适配 星巴克 咖啡机</t>
  </si>
  <si>
    <t>15517</t>
  </si>
  <si>
    <t>957.2130655259901</t>
  </si>
  <si>
    <t>https://detail.tmall.com/item.htm?id=606461283784</t>
  </si>
  <si>
    <t>麦思顿饮品专营店</t>
  </si>
  <si>
    <t>RAzN8HWTB4EmoQSRsArdbRg43mFEeYxgMTkpjcdaZswxfbHtANj</t>
  </si>
  <si>
    <t>669847629276</t>
  </si>
  <si>
    <t>极睿意式浓缩胶囊咖啡50粒桶装特浓纯咖啡粉适用Nespresso胶囊机</t>
  </si>
  <si>
    <t>15476</t>
  </si>
  <si>
    <t>https://detail.tmall.com/item.htm?id=669847629276</t>
  </si>
  <si>
    <t>741966860794</t>
  </si>
  <si>
    <t>意大利进口西西里胶囊咖啡70粒特惠套装意式浓缩黑咖啡Nespresso</t>
  </si>
  <si>
    <t>15454</t>
  </si>
  <si>
    <t>709.6419629859125</t>
  </si>
  <si>
    <t>https://detail.tmall.com/item.htm?id=741966860794</t>
  </si>
  <si>
    <t>611419055050</t>
  </si>
  <si>
    <t>星巴克雀巢DOLCE GUSTO多趣酷思胶囊咖啡焦糖拿铁卡布奇诺12粒/盒</t>
  </si>
  <si>
    <t>15438</t>
  </si>
  <si>
    <t>1066.38651225394</t>
  </si>
  <si>
    <t>https://detail.tmall.com/item.htm?id=611419055050</t>
  </si>
  <si>
    <t>708955045160</t>
  </si>
  <si>
    <t>【冠军推荐】雀巢多趣酷思dolce&amp;nbsp;gusto胶囊咖啡自制4盒装56颗</t>
  </si>
  <si>
    <t>15394</t>
  </si>
  <si>
    <t>641.5458703529088</t>
  </si>
  <si>
    <t>https://detail.tmall.com/item.htm?id=708955045160</t>
  </si>
  <si>
    <t>每日黑咖</t>
  </si>
  <si>
    <t>RAzN8HWNKkd9wgq6zWbei6QjrVPmFtuYqHGBHhSZyXdzjxUmPnh</t>
  </si>
  <si>
    <t>683047723309</t>
  </si>
  <si>
    <t>瑞士进口星巴克胶囊咖啡雀巢nespresso系列咖啡机黑咖三盒优惠装</t>
  </si>
  <si>
    <t>15285</t>
  </si>
  <si>
    <t>1308.063471209013</t>
  </si>
  <si>
    <t>https://item.taobao.com/item.htm?id=683047723309</t>
  </si>
  <si>
    <t>703118483882</t>
  </si>
  <si>
    <t>雀巢多趣酷思星巴克胶囊咖啡萃取美式黑咖花式全口味浓缩三盒套装</t>
  </si>
  <si>
    <t>15211</t>
  </si>
  <si>
    <t>1165.932866041731</t>
  </si>
  <si>
    <t>https://detail.tmall.com/item.htm?id=703118483882</t>
  </si>
  <si>
    <t>15202</t>
  </si>
  <si>
    <t>1065.497316465735</t>
  </si>
  <si>
    <t>559113632895</t>
  </si>
  <si>
    <t>雀巢多趣酷思胶囊咖啡dolce gusto卡布奇诺花咖3盒装48颗</t>
  </si>
  <si>
    <t>15164</t>
  </si>
  <si>
    <t>811.9329723356657</t>
  </si>
  <si>
    <t>https://detail.tmall.com/item.htm?id=559113632895</t>
  </si>
  <si>
    <t>745321545635</t>
  </si>
  <si>
    <t>【新鲜日期】意利illy胶囊咖啡意式美式黑咖啡兼容nespresso10粒</t>
  </si>
  <si>
    <t>15070</t>
  </si>
  <si>
    <t>875.1811025743614</t>
  </si>
  <si>
    <t>https://detail.tmall.com/item.htm?id=745321545635</t>
  </si>
  <si>
    <t>698652172551</t>
  </si>
  <si>
    <t>15037</t>
  </si>
  <si>
    <t>887.8116266345716</t>
  </si>
  <si>
    <t>https://detail.tmall.com/item.htm?id=698652172551</t>
  </si>
  <si>
    <t>735732487633</t>
  </si>
  <si>
    <t>【全新包装】LAVAZZA拉瓦萨胶囊咖啡意式浓缩意大利进口50粒</t>
  </si>
  <si>
    <t>15013</t>
  </si>
  <si>
    <t>902.3869154742629</t>
  </si>
  <si>
    <t>https://detail.tmall.com/item.htm?id=735732487633</t>
  </si>
  <si>
    <t>598504815379</t>
  </si>
  <si>
    <t>雀巢多趣酷思Dolce Gusto星巴克黑咖啡胶囊意式浓缩3盒装36颗</t>
  </si>
  <si>
    <t>14997</t>
  </si>
  <si>
    <t>909.2396319880155</t>
  </si>
  <si>
    <t>https://detail.tmall.com/item.htm?id=598504815379</t>
  </si>
  <si>
    <t>635239400803</t>
  </si>
  <si>
    <t>Peets皮爷原装进口精品浓缩胶囊咖啡200颗适配nespresso胶囊机</t>
  </si>
  <si>
    <t>14914</t>
  </si>
  <si>
    <t>370.889117600783</t>
  </si>
  <si>
    <t>https://detail.tmall.com/item.htm?id=635239400803</t>
  </si>
  <si>
    <t>626589770356</t>
  </si>
  <si>
    <t>kcup胶囊咖啡粒美式Keurig大号现磨意式浓缩capzo咖啡胶囊9克36颗</t>
  </si>
  <si>
    <t>14895</t>
  </si>
  <si>
    <t>763.9764888658149</t>
  </si>
  <si>
    <t>https://detail.tmall.com/item.htm?id=626589770356</t>
  </si>
  <si>
    <t>14827</t>
  </si>
  <si>
    <t>1345.81521455184</t>
  </si>
  <si>
    <t>636815898179</t>
  </si>
  <si>
    <t>雀巢Nespresso大师匠心 印度/哥伦/埃塞/尼加拉瓜/印尼胶囊咖啡50</t>
  </si>
  <si>
    <t>14782</t>
  </si>
  <si>
    <t>940.2613550963397</t>
  </si>
  <si>
    <t>https://item.taobao.com/item.htm?id=636815898179</t>
  </si>
  <si>
    <t>麦田精品咖啡</t>
  </si>
  <si>
    <t>RAzN8HWYT8h8UcT9BkZtAV5971QuYmrimURzn2khRXtyQd6gvFK</t>
  </si>
  <si>
    <t>557173511465</t>
  </si>
  <si>
    <t>LAVAZZA/拉瓦萨Blue Cream意式醇香经典精选胶囊咖啡粉100粒/整箱</t>
  </si>
  <si>
    <t>14720</t>
  </si>
  <si>
    <t>1276.128953268047</t>
  </si>
  <si>
    <t>https://item.taobao.com/item.htm?id=557173511465</t>
  </si>
  <si>
    <t>618103041277</t>
  </si>
  <si>
    <t>【入会专享价】进口Lor胶囊黑咖啡15盒/150粒 适配 星巴克 咖啡机</t>
  </si>
  <si>
    <t>14628</t>
  </si>
  <si>
    <t>474.6423246319401</t>
  </si>
  <si>
    <t>https://detail.tmall.com/item.htm?id=618103041277</t>
  </si>
  <si>
    <t>喜客咖啡</t>
  </si>
  <si>
    <t>RAzN8HWQcLARG3NhcjoPeoHQu73HFMFn28YNR9fVZbbdtAzw9XF</t>
  </si>
  <si>
    <t>678250900652</t>
  </si>
  <si>
    <t>caffitaly胶囊意大利卡菲塔利咖啡多种口味</t>
  </si>
  <si>
    <t>14579</t>
  </si>
  <si>
    <t>964.1158103484922</t>
  </si>
  <si>
    <t>https://item.taobao.com/item.htm?id=678250900652</t>
  </si>
  <si>
    <t>731762989706</t>
  </si>
  <si>
    <t>UCC悠诗诗咖啡品鉴师系列进口胶囊咖啡50粒适配nespresso咖啡机</t>
  </si>
  <si>
    <t>14548</t>
  </si>
  <si>
    <t>988.747613149461</t>
  </si>
  <si>
    <t>https://detail.tmall.com/item.htm?id=731762989706</t>
  </si>
  <si>
    <t>进口零食折扣商店</t>
  </si>
  <si>
    <t>RAzN8HWVs4mKeajBu1e293E9gRaCBZRN46wrcogAQFXwduoBW4k</t>
  </si>
  <si>
    <t>662006977558</t>
  </si>
  <si>
    <t>瑞士原装进口浓缩胶囊咖啡52g (10粒)临期咖啡粉 兼容nespresso机</t>
  </si>
  <si>
    <t>649.3712845898077</t>
  </si>
  <si>
    <t>https://item.taobao.com/item.htm?id=662006977558</t>
  </si>
  <si>
    <t>559381338904</t>
  </si>
  <si>
    <t>雀巢多趣酷思dolcegusto胶囊咖啡爆款美式经典黑咖9盒囤货装144颗</t>
  </si>
  <si>
    <t>14522</t>
  </si>
  <si>
    <t>557.9031790131233</t>
  </si>
  <si>
    <t>https://detail.tmall.com/item.htm?id=559381338904</t>
  </si>
  <si>
    <t>淮安乐享食品专营店</t>
  </si>
  <si>
    <t>RAzN8HWV1WdW2gfYk5qtBGLckTh7ZZ8niWni67jGeNZmzuy6U5P</t>
  </si>
  <si>
    <t>610874682267</t>
  </si>
  <si>
    <t>星巴克纯黑咖啡无蔗糖家享进口意式浓缩nespresso胶囊咖啡40粒装</t>
  </si>
  <si>
    <t>14489</t>
  </si>
  <si>
    <t>1325.976830324559</t>
  </si>
  <si>
    <t>https://detail.tmall.com/item.htm?id=610874682267</t>
  </si>
  <si>
    <t>572480722963</t>
  </si>
  <si>
    <t>进口雀巢胶囊咖啡/星巴克黑咖啡适用nespresso/小米咖啡机50粒装</t>
  </si>
  <si>
    <t>14469</t>
  </si>
  <si>
    <t>961.2124492821955</t>
  </si>
  <si>
    <t>https://item.taobao.com/item.htm?id=572480722963</t>
  </si>
  <si>
    <t>森珏食品专营店</t>
  </si>
  <si>
    <t>RAzN8HWLf8MdWa63Sz8GysH1UMGEkAkZJE9wRAbgoKHJjVyfmyE</t>
  </si>
  <si>
    <t>582742898777</t>
  </si>
  <si>
    <t>KIMBO意大利进口意式浓缩咖啡胶囊6盒60颗 nespresso系统胶囊机用</t>
  </si>
  <si>
    <t>14468</t>
  </si>
  <si>
    <t>1118.004957973176</t>
  </si>
  <si>
    <t>https://detail.tmall.com/item.htm?id=582742898777</t>
  </si>
  <si>
    <t>18930302545</t>
  </si>
  <si>
    <t>Nespresso雀巢胶囊咖啡师创意之选丝绒黑巧风味咖啡10粒/条</t>
  </si>
  <si>
    <t>14376</t>
  </si>
  <si>
    <t>1232.080750118473</t>
  </si>
  <si>
    <t>https://item.taobao.com/item.htm?id=18930302545</t>
  </si>
  <si>
    <t>腾辉进口食品</t>
  </si>
  <si>
    <t>RAzN8HWMX16HnejueJDpJAVUwKAqFHsgsk8sUfEJxX5weCrcPZL</t>
  </si>
  <si>
    <t>739260462578</t>
  </si>
  <si>
    <t>14339</t>
  </si>
  <si>
    <t>861.5201339119939</t>
  </si>
  <si>
    <t>https://item.taobao.com/item.htm?id=739260462578</t>
  </si>
  <si>
    <t>14309</t>
  </si>
  <si>
    <t>1352.65505281869</t>
  </si>
  <si>
    <t>KINGCATCOFFEE旗舰店</t>
  </si>
  <si>
    <t>RAzN8HWSDte2KpatQmR9fQ5Knc4tBM7VAGC2K92XkZrmFVwLk6o</t>
  </si>
  <si>
    <t>688684299646</t>
  </si>
  <si>
    <t>金猫冷萃冻干咖啡粉美式拿铁速溶即溶黑咖啡意式便携装7粒*3盒</t>
  </si>
  <si>
    <t>14267</t>
  </si>
  <si>
    <t>903.6356165778216</t>
  </si>
  <si>
    <t>https://detail.tmall.com/item.htm?id=688684299646</t>
  </si>
  <si>
    <t>747880732168</t>
  </si>
  <si>
    <t>拉瓦萨（LAVAZZA）适用nespresso咖啡机NCC新一代咖啡胶囊10粒装</t>
  </si>
  <si>
    <t>14226</t>
  </si>
  <si>
    <t>939.8168698795142</t>
  </si>
  <si>
    <t>https://item.taobao.com/item.htm?id=747880732168</t>
  </si>
  <si>
    <t>618201233551</t>
  </si>
  <si>
    <t>【6包优惠黑咖套】Tassimo咖啡胶囊美式咖啡Lor智能博世咖啡机</t>
  </si>
  <si>
    <t>14152</t>
  </si>
  <si>
    <t>590.8883963797228</t>
  </si>
  <si>
    <t>https://detail.tmall.com/item.htm?id=618201233551</t>
  </si>
  <si>
    <t>ctshop</t>
  </si>
  <si>
    <t>咖啡机-delonghi德龙旗舰店</t>
  </si>
  <si>
    <t>咖啡机-Gemilai格米莱旗舰店</t>
  </si>
  <si>
    <t>咖啡机-barsetto电器旗舰店</t>
  </si>
  <si>
    <t>咖啡机-柏翠旗舰店</t>
  </si>
  <si>
    <t>咖啡机-DeLonghi德龙集团官方海外旗舰店</t>
  </si>
  <si>
    <t>咖啡机-NESPRESSO官方旗舰店</t>
  </si>
  <si>
    <t>咖啡机-maximsdeparis旗舰店</t>
  </si>
  <si>
    <t>咖啡机-雪特朗旗舰店</t>
  </si>
  <si>
    <t>咖啡机-Drcoffee咖博士旗舰店</t>
  </si>
  <si>
    <t>咖啡机-SMEG电器旗舰店</t>
  </si>
  <si>
    <t>咖啡机-GUOKOFF大果子咖啡</t>
  </si>
  <si>
    <t>咖啡机-小熊西式厨房旗舰店</t>
  </si>
  <si>
    <t>咖啡机-卡伦特电器旗舰店</t>
  </si>
  <si>
    <t>咖啡机-飞利浦电器旗舰店</t>
  </si>
  <si>
    <t>咖啡机-英速购欧洲品质生活馆</t>
  </si>
  <si>
    <t>咖啡机-九洲咖啡</t>
  </si>
  <si>
    <t>咖啡机-咖基米德旗舰店</t>
  </si>
  <si>
    <t>咖啡机-阳光生活家电</t>
  </si>
  <si>
    <t>咖啡机-lamarzocco旗舰店</t>
  </si>
  <si>
    <t>咖啡机-Sparllo官方海外旗舰店</t>
  </si>
  <si>
    <t>咖啡机-德龙品质生活家电</t>
  </si>
  <si>
    <t>咖啡机-柏翠上海专卖店</t>
  </si>
  <si>
    <t>咖啡机-德龙品质生活</t>
  </si>
  <si>
    <t>咖啡机-飞利浦官方旗舰店</t>
  </si>
  <si>
    <t>咖啡机-SAPOUDR赛普达旗舰店</t>
  </si>
  <si>
    <t>咖啡机-心想旗舰店</t>
  </si>
  <si>
    <t>咖啡机-格林咖啡</t>
  </si>
  <si>
    <t>咖啡机-意利美咖啡店</t>
  </si>
  <si>
    <t>咖啡机-IMDD海外专营店</t>
  </si>
  <si>
    <t>咖啡机-LELIT海外旗舰店</t>
  </si>
  <si>
    <t>咖啡机-moaiqo摩巧旗舰店</t>
  </si>
  <si>
    <t>咖啡机-Roasters 烘焙家</t>
  </si>
  <si>
    <t>咖啡机-welhome电器旗舰店</t>
  </si>
  <si>
    <t>咖啡机-breville铂富旗舰店</t>
  </si>
  <si>
    <t>咖啡机-文博海外专营店</t>
  </si>
  <si>
    <t>咖啡机-小牛妈妈品质生活馆</t>
  </si>
  <si>
    <t>咖啡机-primitalia电器旗舰店</t>
  </si>
  <si>
    <t>咖啡机-真品咖啡</t>
  </si>
  <si>
    <t>咖啡机-格米莱利爵专卖店</t>
  </si>
  <si>
    <t>咖啡机-ROCKET旗舰店</t>
  </si>
  <si>
    <t>咖啡机-小熊电器官方旗舰店</t>
  </si>
  <si>
    <t>咖啡机-百胜图咖啡旗舰店</t>
  </si>
  <si>
    <t>咖啡机-客浦电器旗舰店</t>
  </si>
  <si>
    <t>咖啡机-向北咖啡</t>
  </si>
  <si>
    <t>咖啡机-铂富酷客意德专卖店</t>
  </si>
  <si>
    <t>咖啡机-PHlLlPS梓宸电商</t>
  </si>
  <si>
    <t>咖啡机-Dhron旗舰店</t>
  </si>
  <si>
    <t>咖啡机-HiBREWHiBREW旗舰店</t>
  </si>
  <si>
    <t>咖啡机-Dolce Gusto官方旗舰店</t>
  </si>
  <si>
    <t>咖啡机-pedrocchi旗舰店</t>
  </si>
  <si>
    <t>咖啡机-蓝咖时光</t>
  </si>
  <si>
    <t>咖啡机-SCHNEIDER花非尔专卖店</t>
  </si>
  <si>
    <t>咖啡机-妙雀官方品牌店</t>
  </si>
  <si>
    <t>咖啡机-CXJP海外专营店</t>
  </si>
  <si>
    <t>咖啡机-松下官方旗舰店</t>
  </si>
  <si>
    <t>咖啡机-酷客咖啡</t>
  </si>
  <si>
    <t>咖啡机-苏泊尔中式厨房旗舰店</t>
  </si>
  <si>
    <t>咖啡机-rancilio旗舰店</t>
  </si>
  <si>
    <t>咖啡机-falata旗舰店</t>
  </si>
  <si>
    <t>咖啡机-典雅品味馆</t>
  </si>
  <si>
    <t>咖啡机-艾尔菲德旗舰店</t>
  </si>
  <si>
    <t>咖啡机-北京盛侨电器</t>
  </si>
  <si>
    <t>咖啡机-博朗电器</t>
  </si>
  <si>
    <t>咖啡机-柏翠严选直营店</t>
  </si>
  <si>
    <t>咖啡机-有为咖啡</t>
  </si>
  <si>
    <t>有为咖啡</t>
  </si>
  <si>
    <t>咖啡机-LELITBIANCA旗舰店</t>
  </si>
  <si>
    <t>咖啡机-德颐电器旗舰店</t>
  </si>
  <si>
    <t>咖啡机-supor苏泊尔兆洪专卖店</t>
  </si>
  <si>
    <t>咖啡机-懒咖旗舰店</t>
  </si>
  <si>
    <t>咖啡机-意大利德龙电器</t>
  </si>
  <si>
    <t>咖啡机-milesto迈拓旗舰店</t>
  </si>
  <si>
    <t>咖啡机-本真咖啡Benzen</t>
  </si>
  <si>
    <t>本真咖啡Benzen</t>
  </si>
  <si>
    <t>咖啡机-唯美嘉饮品</t>
  </si>
  <si>
    <t>咖啡机-小熊生活电器旗舰店</t>
  </si>
  <si>
    <t>咖啡机-苏宁易购官方旗舰店</t>
  </si>
  <si>
    <t>咖啡机-delonghi德龙官翻折扣店</t>
  </si>
  <si>
    <t>delonghi德龙官翻折扣店</t>
  </si>
  <si>
    <t>咖啡机-Coffee Youth</t>
  </si>
  <si>
    <t>咖啡机-krups官方旗舰店</t>
  </si>
  <si>
    <t>krups官方旗舰店</t>
  </si>
  <si>
    <t>咖啡机-上海宜家生活馆</t>
  </si>
  <si>
    <t>咖啡机-精品小家电商城</t>
  </si>
  <si>
    <t>咖啡机-飞利浦腾飞专卖店</t>
  </si>
  <si>
    <t>咖啡机-yocosoda旗舰店</t>
  </si>
  <si>
    <t>咖啡机-诗诺旗舰店</t>
  </si>
  <si>
    <t>咖啡机-朗德生活馆</t>
  </si>
  <si>
    <t>咖啡机-西门子小家电旗舰店</t>
  </si>
  <si>
    <t>咖啡机-优购品牌正品直销店</t>
  </si>
  <si>
    <t>咖啡机-ALMKOPi阿莱蔓旗舰店</t>
  </si>
  <si>
    <t>咖啡机-西门子家电官方旗舰店</t>
  </si>
  <si>
    <t>西门子家电官方旗舰店</t>
  </si>
  <si>
    <t>咖啡机-severin电器旗舰店</t>
  </si>
  <si>
    <t>咖啡机-Miele美诺电器官方旗舰店</t>
  </si>
  <si>
    <t>咖啡机-Fungchan海外专营店</t>
  </si>
  <si>
    <t>咖啡机-网易严选旗舰店</t>
  </si>
  <si>
    <t>咖啡机-艾泽森旗舰店</t>
  </si>
  <si>
    <t>咖啡机-厨房家用电器店</t>
  </si>
  <si>
    <t>咖啡机-苏泊尔官方旗舰店</t>
  </si>
  <si>
    <t>咖啡机-UDi电器旗舰店</t>
  </si>
  <si>
    <t>咖啡机-德购DE</t>
  </si>
  <si>
    <t>咖啡机-kingjazz京爵旗舰店</t>
  </si>
  <si>
    <t>kingjazz京爵旗舰店</t>
  </si>
  <si>
    <t>咖啡机-REMCOCO欧洲厨电馆</t>
  </si>
  <si>
    <t>咖啡机-INNICOFFEE旗舰店</t>
  </si>
  <si>
    <t>咖啡机-艾尔菲德电器专卖店</t>
  </si>
  <si>
    <t>咖啡机-易得旗舰店</t>
  </si>
  <si>
    <t>易得旗舰店</t>
  </si>
  <si>
    <t>咖啡机-HiBREW品牌店</t>
  </si>
  <si>
    <t>咖啡机-104</t>
  </si>
  <si>
    <t>咖啡机-经纬咖啡</t>
  </si>
  <si>
    <t>经纬咖啡</t>
  </si>
  <si>
    <t>咖啡机-105</t>
  </si>
  <si>
    <t>咖啡机-左左摩旗舰店</t>
  </si>
  <si>
    <t>咖啡机-106</t>
  </si>
  <si>
    <t>咖啡机-欧洲尚品直邮店</t>
  </si>
  <si>
    <t>欧洲尚品直邮店</t>
  </si>
  <si>
    <t>咖啡机-107</t>
  </si>
  <si>
    <t>咖啡机-礼醇旗舰店</t>
  </si>
  <si>
    <t>咖啡机-108</t>
  </si>
  <si>
    <t>咖啡机-JYHOME海外旗舰店</t>
  </si>
  <si>
    <t>JYHOME海外旗舰店</t>
  </si>
  <si>
    <t>咖啡机-109</t>
  </si>
  <si>
    <t>咖啡机-小家电品质馆</t>
  </si>
  <si>
    <t>咖啡机-110</t>
  </si>
  <si>
    <t>咖啡机-艾瑞欧洲进口家电企业店</t>
  </si>
  <si>
    <t>咖啡机-111</t>
  </si>
  <si>
    <t>咖啡机-美雪法国巴黎全球购</t>
  </si>
  <si>
    <t>美雪法国巴黎全球购</t>
  </si>
  <si>
    <t>咖啡机-112</t>
  </si>
  <si>
    <t>咖啡机-全球咖啡设备超市</t>
  </si>
  <si>
    <t>咖啡机-113</t>
  </si>
  <si>
    <t>咖啡机-北京科米电子商务</t>
  </si>
  <si>
    <t>咖啡机-114</t>
  </si>
  <si>
    <t>咖啡机-美的官方旗舰店</t>
  </si>
  <si>
    <t>美的官方旗舰店</t>
  </si>
  <si>
    <t>咖啡机-115</t>
  </si>
  <si>
    <t>咖啡机-jura优瑞电器旗舰店</t>
  </si>
  <si>
    <t>jura优瑞电器旗舰店</t>
  </si>
  <si>
    <t>咖啡机-116</t>
  </si>
  <si>
    <t>咖啡机-Anlabuymall海外旗舰店</t>
  </si>
  <si>
    <t>咖啡机-117</t>
  </si>
  <si>
    <t>咖啡机-西堤岛旗舰店</t>
  </si>
  <si>
    <t>咖啡机-118</t>
  </si>
  <si>
    <t>咖啡机-maximsdeparis海外旗舰店</t>
  </si>
  <si>
    <t>咖啡机-119</t>
  </si>
  <si>
    <t>咖啡机-BLAUPUNKT至鹿专卖店</t>
  </si>
  <si>
    <t>咖啡机-120</t>
  </si>
  <si>
    <t>咖啡机-优质生活电器店</t>
  </si>
  <si>
    <t>咖啡机-121</t>
  </si>
  <si>
    <t>咖啡机-merol美宜侬旗舰店</t>
  </si>
  <si>
    <t>咖啡机-122</t>
  </si>
  <si>
    <t>咖啡机-回头客20万 小二推荐企业店</t>
  </si>
  <si>
    <t>咖啡机-123</t>
  </si>
  <si>
    <t>咖啡机-oster奥士达旗舰店</t>
  </si>
  <si>
    <t>oster奥士达旗舰店</t>
  </si>
  <si>
    <t>咖啡机-124</t>
  </si>
  <si>
    <t>咖啡机-乐浦电器店</t>
  </si>
  <si>
    <t>咖啡机-125</t>
  </si>
  <si>
    <t>咖啡机-勒顿精品咖啡</t>
  </si>
  <si>
    <t>勒顿精品咖啡</t>
  </si>
  <si>
    <t>咖啡机-126</t>
  </si>
  <si>
    <t>咖啡机-TG品质家电</t>
  </si>
  <si>
    <t>咖啡机-127</t>
  </si>
  <si>
    <t>咖啡机-东菱旗舰店</t>
  </si>
  <si>
    <t>咖啡机-128</t>
  </si>
  <si>
    <t>咖啡机-德客咖啡北京体验店</t>
  </si>
  <si>
    <t>德客咖啡北京体验店</t>
  </si>
  <si>
    <t>咖啡机-129</t>
  </si>
  <si>
    <t>咖啡机-edenpure宜盾普旗舰店</t>
  </si>
  <si>
    <t>咖啡机-130</t>
  </si>
  <si>
    <t>咖啡机-DEUDNEY</t>
  </si>
  <si>
    <t>DEUDNEY</t>
  </si>
  <si>
    <t>咖啡机-131</t>
  </si>
  <si>
    <t>咖啡机-爱旺斯电器专营店</t>
  </si>
  <si>
    <t>咖啡机-132</t>
  </si>
  <si>
    <t>咖啡机-全球精品咖啡机服务中心企业店</t>
  </si>
  <si>
    <t>全球精品咖啡机服务中心企业店</t>
  </si>
  <si>
    <t>咖啡机-133</t>
  </si>
  <si>
    <t>咖啡机-德龙咖啡馆</t>
  </si>
  <si>
    <t>咖啡机-134</t>
  </si>
  <si>
    <t>咖啡机-卡梭君撷专卖店</t>
  </si>
  <si>
    <t>咖啡机-135</t>
  </si>
  <si>
    <t>咖啡机-Cafelffe旗舰店</t>
  </si>
  <si>
    <t>咖啡机-136</t>
  </si>
  <si>
    <t>咖啡机-黎明咖啡</t>
  </si>
  <si>
    <t>咖啡机-137</t>
  </si>
  <si>
    <t>咖啡机-小米官方旗舰店</t>
  </si>
  <si>
    <t>咖啡机-138</t>
  </si>
  <si>
    <t>咖啡机-咖啡自由旗舰店</t>
  </si>
  <si>
    <t>咖啡自由旗舰店</t>
  </si>
  <si>
    <t>咖啡机-139</t>
  </si>
  <si>
    <t>咖啡机-YUNO COFFEE</t>
  </si>
  <si>
    <t>YUNO COFFEE</t>
  </si>
  <si>
    <t>咖啡机-140</t>
  </si>
  <si>
    <t>咖啡机-品质精选家电馆</t>
  </si>
  <si>
    <t>品质精选家电馆</t>
  </si>
  <si>
    <t>咖啡机-141</t>
  </si>
  <si>
    <t>咖啡机-Evanshu海外专营店</t>
  </si>
  <si>
    <t>咖啡机-142</t>
  </si>
  <si>
    <t>咖啡机-高泰电器旗舰店</t>
  </si>
  <si>
    <t>咖啡机-143</t>
  </si>
  <si>
    <t>咖啡机-奶爸特供国际电器馆</t>
  </si>
  <si>
    <t>咖啡机-144</t>
  </si>
  <si>
    <t>咖啡机-jassy旗舰店</t>
  </si>
  <si>
    <t>咖啡机-145</t>
  </si>
  <si>
    <t>咖啡机-大秦礼品馆</t>
  </si>
  <si>
    <t>咖啡机-146</t>
  </si>
  <si>
    <t>咖啡机-珍伊咖啡北京实体店</t>
  </si>
  <si>
    <t>珍伊咖啡北京实体店</t>
  </si>
  <si>
    <t>咖啡机-147</t>
  </si>
  <si>
    <t>咖啡机-wmf电器旗舰店</t>
  </si>
  <si>
    <t>咖啡机-148</t>
  </si>
  <si>
    <t>咖啡机-IMDD</t>
  </si>
  <si>
    <t>咖啡机-149</t>
  </si>
  <si>
    <t>咖啡机-摩尔电器</t>
  </si>
  <si>
    <t>摩尔电器</t>
  </si>
  <si>
    <t>咖啡机-150</t>
  </si>
  <si>
    <t>咖啡机-左左摩智能咖啡</t>
  </si>
  <si>
    <t>咖啡机-151</t>
  </si>
  <si>
    <t>咖啡机-乐淘卓品电器专营店</t>
  </si>
  <si>
    <t>乐淘卓品电器专营店</t>
  </si>
  <si>
    <t>咖啡机-152</t>
  </si>
  <si>
    <t>咖啡机-MY LIFE</t>
  </si>
  <si>
    <t>MY LIFE</t>
  </si>
  <si>
    <t>咖啡机-153</t>
  </si>
  <si>
    <t>咖啡机-卡梭旗舰店</t>
  </si>
  <si>
    <t>咖啡机-154</t>
  </si>
  <si>
    <t>咖啡机-东菱厨房电器品牌店</t>
  </si>
  <si>
    <t>东菱厨房电器品牌店</t>
  </si>
  <si>
    <t>咖啡机-155</t>
  </si>
  <si>
    <t>咖啡机-盾维达旗舰店</t>
  </si>
  <si>
    <t>咖啡机-156</t>
  </si>
  <si>
    <t>咖啡机-餐饮设备厂家优选</t>
  </si>
  <si>
    <t>咖啡机-157</t>
  </si>
  <si>
    <t>咖啡机-松下电器旗舰店</t>
  </si>
  <si>
    <t>咖啡机-158</t>
  </si>
  <si>
    <t>咖啡机-品牌个护商城店</t>
  </si>
  <si>
    <t>品牌个护商城店</t>
  </si>
  <si>
    <t>咖啡机-159</t>
  </si>
  <si>
    <t>咖啡机-『山丘』品质电器＂</t>
  </si>
  <si>
    <t>『山丘』品质电器＂</t>
  </si>
  <si>
    <t>咖啡机-160</t>
  </si>
  <si>
    <t>咖啡机-小画仙旗舰店</t>
  </si>
  <si>
    <t>小画仙旗舰店</t>
  </si>
  <si>
    <t>咖啡机-161</t>
  </si>
  <si>
    <t>咖啡机-托马斯麻麻</t>
  </si>
  <si>
    <t>托马斯麻麻</t>
  </si>
  <si>
    <t>咖啡机-162</t>
  </si>
  <si>
    <t>咖啡机-Tianmao好物店</t>
  </si>
  <si>
    <t>咖啡机-163</t>
  </si>
  <si>
    <t>咖啡机-nicoh旗舰店</t>
  </si>
  <si>
    <t>nicoh旗舰店</t>
  </si>
  <si>
    <t>咖啡机-164</t>
  </si>
  <si>
    <t>咖啡机-汉美驰尚客专卖店</t>
  </si>
  <si>
    <t>咖啡机-165</t>
  </si>
  <si>
    <t>咖啡机-世雅官方企业店</t>
  </si>
  <si>
    <t>咖啡机-166</t>
  </si>
  <si>
    <t>咖啡机-小牛妈妈2号店</t>
  </si>
  <si>
    <t>咖啡机-167</t>
  </si>
  <si>
    <t>咖啡机-上海阿福电器城</t>
  </si>
  <si>
    <t>咖啡机-168</t>
  </si>
  <si>
    <t>咖啡机-佳选咖啡时尚生活</t>
  </si>
  <si>
    <t>咖啡机-169</t>
  </si>
  <si>
    <t>咖啡机-大咖酒店用品工厂店</t>
  </si>
  <si>
    <t>大咖酒店用品工厂店</t>
  </si>
  <si>
    <t>咖啡机-170</t>
  </si>
  <si>
    <t>咖啡机-海氏厨房电器旗舰店</t>
  </si>
  <si>
    <t>咖啡机-171</t>
  </si>
  <si>
    <t>咖啡机-唐辉咖啡机直销店</t>
  </si>
  <si>
    <t>唐辉咖啡机直销店</t>
  </si>
  <si>
    <t>咖啡机-172</t>
  </si>
  <si>
    <t>咖啡机-廣東凯瀚電器株式會社</t>
  </si>
  <si>
    <t>廣東凯瀚電器株式會社</t>
  </si>
  <si>
    <t>咖啡机-173</t>
  </si>
  <si>
    <t>咖啡机-philips飞利浦晓垒专卖店</t>
  </si>
  <si>
    <t>philips飞利浦晓垒专卖店</t>
  </si>
  <si>
    <t>咖啡机-174</t>
  </si>
  <si>
    <t>咖啡机-美家生活电器商城</t>
  </si>
  <si>
    <t>美家生活电器商城</t>
  </si>
  <si>
    <t>咖啡机-175</t>
  </si>
  <si>
    <t>咖啡机-卓越精品电器商城</t>
  </si>
  <si>
    <t>卓越精品电器商城</t>
  </si>
  <si>
    <t>咖啡机-176</t>
  </si>
  <si>
    <t>咖啡机-tenfly旗舰店</t>
  </si>
  <si>
    <t>咖啡机-177</t>
  </si>
  <si>
    <t>咖啡机-mocano旗舰店</t>
  </si>
  <si>
    <t>咖啡机-178</t>
  </si>
  <si>
    <t>咖啡机-kalerm咖乐美旗舰店</t>
  </si>
  <si>
    <t>kalerm咖乐美旗舰店</t>
  </si>
  <si>
    <t>咖啡机-179</t>
  </si>
  <si>
    <t>咖啡机-优选电器</t>
  </si>
  <si>
    <t>优选电器</t>
  </si>
  <si>
    <t>咖啡机-180</t>
  </si>
  <si>
    <t>咖啡机-Capsul－胶囊生活</t>
  </si>
  <si>
    <t>咖啡机-181</t>
  </si>
  <si>
    <t>咖啡机-雪特朗正咖圆专卖店</t>
  </si>
  <si>
    <t>雪特朗正咖圆专卖店</t>
  </si>
  <si>
    <t>咖啡机-182</t>
  </si>
  <si>
    <t>咖啡机-咖啡设备馆</t>
  </si>
  <si>
    <t>咖啡设备馆</t>
  </si>
  <si>
    <t>咖啡机-183</t>
  </si>
  <si>
    <t>咖啡机-品优生活电器</t>
  </si>
  <si>
    <t>咖啡机-184</t>
  </si>
  <si>
    <t>咖啡机-优咖仕饮品批发企业店</t>
  </si>
  <si>
    <t>优咖仕饮品批发企业店</t>
  </si>
  <si>
    <t>咖啡机-185</t>
  </si>
  <si>
    <t>咖啡机-小猪夫妇旗舰店</t>
  </si>
  <si>
    <t>咖啡机-186</t>
  </si>
  <si>
    <t>咖啡机-助飞严选自营店</t>
  </si>
  <si>
    <t>助飞严选自营店</t>
  </si>
  <si>
    <t>咖啡机-187</t>
  </si>
  <si>
    <t>咖啡机-艺趣电器旗舰店</t>
  </si>
  <si>
    <t>艺趣电器旗舰店</t>
  </si>
  <si>
    <t>咖啡机-188</t>
  </si>
  <si>
    <t>咖啡机-家电生活电器城</t>
  </si>
  <si>
    <t>家电生活电器城</t>
  </si>
  <si>
    <t>咖啡机-189</t>
  </si>
  <si>
    <t>咖啡机-尚尼电器旗舰店</t>
  </si>
  <si>
    <t>咖啡机-190</t>
  </si>
  <si>
    <t>咖啡机-PHlLlPS林高电商</t>
  </si>
  <si>
    <t>PHlLlPS林高电商</t>
  </si>
  <si>
    <t>咖啡机-191</t>
  </si>
  <si>
    <t>咖啡机-广州迈拓咖啡机</t>
  </si>
  <si>
    <t>咖啡机-192</t>
  </si>
  <si>
    <t>咖啡机-咖啡拉花机</t>
  </si>
  <si>
    <t>咖啡机-193</t>
  </si>
  <si>
    <t>咖啡机-美国风家居电器</t>
  </si>
  <si>
    <t>美国风家居电器</t>
  </si>
  <si>
    <t>咖啡机-194</t>
  </si>
  <si>
    <t>咖啡机-is royal旗舰店</t>
  </si>
  <si>
    <t>is royal旗舰店</t>
  </si>
  <si>
    <t>咖啡机-195</t>
  </si>
  <si>
    <t>咖啡机-OLD JOE COFFEE</t>
  </si>
  <si>
    <t>OLD JOE COFFEE</t>
  </si>
  <si>
    <t>咖啡机-196</t>
  </si>
  <si>
    <t>咖啡机-homezest旗舰店</t>
  </si>
  <si>
    <t>homezest旗舰店</t>
  </si>
  <si>
    <t>咖啡机-197</t>
  </si>
  <si>
    <t>咖啡机-博朗生活电器馆</t>
  </si>
  <si>
    <t>博朗生活电器馆</t>
  </si>
  <si>
    <t>咖啡机-198</t>
  </si>
  <si>
    <t>咖啡机-天猫国际自营生活家</t>
  </si>
  <si>
    <t>天猫国际自营生活家</t>
  </si>
  <si>
    <t>咖啡机-199</t>
  </si>
  <si>
    <t>咖啡机-良益精品电器企业店</t>
  </si>
  <si>
    <t>良益精品电器企业店</t>
  </si>
  <si>
    <t>咖啡机-200</t>
  </si>
  <si>
    <t>咖啡机-小熊猫会员代购</t>
  </si>
  <si>
    <t>小熊猫会员代购</t>
  </si>
  <si>
    <t>咖啡机-201</t>
  </si>
  <si>
    <t>咖啡机-德哥海淘馆</t>
  </si>
  <si>
    <t>德哥海淘馆</t>
  </si>
  <si>
    <t>咖啡机-202</t>
  </si>
  <si>
    <t>咖啡机-Saeco赛意咖旗舰店</t>
  </si>
  <si>
    <t>Saeco赛意咖旗舰店</t>
  </si>
  <si>
    <t>咖啡机-203</t>
  </si>
  <si>
    <t>咖啡机-咖啡食梦貘</t>
  </si>
  <si>
    <t>咖啡食梦貘</t>
  </si>
  <si>
    <t>咖啡机-204</t>
  </si>
  <si>
    <t>咖啡机-Bruno官方海外旗舰店</t>
  </si>
  <si>
    <t>Bruno官方海外旗舰店</t>
  </si>
  <si>
    <t>咖啡机-205</t>
  </si>
  <si>
    <t>咖啡机-小熊亦禾专卖店</t>
  </si>
  <si>
    <t>小熊亦禾专卖店</t>
  </si>
  <si>
    <t>咖啡机-206</t>
  </si>
  <si>
    <t>咖啡机-咖啡饮料机供应服务</t>
  </si>
  <si>
    <t>咖啡饮料机供应服务</t>
  </si>
  <si>
    <t>咖啡机-207</t>
  </si>
  <si>
    <t>咖啡机-淡壳旗舰店</t>
  </si>
  <si>
    <t>淡壳旗舰店</t>
  </si>
  <si>
    <t>咖啡机-208</t>
  </si>
  <si>
    <t>咖啡机-柏翠石头子专卖店</t>
  </si>
  <si>
    <t>柏翠石头子专卖店</t>
  </si>
  <si>
    <t>咖啡机-209</t>
  </si>
  <si>
    <t>咖啡机-我家宝贝E61</t>
  </si>
  <si>
    <t>我家宝贝E61</t>
  </si>
  <si>
    <t>咖啡机-210</t>
  </si>
  <si>
    <t>咖啡机-广州源啡食品有限公司</t>
  </si>
  <si>
    <t>广州源啡食品有限公司</t>
  </si>
  <si>
    <t>咖啡机-211</t>
  </si>
  <si>
    <t>咖啡机-Gaggia海外旗舰店</t>
  </si>
  <si>
    <t>Gaggia海外旗舰店</t>
  </si>
  <si>
    <t>咖啡机-212</t>
  </si>
  <si>
    <t>咖啡机-灿坤电器旗舰店</t>
  </si>
  <si>
    <t>灿坤电器旗舰店</t>
  </si>
  <si>
    <t>咖啡机-213</t>
  </si>
  <si>
    <t>咖啡机-咖啡超市</t>
  </si>
  <si>
    <t>咖啡超市</t>
  </si>
  <si>
    <t>咖啡机-214</t>
  </si>
  <si>
    <t>咖啡机-德颐德鑫颐专卖店</t>
  </si>
  <si>
    <t>德颐德鑫颐专卖店</t>
  </si>
  <si>
    <t>咖啡机-215</t>
  </si>
  <si>
    <t>咖啡机-意尚咖啡企业店</t>
  </si>
  <si>
    <t>意尚咖啡企业店</t>
  </si>
  <si>
    <t>咖啡机-216</t>
  </si>
  <si>
    <t>咖啡机-啡客精品咖啡器具</t>
  </si>
  <si>
    <t>啡客精品咖啡器具</t>
  </si>
  <si>
    <t>咖啡机-217</t>
  </si>
  <si>
    <t>咖啡机-蛋壳淘电</t>
  </si>
  <si>
    <t>蛋壳淘电</t>
  </si>
  <si>
    <t>咖啡机-218</t>
  </si>
  <si>
    <t>咖啡机-欧洲时尚风</t>
  </si>
  <si>
    <t>欧洲时尚风</t>
  </si>
  <si>
    <t>咖啡机-219</t>
  </si>
  <si>
    <t>咖啡机-pinbar旗舰店</t>
  </si>
  <si>
    <t>pinbar旗舰店</t>
  </si>
  <si>
    <t>咖啡机-220</t>
  </si>
  <si>
    <t>咖啡机-柏翠厨房电器旗舰店</t>
  </si>
  <si>
    <t>柏翠厨房电器旗舰店</t>
  </si>
  <si>
    <t>咖啡机-221</t>
  </si>
  <si>
    <t>咖啡机-柏翠西式电器品牌店</t>
  </si>
  <si>
    <t>柏翠西式电器品牌店</t>
  </si>
  <si>
    <t>咖啡机-222</t>
  </si>
  <si>
    <t>咖啡机-德宝麦旗舰店</t>
  </si>
  <si>
    <t>德宝麦旗舰店</t>
  </si>
  <si>
    <t>咖啡机-223</t>
  </si>
  <si>
    <t>咖啡机-数码家电智能馆</t>
  </si>
  <si>
    <t>数码家电智能馆</t>
  </si>
  <si>
    <t>咖啡机-224</t>
  </si>
  <si>
    <t>咖啡机-时光锦网红小家电</t>
  </si>
  <si>
    <t>时光锦网红小家电</t>
  </si>
  <si>
    <t>咖啡机-225</t>
  </si>
  <si>
    <t>咖啡机-优品易购小家电</t>
  </si>
  <si>
    <t>优品易购小家电</t>
  </si>
  <si>
    <t>咖啡机-226</t>
  </si>
  <si>
    <t>咖啡机-家怡生活家用电器</t>
  </si>
  <si>
    <t>家怡生活家用电器</t>
  </si>
  <si>
    <t>咖啡机-227</t>
  </si>
  <si>
    <t>咖啡机-啡思餐饮器具企业店</t>
  </si>
  <si>
    <t>啡思餐饮器具企业店</t>
  </si>
  <si>
    <t>咖啡机-228</t>
  </si>
  <si>
    <t>咖啡机-全自动咖啡机商行</t>
  </si>
  <si>
    <t>全自动咖啡机商行</t>
  </si>
  <si>
    <t>咖啡机-229</t>
  </si>
  <si>
    <t>咖啡机-良屋生活电器</t>
  </si>
  <si>
    <t>良屋生活电器</t>
  </si>
  <si>
    <t>咖啡机-230</t>
  </si>
  <si>
    <t>咖啡机-澳纽购</t>
  </si>
  <si>
    <t>澳纽购</t>
  </si>
  <si>
    <t>咖啡机-231</t>
  </si>
  <si>
    <t>咖啡机-易豆电器企业店</t>
  </si>
  <si>
    <t>易豆电器企业店</t>
  </si>
  <si>
    <t>咖啡机-232</t>
  </si>
  <si>
    <t>咖啡机-亿贝斯特旗舰店</t>
  </si>
  <si>
    <t>亿贝斯特旗舰店</t>
  </si>
  <si>
    <t>咖啡机-233</t>
  </si>
  <si>
    <t>咖啡机-昊越电器专营店</t>
  </si>
  <si>
    <t>昊越电器专营店</t>
  </si>
  <si>
    <t>咖啡机-234</t>
  </si>
  <si>
    <t>咖啡机-德客信佳咖啡厨电超市</t>
  </si>
  <si>
    <t>德客信佳咖啡厨电超市</t>
  </si>
  <si>
    <t>咖啡机-235</t>
  </si>
  <si>
    <t>咖啡机-starseeker旗舰店</t>
  </si>
  <si>
    <t>starseeker旗舰店</t>
  </si>
  <si>
    <t>咖啡机-236</t>
  </si>
  <si>
    <t>咖啡机-世雅旗舰店</t>
  </si>
  <si>
    <t>世雅旗舰店</t>
  </si>
  <si>
    <t>咖啡机-237</t>
  </si>
  <si>
    <t>咖啡机-国人咖啡(北京)实体店</t>
  </si>
  <si>
    <t>国人咖啡(北京)实体店</t>
  </si>
  <si>
    <t>咖啡机-238</t>
  </si>
  <si>
    <t>咖啡机-品尚进口家电一号店</t>
  </si>
  <si>
    <t>品尚进口家电一号店</t>
  </si>
  <si>
    <t>咖啡机-239</t>
  </si>
  <si>
    <t>咖啡机-小熊永维专卖店</t>
  </si>
  <si>
    <t>小熊永维专卖店</t>
  </si>
  <si>
    <t>咖啡机-240</t>
  </si>
  <si>
    <t>咖啡机-七次方旗舰店</t>
  </si>
  <si>
    <t>七次方旗舰店</t>
  </si>
  <si>
    <t>咖啡机-241</t>
  </si>
  <si>
    <t>咖啡机-G Life</t>
  </si>
  <si>
    <t>G Life</t>
  </si>
  <si>
    <t>咖啡机-242</t>
  </si>
  <si>
    <t>咖啡机-零点电器城</t>
  </si>
  <si>
    <t>零点电器城</t>
  </si>
  <si>
    <t>咖啡机-243</t>
  </si>
  <si>
    <t>咖啡机-tcolors旗舰店</t>
  </si>
  <si>
    <t>tcolors旗舰店</t>
  </si>
  <si>
    <t>咖啡机-244</t>
  </si>
  <si>
    <t>咖啡机-东菱电器品牌店</t>
  </si>
  <si>
    <t>东菱电器品牌店</t>
  </si>
  <si>
    <t>咖啡机-245</t>
  </si>
  <si>
    <t>咖啡机-XLVI旗舰店</t>
  </si>
  <si>
    <t>XLVI旗舰店</t>
  </si>
  <si>
    <t>咖啡机-246</t>
  </si>
  <si>
    <t>咖啡机-Hipresso电器旗舰店</t>
  </si>
  <si>
    <t>Hipresso电器旗舰店</t>
  </si>
  <si>
    <t>咖啡机-247</t>
  </si>
  <si>
    <t>咖啡机-detbom修远专卖店</t>
  </si>
  <si>
    <t>detbom修远专卖店</t>
  </si>
  <si>
    <t>咖啡机-248</t>
  </si>
  <si>
    <t>咖啡机-众雀品牌</t>
  </si>
  <si>
    <t>众雀品牌</t>
  </si>
  <si>
    <t>咖啡机-249</t>
  </si>
  <si>
    <t>咖啡机-sangseeqiss旗舰店</t>
  </si>
  <si>
    <t>sangseeqiss旗舰店</t>
  </si>
  <si>
    <t>咖啡机-250</t>
  </si>
  <si>
    <t>咖啡机-MIJIA严选直营店</t>
  </si>
  <si>
    <t>MIJIA严选直营店</t>
  </si>
  <si>
    <t>咖啡机-251</t>
  </si>
  <si>
    <t>咖啡机-Nice peach 生活</t>
  </si>
  <si>
    <t>Nice peach 生活</t>
  </si>
  <si>
    <t>咖啡机-252</t>
  </si>
  <si>
    <t>咖啡机-mokkom简中专卖店</t>
  </si>
  <si>
    <t>mokkom简中专卖店</t>
  </si>
  <si>
    <t>咖啡机-253</t>
  </si>
  <si>
    <t>咖啡机-西屋亨茂专卖店</t>
  </si>
  <si>
    <t>西屋亨茂专卖店</t>
  </si>
  <si>
    <t>咖啡机-254</t>
  </si>
  <si>
    <t>咖啡机-格米莱喜上嘉专卖店</t>
  </si>
  <si>
    <t>格米莱喜上嘉专卖店</t>
  </si>
  <si>
    <t>咖啡机-255</t>
  </si>
  <si>
    <t>咖啡机-鹏程小家电 品牌家电</t>
  </si>
  <si>
    <t>鹏程小家电 品牌家电</t>
  </si>
  <si>
    <t>咖啡机-256</t>
  </si>
  <si>
    <t>咖啡机-CASABREWS旗舰店</t>
  </si>
  <si>
    <t>CASABREWS旗舰店</t>
  </si>
  <si>
    <t>咖啡机-257</t>
  </si>
  <si>
    <t>咖啡机-13年老店 环米品牌直销店</t>
  </si>
  <si>
    <t>13年老店 环米品牌直销店</t>
  </si>
  <si>
    <t>咖啡机-258</t>
  </si>
  <si>
    <t>咖啡机-小熊小家电旗舰店</t>
  </si>
  <si>
    <t>小熊小家电旗舰店</t>
  </si>
  <si>
    <t>咖啡机-259</t>
  </si>
  <si>
    <t>咖啡机-睿至全球购企业店</t>
  </si>
  <si>
    <t>睿至全球购企业店</t>
  </si>
  <si>
    <t>咖啡机-260</t>
  </si>
  <si>
    <t>咖啡机-CHIKO積禾咖啡</t>
  </si>
  <si>
    <t>CHIKO積禾咖啡</t>
  </si>
  <si>
    <t>咖啡机-261</t>
  </si>
  <si>
    <t>咖啡机-illy旗舰店</t>
  </si>
  <si>
    <t>咖啡机-262</t>
  </si>
  <si>
    <t>咖啡机-balmuda旗舰店</t>
  </si>
  <si>
    <t>balmuda旗舰店</t>
  </si>
  <si>
    <t>咖啡机-263</t>
  </si>
  <si>
    <t>咖啡机-索利斯旗舰店</t>
  </si>
  <si>
    <t>索利斯旗舰店</t>
  </si>
  <si>
    <t>咖啡机-264</t>
  </si>
  <si>
    <t>咖啡机-东菱电器店</t>
  </si>
  <si>
    <t>东菱电器店</t>
  </si>
  <si>
    <t>咖啡机-265</t>
  </si>
  <si>
    <t>咖啡机-礼醇新诺乐购</t>
  </si>
  <si>
    <t>礼醇新诺乐购</t>
  </si>
  <si>
    <t>咖啡机-266</t>
  </si>
  <si>
    <t>咖啡机-乐呵呵电器旗舰店</t>
  </si>
  <si>
    <t>乐呵呵电器旗舰店</t>
  </si>
  <si>
    <t>咖啡机-267</t>
  </si>
  <si>
    <t>咖啡机-小米合盛通团购直销</t>
  </si>
  <si>
    <t>小米合盛通团购直销</t>
  </si>
  <si>
    <t>咖啡机-268</t>
  </si>
  <si>
    <t>咖啡机-柏翠佛山专卖店</t>
  </si>
  <si>
    <t>柏翠佛山专卖店</t>
  </si>
  <si>
    <t>咖啡机-269</t>
  </si>
  <si>
    <t>咖啡机-WMF鲜啡专卖店</t>
  </si>
  <si>
    <t>WMF鲜啡专卖店</t>
  </si>
  <si>
    <t>咖啡机-270</t>
  </si>
  <si>
    <t>咖啡机-欧亚优选电器城</t>
  </si>
  <si>
    <t>欧亚优选电器城</t>
  </si>
  <si>
    <t>咖啡机-271</t>
  </si>
  <si>
    <t>咖啡机-意森缘电器专营</t>
  </si>
  <si>
    <t>意森缘电器专营</t>
  </si>
  <si>
    <t>咖啡机-272</t>
  </si>
  <si>
    <t>咖啡机-科勒电器旗舰店</t>
  </si>
  <si>
    <t>科勒电器旗舰店</t>
  </si>
  <si>
    <t>咖啡机-273</t>
  </si>
  <si>
    <t>咖啡机-灿坤宾果专卖店</t>
  </si>
  <si>
    <t>灿坤宾果专卖店</t>
  </si>
  <si>
    <t>咖啡机-274</t>
  </si>
  <si>
    <t>咖啡机-广州鼎胜餐饮设备有限公司</t>
  </si>
  <si>
    <t>广州鼎胜餐饮设备有限公司</t>
  </si>
  <si>
    <t>咖啡机-275</t>
  </si>
  <si>
    <t>咖啡机-突尼旗舰店</t>
  </si>
  <si>
    <t>突尼旗舰店</t>
  </si>
  <si>
    <t>咖啡机-276</t>
  </si>
  <si>
    <t>咖啡机-米莱咖啡商城</t>
  </si>
  <si>
    <t>米莱咖啡商城</t>
  </si>
  <si>
    <t>咖啡机-277</t>
  </si>
  <si>
    <t>咖啡机-上海米家优选</t>
  </si>
  <si>
    <t>上海米家优选</t>
  </si>
  <si>
    <t>咖啡机-278</t>
  </si>
  <si>
    <t>咖啡机-铂富吉颖专卖店</t>
  </si>
  <si>
    <t>铂富吉颖专卖店</t>
  </si>
  <si>
    <t>咖啡机-279</t>
  </si>
  <si>
    <t>咖啡机-赛普达里米里专卖店</t>
  </si>
  <si>
    <t>赛普达里米里专卖店</t>
  </si>
  <si>
    <t>咖啡机-280</t>
  </si>
  <si>
    <t>咖啡机-臻客咖啡</t>
  </si>
  <si>
    <t>臻客咖啡</t>
  </si>
  <si>
    <t>咖啡机-281</t>
  </si>
  <si>
    <t>咖啡机-Coffeeislife</t>
  </si>
  <si>
    <t>Coffeeislife</t>
  </si>
  <si>
    <t>咖啡机-282</t>
  </si>
  <si>
    <t>咖啡机-fika旗舰店</t>
  </si>
  <si>
    <t>fika旗舰店</t>
  </si>
  <si>
    <t>咖啡机-283</t>
  </si>
  <si>
    <t>咖啡机-朝海生活电器馆</t>
  </si>
  <si>
    <t>朝海生活电器馆</t>
  </si>
  <si>
    <t>咖啡机-284</t>
  </si>
  <si>
    <t>咖啡机-ariete旗舰店</t>
  </si>
  <si>
    <t>ariete旗舰店</t>
  </si>
  <si>
    <t>咖啡机-285</t>
  </si>
  <si>
    <t>咖啡机-全球进口正品家电</t>
  </si>
  <si>
    <t>全球进口正品家电</t>
  </si>
  <si>
    <t>咖啡机-286</t>
  </si>
  <si>
    <t>咖啡机-意杯咖啡上海</t>
  </si>
  <si>
    <t>意杯咖啡上海</t>
  </si>
  <si>
    <t>咖啡机-287</t>
  </si>
  <si>
    <t>咖啡机-亚瑟路海外购</t>
  </si>
  <si>
    <t>亚瑟路海外购</t>
  </si>
  <si>
    <t>咖啡机-288</t>
  </si>
  <si>
    <t>咖啡机-咖荔电器品牌店</t>
  </si>
  <si>
    <t>咖荔电器品牌店</t>
  </si>
  <si>
    <t>咖啡机-289</t>
  </si>
  <si>
    <t>咖啡机-海诗菲尔电器严选</t>
  </si>
  <si>
    <t>海诗菲尔电器严选</t>
  </si>
  <si>
    <t>咖啡机-290</t>
  </si>
  <si>
    <t>咖啡机-鑫旭电器城</t>
  </si>
  <si>
    <t>鑫旭电器城</t>
  </si>
  <si>
    <t>咖啡机-291</t>
  </si>
  <si>
    <t>咖啡机-GLOBALSHOPEASY海外专营店</t>
  </si>
  <si>
    <t>GLOBALSHOPEASY海外专营店</t>
  </si>
  <si>
    <t>咖啡机-292</t>
  </si>
  <si>
    <t>咖啡机-德龙德方大有专卖店</t>
  </si>
  <si>
    <t>德龙德方大有专卖店</t>
  </si>
  <si>
    <t>咖啡机-293</t>
  </si>
  <si>
    <t>咖啡机-Pandec海外旗舰店</t>
  </si>
  <si>
    <t>Pandec海外旗舰店</t>
  </si>
  <si>
    <t>咖啡机-294</t>
  </si>
  <si>
    <t>咖啡机-弗莱盾咖啡机自营店</t>
  </si>
  <si>
    <t>弗莱盾咖啡机自营店</t>
  </si>
  <si>
    <t>咖啡机-295</t>
  </si>
  <si>
    <t>咖啡机-SMEG麦狮专卖店</t>
  </si>
  <si>
    <t>SMEG麦狮专卖店</t>
  </si>
  <si>
    <t>咖啡机-296</t>
  </si>
  <si>
    <t>咖啡机-MYLUX乐时及物旗舰店</t>
  </si>
  <si>
    <t>MYLUX乐时及物旗舰店</t>
  </si>
  <si>
    <t>咖啡机-297</t>
  </si>
  <si>
    <t>咖啡机-风华数码店</t>
  </si>
  <si>
    <t>风华数码店</t>
  </si>
  <si>
    <t>咖啡机-298</t>
  </si>
  <si>
    <t>咖啡机-Carracci咖啡店</t>
  </si>
  <si>
    <t>Carracci咖啡店</t>
  </si>
  <si>
    <t>咖啡机-299</t>
  </si>
  <si>
    <t>咖啡机-苏泊尔电器形象店</t>
  </si>
  <si>
    <t>苏泊尔电器形象店</t>
  </si>
  <si>
    <t>咖啡机-300</t>
  </si>
  <si>
    <t>咖啡机-小疯子的电器特卖店</t>
  </si>
  <si>
    <t>小疯子的电器特卖店</t>
  </si>
  <si>
    <t>胶囊咖啡-NESPRESSO官方旗舰店</t>
  </si>
  <si>
    <t>胶囊咖啡-PEET&amp;rsquo;S官方旗舰店</t>
  </si>
  <si>
    <t>胶囊咖啡-小牛妈妈品质生活馆</t>
  </si>
  <si>
    <t>胶囊咖啡-illy旗舰店</t>
  </si>
  <si>
    <t>胶囊咖啡-隅田川旗舰店</t>
  </si>
  <si>
    <t>胶囊咖啡-Dolce Gusto官方旗舰店</t>
  </si>
  <si>
    <t>胶囊咖啡-昊京食品专营店</t>
  </si>
  <si>
    <t>胶囊咖啡-星巴克家享咖啡旗舰店</t>
  </si>
  <si>
    <t>胶囊咖啡-可牛食品专营店</t>
  </si>
  <si>
    <t>胶囊咖啡-小牛妈妈2号店</t>
  </si>
  <si>
    <t>胶囊咖啡-小艾咖啡馆</t>
  </si>
  <si>
    <t>胶囊咖啡-慢节奏食品专营店</t>
  </si>
  <si>
    <t>胶囊咖啡-应然食品专营店</t>
  </si>
  <si>
    <t>胶囊咖啡-lor旗舰店</t>
  </si>
  <si>
    <t>胶囊咖啡-Capsul－胶囊生活</t>
  </si>
  <si>
    <t>胶囊咖啡-Anna咖啡集散店</t>
  </si>
  <si>
    <t>胶囊咖啡-超爱冰拿铁</t>
  </si>
  <si>
    <t>胶囊咖啡-领鲜本色旗舰店</t>
  </si>
  <si>
    <t>胶囊咖啡-capsulife胶囊生活旗舰店</t>
  </si>
  <si>
    <t>胶囊咖啡-阿囧的咖啡馆</t>
  </si>
  <si>
    <t>胶囊咖啡-半岛艺食品专营店</t>
  </si>
  <si>
    <t>胶囊咖啡-彼蒂旗舰店</t>
  </si>
  <si>
    <t>胶囊咖啡-佐伊の咖啡屋</t>
  </si>
  <si>
    <t>胶囊咖啡-星享咖啡</t>
  </si>
  <si>
    <t>胶囊咖啡-乐啡食品专营店</t>
  </si>
  <si>
    <t>胶囊咖啡-毅冬食品专营店</t>
  </si>
  <si>
    <t>胶囊咖啡-CAFE ROYAL旗舰店</t>
  </si>
  <si>
    <t>胶囊咖啡-巴塞时尚食品专营店</t>
  </si>
  <si>
    <t>胶囊咖啡-咖啡天堂</t>
  </si>
  <si>
    <t>胶囊咖啡-东联佳士拿食品专营店</t>
  </si>
  <si>
    <t>胶囊咖啡-巴塞时尚咖啡生活</t>
  </si>
  <si>
    <t>胶囊咖啡-kimbo食品旗舰店</t>
  </si>
  <si>
    <t>胶囊咖啡-潮人咖啡</t>
  </si>
  <si>
    <t>胶囊咖啡-孔川食品专营店</t>
  </si>
  <si>
    <t>胶囊咖啡-博友美食品专营店</t>
  </si>
  <si>
    <t>胶囊咖啡-麦克斯德食品专营店</t>
  </si>
  <si>
    <t>胶囊咖啡-初衷食品专营店</t>
  </si>
  <si>
    <t>胶囊咖啡-romaunt旗舰店</t>
  </si>
  <si>
    <t>胶囊咖啡-欧美家</t>
  </si>
  <si>
    <t>胶囊咖啡-心想旗舰店</t>
  </si>
  <si>
    <t>胶囊咖啡-强源食品专营店</t>
  </si>
  <si>
    <t>胶囊咖啡-美程饮品专营店</t>
  </si>
  <si>
    <t>胶囊咖啡-精挑细选食品专营店</t>
  </si>
  <si>
    <t>胶囊咖啡-宁媛食品专营店</t>
  </si>
  <si>
    <t>胶囊咖啡-温州啡乐仕贸易有限公司</t>
  </si>
  <si>
    <t>胶囊咖啡-盛镕泰食品专营店</t>
  </si>
  <si>
    <t>胶囊咖啡-极睿旗舰店</t>
  </si>
  <si>
    <t>胶囊咖啡-佐伊咖啡2号店</t>
  </si>
  <si>
    <t>佐伊咖啡2号店</t>
  </si>
  <si>
    <t>胶囊咖啡-lavazza拉瓦萨旗舰店</t>
  </si>
  <si>
    <t>胶囊咖啡-乌鸦咖啡馆企业店</t>
  </si>
  <si>
    <t>胶囊咖啡-TASSIMO食品旗舰店</t>
  </si>
  <si>
    <t>胶囊咖啡-吾咖食品</t>
  </si>
  <si>
    <t>胶囊咖啡-beamtimer治光师旗舰店</t>
  </si>
  <si>
    <t>胶囊咖啡-UCC悠诗诗海外旗舰店</t>
  </si>
  <si>
    <t>胶囊咖啡-金米兰旗舰店</t>
  </si>
  <si>
    <t>胶囊咖啡-佐伊咖啡</t>
  </si>
  <si>
    <t>佐伊咖啡</t>
  </si>
  <si>
    <t>胶囊咖啡-每日黑咖</t>
  </si>
  <si>
    <t>胶囊咖啡-ACECOF旗舰店</t>
  </si>
  <si>
    <t>胶囊咖啡-moccona旗舰店</t>
  </si>
  <si>
    <t>胶囊咖啡-欧洲时尚风</t>
  </si>
  <si>
    <t>胶囊咖啡-UCC悠诗诗食品官方旗舰店</t>
  </si>
  <si>
    <t>胶囊咖啡-咖茶主营店</t>
  </si>
  <si>
    <t>胶囊咖啡-星咖啡</t>
  </si>
  <si>
    <t>星咖啡</t>
  </si>
  <si>
    <t>胶囊咖啡-deltaq旗舰店</t>
  </si>
  <si>
    <t>deltaq旗舰店</t>
  </si>
  <si>
    <t>胶囊咖啡-柚子西选</t>
  </si>
  <si>
    <t>胶囊咖啡-苏宁易购官方旗舰店</t>
  </si>
  <si>
    <t>胶囊咖啡-艾薇零食甜品铺</t>
  </si>
  <si>
    <t>胶囊咖啡-风橡飚食品专营店</t>
  </si>
  <si>
    <t>风橡飚食品专营店</t>
  </si>
  <si>
    <t>胶囊咖啡-JDE海外旗舰店</t>
  </si>
  <si>
    <t>胶囊咖啡-腾辉食品专营店</t>
  </si>
  <si>
    <t>胶囊咖啡-dodoco旗舰店</t>
  </si>
  <si>
    <t>胶囊咖啡-COFFEE部落</t>
  </si>
  <si>
    <t>胶囊咖啡-人潮食品专营店</t>
  </si>
  <si>
    <t>胶囊咖啡-eastsign旗舰店</t>
  </si>
  <si>
    <t>胶囊咖啡-樱桃的英淘屋</t>
  </si>
  <si>
    <t>樱桃的英淘屋</t>
  </si>
  <si>
    <t>胶囊咖啡-capzo旗舰店</t>
  </si>
  <si>
    <t>胶囊咖啡-千茶进口茶社</t>
  </si>
  <si>
    <t>千茶进口茶社</t>
  </si>
  <si>
    <t>胶囊咖啡-硕实食品专营店</t>
  </si>
  <si>
    <t>胶囊咖啡-可见可享食品专营店</t>
  </si>
  <si>
    <t>胶囊咖啡-好又美食品专营店</t>
  </si>
  <si>
    <t>好又美食品专营店</t>
  </si>
  <si>
    <t>胶囊咖啡-CaffeVergnano海外旗舰店</t>
  </si>
  <si>
    <t>胶囊咖啡-Sparllo官方海外旗舰店</t>
  </si>
  <si>
    <t>胶囊咖啡-悠亦斯精选</t>
  </si>
  <si>
    <t>悠亦斯精选</t>
  </si>
  <si>
    <t>胶囊咖啡-意大利咖啡borbone</t>
  </si>
  <si>
    <t>意大利咖啡borbone</t>
  </si>
  <si>
    <t>胶囊咖啡-八号咖啡馆</t>
  </si>
  <si>
    <t>胶囊咖啡-森珏食品专营店</t>
  </si>
  <si>
    <t>胶囊咖啡-冲饮食品小铺</t>
  </si>
  <si>
    <t>胶囊咖啡-小肥喵的百宝袋</t>
  </si>
  <si>
    <t>胶囊咖啡-锡兰红茶坊</t>
  </si>
  <si>
    <t>锡兰红茶坊</t>
  </si>
  <si>
    <t>胶囊咖啡-隅田川班顿专卖店</t>
  </si>
  <si>
    <t>胶囊咖啡-阿夫胶囊咖啡</t>
  </si>
  <si>
    <t>胶囊咖啡-南瓜美购</t>
  </si>
  <si>
    <t>南瓜美购</t>
  </si>
  <si>
    <t>胶囊咖啡-快乐妈妈帮</t>
  </si>
  <si>
    <t>快乐妈妈帮</t>
  </si>
  <si>
    <t>胶囊咖啡-麦思顿饮品专营店</t>
  </si>
  <si>
    <t>胶囊咖啡-淮安乐享食品专营店</t>
  </si>
  <si>
    <t>胶囊咖啡-腾辉进口食品</t>
  </si>
  <si>
    <t>胶囊咖啡-Caffe Borbone</t>
  </si>
  <si>
    <t>Caffe Borbone</t>
  </si>
  <si>
    <t>胶囊咖啡-喜客咖啡</t>
  </si>
  <si>
    <t>胶囊咖啡-进口零食折扣商店</t>
  </si>
  <si>
    <t>胶囊咖啡-十月初五咖啡馆</t>
  </si>
  <si>
    <t>十月初五咖啡馆</t>
  </si>
  <si>
    <t>胶囊咖啡-蜡竹小新</t>
  </si>
  <si>
    <t>胶囊咖啡-零点吃货</t>
  </si>
  <si>
    <t>胶囊咖啡-COFFEE咖啡世界</t>
  </si>
  <si>
    <t>COFFEE咖啡世界</t>
  </si>
  <si>
    <t>胶囊咖啡-学习贵夫人</t>
  </si>
  <si>
    <t>胶囊咖啡-先赚个小目标</t>
  </si>
  <si>
    <t>胶囊咖啡-世界茶屋</t>
  </si>
  <si>
    <t>世界茶屋</t>
  </si>
  <si>
    <t>胶囊咖啡-麦田精品咖啡</t>
  </si>
  <si>
    <t>胶囊咖啡-安安小镇店</t>
  </si>
  <si>
    <t>安安小镇店</t>
  </si>
  <si>
    <t>胶囊咖啡-花乔咖啡集市企业店</t>
  </si>
  <si>
    <t>花乔咖啡集市企业店</t>
  </si>
  <si>
    <t>胶囊咖啡-奈斯船长NesCap</t>
  </si>
  <si>
    <t>胶囊咖啡-喜桃 日杂店</t>
  </si>
  <si>
    <t>胶囊咖啡-Carracci咖啡店</t>
  </si>
  <si>
    <t>胶囊咖啡-MY LIFE</t>
  </si>
  <si>
    <t>胶囊咖啡-kimbo食品企业店</t>
  </si>
  <si>
    <t>kimbo食品企业店</t>
  </si>
  <si>
    <t>胶囊咖啡-零碎时光咖啡屋</t>
  </si>
  <si>
    <t>零碎时光咖啡屋</t>
  </si>
  <si>
    <t>胶囊咖啡-然者咖啡茶轩</t>
  </si>
  <si>
    <t>然者咖啡茶轩</t>
  </si>
  <si>
    <t>胶囊咖啡-木木康康精品咖啡</t>
  </si>
  <si>
    <t>木木康康精品咖啡</t>
  </si>
  <si>
    <t>胶囊咖啡-Nicola旗舰店</t>
  </si>
  <si>
    <t>Nicola旗舰店</t>
  </si>
  <si>
    <t>胶囊咖啡-英速购欧洲品质生活馆</t>
  </si>
  <si>
    <t>胶囊咖啡-venezia维妮莉雅旗舰店</t>
  </si>
  <si>
    <t>venezia维妮莉雅旗舰店</t>
  </si>
  <si>
    <t>胶囊咖啡-马来西亚养生汇</t>
  </si>
  <si>
    <t>马来西亚养生汇</t>
  </si>
  <si>
    <t>胶囊咖啡-Metcash官方海外旗舰店</t>
  </si>
  <si>
    <t>Metcash官方海外旗舰店</t>
  </si>
  <si>
    <t>胶囊咖啡-KINGCATCOFFEE旗舰店</t>
  </si>
  <si>
    <t>胶囊咖啡-尼莫生活</t>
  </si>
  <si>
    <t>尼莫生活</t>
  </si>
  <si>
    <t>胶囊咖啡-ESSSECAFFE旗舰店</t>
  </si>
  <si>
    <t>ESSSECAFFE旗舰店</t>
  </si>
  <si>
    <t>胶囊咖啡-远子的补剂铺</t>
  </si>
  <si>
    <t>远子的补剂铺</t>
  </si>
  <si>
    <t>胶囊咖啡-央披剖</t>
  </si>
  <si>
    <t>央披剖</t>
  </si>
  <si>
    <t>胶囊咖啡-世界好滋味</t>
  </si>
  <si>
    <t>世界好滋味</t>
  </si>
  <si>
    <t>胶囊咖啡-食品大亨的梦想乐园</t>
  </si>
  <si>
    <t>食品大亨的梦想乐园</t>
  </si>
  <si>
    <t>胶囊咖啡-Anna咖啡</t>
  </si>
  <si>
    <t>Anna咖啡</t>
  </si>
  <si>
    <t>胶囊咖啡-为了五十万彩礼开的咖啡店</t>
  </si>
  <si>
    <t>为了五十万彩礼开的咖啡店</t>
  </si>
  <si>
    <t>胶囊咖啡-G7coffee咖啡旗舰店</t>
  </si>
  <si>
    <t>G7coffee咖啡旗舰店</t>
  </si>
  <si>
    <t>胶囊咖啡-PURGATORY COFFEE</t>
  </si>
  <si>
    <t>PURGATORY COFFEE</t>
  </si>
  <si>
    <t>胶囊咖啡-当茶爱上咖啡</t>
  </si>
  <si>
    <t>当茶爱上咖啡</t>
  </si>
  <si>
    <t>胶囊咖啡-慢生活咖啡吧专注胶囊咖啡 illy Dolce Gusto</t>
  </si>
  <si>
    <t>慢生活咖啡吧专注胶囊咖啡 illy Dolce Gusto</t>
  </si>
  <si>
    <t>胶囊咖啡-醇自然咖啡进口企业店</t>
  </si>
  <si>
    <t>醇自然咖啡进口企业店</t>
  </si>
  <si>
    <t>胶囊咖啡-明谦旗舰店</t>
  </si>
  <si>
    <t>明谦旗舰店</t>
  </si>
  <si>
    <t>胶囊咖啡-德国小铺online</t>
  </si>
  <si>
    <t>德国小铺online</t>
  </si>
  <si>
    <t>胶囊咖啡-CCARRARO1927旗舰店</t>
  </si>
  <si>
    <t>CCARRARO1927旗舰店</t>
  </si>
  <si>
    <t>胶囊咖啡-秋时咖啡馆</t>
  </si>
  <si>
    <t>秋时咖啡馆</t>
  </si>
  <si>
    <t>胶囊咖啡-壹品汇  O  订阅店铺领大额券企业店</t>
  </si>
  <si>
    <t>壹品汇  O  订阅店铺领大额券企业店</t>
  </si>
  <si>
    <t>胶囊咖啡-欧洲咖啡胶囊大集</t>
  </si>
  <si>
    <t>欧洲咖啡胶囊大集</t>
  </si>
  <si>
    <t>胶囊咖啡-七次方旗舰店</t>
  </si>
  <si>
    <t>胶囊咖啡-艾尔菲德旗舰店</t>
  </si>
  <si>
    <t>胶囊咖啡-猫儿全球甄选</t>
  </si>
  <si>
    <t>猫儿全球甄选</t>
  </si>
  <si>
    <t>胶囊咖啡-海客帝国</t>
  </si>
  <si>
    <t>海客帝国</t>
  </si>
  <si>
    <t>胶囊咖啡-CARRACCI食品旗舰店</t>
  </si>
  <si>
    <t>CARRACCI食品旗舰店</t>
  </si>
  <si>
    <t>胶囊咖啡-西西里品质生活馆</t>
  </si>
  <si>
    <t>西西里品质生活馆</t>
  </si>
  <si>
    <t>胶囊咖啡-我是个小邋遢</t>
  </si>
  <si>
    <t>我是个小邋遢</t>
  </si>
  <si>
    <t>胶囊咖啡-jbem旗舰店</t>
  </si>
  <si>
    <t>jbem旗舰店</t>
  </si>
  <si>
    <t>胶囊咖啡-食有味道</t>
  </si>
  <si>
    <t>食有味道</t>
  </si>
  <si>
    <t>胶囊咖啡-咖咖啡啡   外星人</t>
  </si>
  <si>
    <t>咖咖啡啡   外星人</t>
  </si>
  <si>
    <t>胶囊咖啡-佑文食品专营店</t>
  </si>
  <si>
    <t>佑文食品专营店</t>
  </si>
  <si>
    <t>胶囊咖啡-OTL MALL生活馆</t>
  </si>
  <si>
    <t>OTL MALL生活馆</t>
  </si>
  <si>
    <t>胶囊咖啡-莱意焙精品咖啡</t>
  </si>
  <si>
    <t>莱意焙精品咖啡</t>
  </si>
  <si>
    <t>胶囊咖啡-fishercoffee旗舰店</t>
  </si>
  <si>
    <t>fishercoffee旗舰店</t>
  </si>
  <si>
    <t>胶囊咖啡-SOEcoffee八平方咖啡精品烘焙</t>
  </si>
  <si>
    <t>SOEcoffee八平方咖啡精品烘焙</t>
  </si>
  <si>
    <t>胶囊咖啡-卡卡食品</t>
  </si>
  <si>
    <t>卡卡食品</t>
  </si>
  <si>
    <t>胶囊咖啡-Enjoy咖啡品牌店</t>
  </si>
  <si>
    <t>Enjoy咖啡品牌店</t>
  </si>
  <si>
    <t>胶囊咖啡-Teafiya 上海茶啡国际</t>
  </si>
  <si>
    <t>Teafiya 上海茶啡国际</t>
  </si>
  <si>
    <t>胶囊咖啡-索COFFEE</t>
  </si>
  <si>
    <t>索COFFEE</t>
  </si>
  <si>
    <t>胶囊咖啡-三水北美代购</t>
  </si>
  <si>
    <t>三水北美代购</t>
  </si>
  <si>
    <t>胶囊咖啡-bialetti比乐蒂旗舰店</t>
  </si>
  <si>
    <t>bialetti比乐蒂旗舰店</t>
  </si>
  <si>
    <t>胶囊咖啡-酷客咖啡</t>
  </si>
  <si>
    <t>胶囊咖啡-喵星人会员店代购</t>
  </si>
  <si>
    <t>喵星人会员店代购</t>
  </si>
  <si>
    <t>胶囊咖啡-德客信佳咖啡厨电超市</t>
  </si>
  <si>
    <t>胶囊咖啡-经纬咖啡</t>
  </si>
  <si>
    <t>胶囊咖啡-12年老店 淘在欧洲</t>
  </si>
  <si>
    <t>12年老店 淘在欧洲</t>
  </si>
  <si>
    <t>胶囊咖啡-YUNO COFFEE</t>
  </si>
  <si>
    <t>胶囊咖啡-天猫国际探物韩国</t>
  </si>
  <si>
    <t>天猫国际探物韩国</t>
  </si>
  <si>
    <t>胶囊咖啡-少数派咖啡</t>
  </si>
  <si>
    <t>少数派咖啡</t>
  </si>
  <si>
    <t>胶囊咖啡-小众快乐生活</t>
  </si>
  <si>
    <t>小众快乐生活</t>
  </si>
  <si>
    <t>胶囊咖啡-jasbleucoffee旗舰店</t>
  </si>
  <si>
    <t>jasbleucoffee旗舰店</t>
  </si>
  <si>
    <t>胶囊咖啡-Feimmy啡密咖啡集市</t>
  </si>
  <si>
    <t>Feimmy啡密咖啡集市</t>
  </si>
  <si>
    <t>胶囊咖啡-妈妈咪呀日代小铺</t>
  </si>
  <si>
    <t>妈妈咪呀日代小铺</t>
  </si>
  <si>
    <t>胶囊咖啡-梦纤S瘦O身至极</t>
  </si>
  <si>
    <t>梦纤S瘦O身至极</t>
  </si>
  <si>
    <t>胶囊咖啡-咖啡遇见茶</t>
  </si>
  <si>
    <t>咖啡遇见茶</t>
  </si>
  <si>
    <t>胶囊咖啡-纽兰朵咖啡商行</t>
  </si>
  <si>
    <t>纽兰朵咖啡商行</t>
  </si>
  <si>
    <t>胶囊咖啡-环球折扣仓进口临期裸价低至一折起</t>
  </si>
  <si>
    <t>环球折扣仓进口临期裸价低至一折起</t>
  </si>
  <si>
    <t>胶囊咖啡-世家兰铎旗舰店</t>
  </si>
  <si>
    <t>世家兰铎旗舰店</t>
  </si>
  <si>
    <t>胶囊咖啡-CAFFEBORBONE旗舰店</t>
  </si>
  <si>
    <t>CAFFEBORBONE旗舰店</t>
  </si>
  <si>
    <t>胶囊咖啡-咖天下食品旗舰店</t>
  </si>
  <si>
    <t>咖天下食品旗舰店</t>
  </si>
  <si>
    <t>胶囊咖啡-町田零食</t>
  </si>
  <si>
    <t>町田零食</t>
  </si>
  <si>
    <t>胶囊咖啡-悦客食品专营店</t>
  </si>
  <si>
    <t>悦客食品专营店</t>
  </si>
  <si>
    <t>胶囊咖啡-Caffe Belle咖啡胶囊</t>
  </si>
  <si>
    <t>Caffe Belle咖啡胶囊</t>
  </si>
  <si>
    <t>胶囊咖啡-cuppingroom咖啡旗舰店</t>
  </si>
  <si>
    <t>cuppingroom咖啡旗舰店</t>
  </si>
  <si>
    <t>胶囊咖啡-大鹏展翅零食的小店</t>
  </si>
  <si>
    <t>大鹏展翅零食的小店</t>
  </si>
  <si>
    <t>胶囊咖啡-宅猫天堂</t>
  </si>
  <si>
    <t>宅猫天堂</t>
  </si>
  <si>
    <t>胶囊咖啡-Lane With Lemon</t>
  </si>
  <si>
    <t>Lane With Lemon</t>
  </si>
  <si>
    <t>胶囊咖啡-猪猪家大牌零食店</t>
  </si>
  <si>
    <t>猪猪家大牌零食店</t>
  </si>
  <si>
    <t>胶囊咖啡-海岸线进口食品 临期裸价折扣超市</t>
  </si>
  <si>
    <t>海岸线进口食品 临期裸价折扣超市</t>
  </si>
  <si>
    <t>胶囊咖啡-香啡食品专营店</t>
  </si>
  <si>
    <t>香啡食品专营店</t>
  </si>
  <si>
    <t>胶囊咖啡-Pipa House 之约店</t>
  </si>
  <si>
    <t>Pipa House 之约店</t>
  </si>
  <si>
    <t>胶囊咖啡-咖果咖啡</t>
  </si>
  <si>
    <t>咖果咖啡</t>
  </si>
  <si>
    <t>胶囊咖啡-星Star生活馆</t>
  </si>
  <si>
    <t>星Star生活馆</t>
  </si>
  <si>
    <t>胶囊咖啡-5号店折扣超市</t>
  </si>
  <si>
    <t>5号店折扣超市</t>
  </si>
  <si>
    <t>胶囊咖啡-西南小米智能生态店</t>
  </si>
  <si>
    <t>西南小米智能生态店</t>
  </si>
  <si>
    <t>胶囊咖啡-WUDIDOU无敌豆</t>
  </si>
  <si>
    <t>WUDIDOU无敌豆</t>
  </si>
  <si>
    <t>胶囊咖啡-茉莉意大利正品小站</t>
  </si>
  <si>
    <t>茉莉意大利正品小站</t>
  </si>
  <si>
    <t>胶囊咖啡-八平方咖啡旗舰店</t>
  </si>
  <si>
    <t>八平方咖啡旗舰店</t>
  </si>
  <si>
    <t>胶囊咖啡-鹿鹿进口食品特卖超市临期裸价低至一折起</t>
  </si>
  <si>
    <t>鹿鹿进口食品特卖超市临期裸价低至一折起</t>
  </si>
  <si>
    <t>胶囊咖啡-带你吃遍全世界</t>
  </si>
  <si>
    <t>带你吃遍全世界</t>
  </si>
  <si>
    <t>胶囊咖啡-juliusmeinl旗舰店</t>
  </si>
  <si>
    <t>juliusmeinl旗舰店</t>
  </si>
  <si>
    <t>胶囊咖啡-吃汉咖啡冲饮</t>
  </si>
  <si>
    <t>吃汉咖啡冲饮</t>
  </si>
  <si>
    <t>胶囊咖啡-@Hachi小哈</t>
  </si>
  <si>
    <t>@Hachi小哈</t>
  </si>
  <si>
    <t>胶囊咖啡-咖色啡语食品专营店</t>
  </si>
  <si>
    <t>咖色啡语食品专营店</t>
  </si>
  <si>
    <t>胶囊咖啡-雀巢乐诚专卖店</t>
  </si>
  <si>
    <t>雀巢乐诚专卖店</t>
  </si>
  <si>
    <t>胶囊咖啡-LB咖啡旗舰店</t>
  </si>
  <si>
    <t>LB咖啡旗舰店</t>
  </si>
  <si>
    <t>胶囊咖啡-奇点食品专营店</t>
  </si>
  <si>
    <t>奇点食品专营店</t>
  </si>
  <si>
    <t>胶囊咖啡-欧贸咖啡</t>
  </si>
  <si>
    <t>欧贸咖啡</t>
  </si>
  <si>
    <t>胶囊咖啡-小柠檬咖啡电器</t>
  </si>
  <si>
    <t>小柠檬咖啡电器</t>
  </si>
  <si>
    <t>胶囊咖啡-麦兜生活小店</t>
  </si>
  <si>
    <t>麦兜生活小店</t>
  </si>
  <si>
    <t>胶囊咖啡-维罗纳食品专营店</t>
  </si>
  <si>
    <t>维罗纳食品专营店</t>
  </si>
  <si>
    <t>胶囊咖啡-左岸咖啡语坊</t>
  </si>
  <si>
    <t>左岸咖啡语坊</t>
  </si>
  <si>
    <t>胶囊咖啡-胶囊巴士CapsuleBus咖啡</t>
  </si>
  <si>
    <t>胶囊巴士CapsuleBus咖啡</t>
  </si>
  <si>
    <t>胶囊咖啡-爱优海外购</t>
  </si>
  <si>
    <t>爱优海外购</t>
  </si>
  <si>
    <t>胶囊咖啡-eivissa伊维萨精品咖啡</t>
  </si>
  <si>
    <t>eivissa伊维萨精品咖啡</t>
  </si>
  <si>
    <t>胶囊咖啡-啡之岛LIFFEE</t>
  </si>
  <si>
    <t>啡之岛LIFFEE</t>
  </si>
  <si>
    <t>胶囊咖啡-品味环球</t>
  </si>
  <si>
    <t>品味环球</t>
  </si>
  <si>
    <t>胶囊咖啡-秋天的麦浪888代购店</t>
  </si>
  <si>
    <t>秋天的麦浪888代购店</t>
  </si>
  <si>
    <t>胶囊咖啡-TT花时间官方店</t>
  </si>
  <si>
    <t>TT花时间官方店</t>
  </si>
  <si>
    <t>胶囊咖啡-味你而来小店</t>
  </si>
  <si>
    <t>味你而来小店</t>
  </si>
  <si>
    <t>胶囊咖啡-小猪夫妇旗舰店</t>
  </si>
  <si>
    <t>胶囊咖啡-长弓食品专营店</t>
  </si>
  <si>
    <t>长弓食品专营店</t>
  </si>
  <si>
    <t>胶囊咖啡-盛毅食品专营店</t>
  </si>
  <si>
    <t>盛毅食品专营店</t>
  </si>
  <si>
    <t>胶囊咖啡-心语未来会员工作室</t>
  </si>
  <si>
    <t>心语未来会员工作室</t>
  </si>
  <si>
    <t>胶囊咖啡-隅田川奇点专卖店</t>
  </si>
  <si>
    <t>隅田川奇点专卖店</t>
  </si>
  <si>
    <t>胶囊咖啡-杯利咖啡旗舰店</t>
  </si>
  <si>
    <t>杯利咖啡旗舰店</t>
  </si>
  <si>
    <t>胶囊咖啡-耀永成海外专营店</t>
  </si>
  <si>
    <t>耀永成海外专营店</t>
  </si>
  <si>
    <t>胶囊咖啡-健康乐购馆</t>
  </si>
  <si>
    <t>健康乐购馆</t>
  </si>
  <si>
    <t>胶囊咖啡-意尚咖啡企业店</t>
  </si>
  <si>
    <t>胶囊咖啡-Roastmarket</t>
  </si>
  <si>
    <t>Roastmarket</t>
  </si>
  <si>
    <t>胶囊咖啡-麦多克食品专营店</t>
  </si>
  <si>
    <t>麦多克食品专营店</t>
  </si>
  <si>
    <t>胶囊咖啡-吉意欧咖啡旗舰店</t>
  </si>
  <si>
    <t>吉意欧咖啡旗舰店</t>
  </si>
  <si>
    <t>胶囊咖啡-天猫国际自营生活家</t>
  </si>
  <si>
    <t>胶囊咖啡-口罩高颜值精品</t>
  </si>
  <si>
    <t>口罩高颜值精品</t>
  </si>
  <si>
    <t>胶囊咖啡-北京智恒达商食品专营店</t>
  </si>
  <si>
    <t>北京智恒达商食品专营店</t>
  </si>
  <si>
    <t>胶囊咖啡-未来COFFEE</t>
  </si>
  <si>
    <t>未来COFFEE</t>
  </si>
  <si>
    <t>胶囊咖啡-咖啡甄选店</t>
  </si>
  <si>
    <t>咖啡甄选店</t>
  </si>
  <si>
    <t>胶囊咖啡-柴本咖啡</t>
  </si>
  <si>
    <t>柴本咖啡</t>
  </si>
  <si>
    <t>胶囊咖啡-一品咖啡</t>
  </si>
  <si>
    <t>一品咖啡</t>
  </si>
  <si>
    <t>胶囊咖啡-顿茗食品专营店</t>
  </si>
  <si>
    <t>顿茗食品专营店</t>
  </si>
  <si>
    <t>胶囊咖啡-小海绵美妆生活馆</t>
  </si>
  <si>
    <t>小海绵美妆生活馆</t>
  </si>
  <si>
    <t>胶囊咖啡-弘纳食品专营店</t>
  </si>
  <si>
    <t>弘纳食品专营店</t>
  </si>
  <si>
    <t>胶囊咖啡-小谷的咖啡店</t>
  </si>
  <si>
    <t>小谷的咖啡店</t>
  </si>
  <si>
    <t>胶囊咖啡-宗翎日韩进口</t>
  </si>
  <si>
    <t>宗翎日韩进口</t>
  </si>
  <si>
    <t>胶囊咖啡-供应链配送站</t>
  </si>
  <si>
    <t>供应链配送站</t>
  </si>
  <si>
    <t>胶囊咖啡-技嘉食品专营店</t>
  </si>
  <si>
    <t>技嘉食品专营店</t>
  </si>
  <si>
    <t>胶囊咖啡-叮咚海淘店</t>
  </si>
  <si>
    <t>叮咚海淘店</t>
  </si>
  <si>
    <t>胶囊咖啡-啡我莫属红茶生活馆</t>
  </si>
  <si>
    <t>啡我莫属红茶生活馆</t>
  </si>
  <si>
    <t>胶囊咖啡-dallmayr达尔麦亚旗舰店</t>
  </si>
  <si>
    <t>dallmayr达尔麦亚旗舰店</t>
  </si>
  <si>
    <t>胶囊咖啡-HiBREW品牌店</t>
  </si>
  <si>
    <t>胶囊咖啡-左伊咖啡2号店咖啡企业店</t>
  </si>
  <si>
    <t>左伊咖啡2号店咖啡企业店</t>
  </si>
  <si>
    <t>胶囊咖啡-巴西咖啡研究所</t>
  </si>
  <si>
    <t>巴西咖啡研究所</t>
  </si>
  <si>
    <t>胶囊咖啡-活力站</t>
  </si>
  <si>
    <t>活力站</t>
  </si>
  <si>
    <t>胶囊咖啡-Tomorrow美国代购</t>
  </si>
  <si>
    <t>Tomorrow美国代购</t>
  </si>
  <si>
    <t>胶囊咖啡-意代米兰直邮店</t>
  </si>
  <si>
    <t>意代米兰直邮店</t>
  </si>
  <si>
    <t>胶囊咖啡-禾云食品专营店</t>
  </si>
  <si>
    <t>禾云食品专营店</t>
  </si>
  <si>
    <t>胶囊咖啡-古德西堤咖啡</t>
  </si>
  <si>
    <t>古德西堤咖啡</t>
  </si>
  <si>
    <t>胶囊咖啡-心田食品企业店</t>
  </si>
  <si>
    <t>心田食品企业店</t>
  </si>
  <si>
    <t>胶囊咖啡-梦想咖啡馆</t>
  </si>
  <si>
    <t>梦想咖啡馆</t>
  </si>
  <si>
    <t>胶囊咖啡-正品咖啡折扣店</t>
  </si>
  <si>
    <t>正品咖啡折扣店</t>
  </si>
  <si>
    <t>胶囊咖啡-芽米新鲜购</t>
  </si>
  <si>
    <t>芽米新鲜购</t>
  </si>
  <si>
    <t>胶囊咖啡-芮芮妈意大利代购</t>
  </si>
  <si>
    <t>芮芮妈意大利代购</t>
  </si>
  <si>
    <t>胶囊咖啡-方方家代购</t>
  </si>
  <si>
    <t>方方家代购</t>
  </si>
  <si>
    <t>胶囊咖啡-爱生活sui</t>
  </si>
  <si>
    <t>爱生活sui</t>
  </si>
  <si>
    <t>胶囊咖啡-konmo旗舰店</t>
  </si>
  <si>
    <t>konmo旗舰店</t>
  </si>
  <si>
    <t>胶囊咖啡-268</t>
  </si>
  <si>
    <t>胶囊咖啡-FisherCoffee啡舍精品咖啡</t>
  </si>
  <si>
    <t>FisherCoffee啡舍精品咖啡</t>
  </si>
  <si>
    <t>胶囊咖啡-269</t>
  </si>
  <si>
    <t>胶囊咖啡-纯色新西兰</t>
  </si>
  <si>
    <t>纯色新西兰</t>
  </si>
  <si>
    <t>胶囊咖啡-270</t>
  </si>
  <si>
    <t>胶囊咖啡-用点心品牌代购店</t>
  </si>
  <si>
    <t>用点心品牌代购店</t>
  </si>
  <si>
    <t>胶囊咖啡-271</t>
  </si>
  <si>
    <t>胶囊咖啡-盛源来旗舰店</t>
  </si>
  <si>
    <t>盛源来旗舰店</t>
  </si>
  <si>
    <t>胶囊咖啡-272</t>
  </si>
  <si>
    <t>胶囊咖啡-Cheetos进口杂货店</t>
  </si>
  <si>
    <t>Cheetos进口杂货店</t>
  </si>
  <si>
    <t>胶囊咖啡-273</t>
  </si>
  <si>
    <t>胶囊咖啡-EuropeanBrand海外专营店</t>
  </si>
  <si>
    <t>EuropeanBrand海外专营店</t>
  </si>
  <si>
    <t>胶囊咖啡-274</t>
  </si>
  <si>
    <t>胶囊咖啡-小爸爸进口食品店</t>
  </si>
  <si>
    <t>小爸爸进口食品店</t>
  </si>
  <si>
    <t>胶囊咖啡-275</t>
  </si>
  <si>
    <t>胶囊咖啡-隽美汇</t>
  </si>
  <si>
    <t>隽美汇</t>
  </si>
  <si>
    <t>胶囊咖啡-276</t>
  </si>
  <si>
    <t>胶囊咖啡-BIALETTI比乐蒂海外旗舰店</t>
  </si>
  <si>
    <t>BIALETTI比乐蒂海外旗舰店</t>
  </si>
  <si>
    <t>胶囊咖啡-277</t>
  </si>
  <si>
    <t>胶囊咖啡-景兰日透咖啡特产店</t>
  </si>
  <si>
    <t>景兰日透咖啡特产店</t>
  </si>
  <si>
    <t>胶囊咖啡-278</t>
  </si>
  <si>
    <t>胶囊咖啡-红小魔杂货铺</t>
  </si>
  <si>
    <t>红小魔杂货铺</t>
  </si>
  <si>
    <t>胶囊咖啡-279</t>
  </si>
  <si>
    <t>胶囊咖啡-豆咖咖啡</t>
  </si>
  <si>
    <t>豆咖咖啡</t>
  </si>
  <si>
    <t>胶囊咖啡-280</t>
  </si>
  <si>
    <t>胶囊咖啡-博瓦纳食品专营店</t>
  </si>
  <si>
    <t>博瓦纳食品专营店</t>
  </si>
  <si>
    <t>胶囊咖啡-281</t>
  </si>
  <si>
    <t>胶囊咖啡-哆哆进口食品折扣超市</t>
  </si>
  <si>
    <t>哆哆进口食品折扣超市</t>
  </si>
  <si>
    <t>胶囊咖啡-282</t>
  </si>
  <si>
    <t>胶囊咖啡-锦膳鸿食品旗舰店</t>
  </si>
  <si>
    <t>锦膳鸿食品旗舰店</t>
  </si>
  <si>
    <t>胶囊咖啡-283</t>
  </si>
  <si>
    <t>胶囊咖啡-歌睿兹旗舰店</t>
  </si>
  <si>
    <t>歌睿兹旗舰店</t>
  </si>
  <si>
    <t>胶囊咖啡-284</t>
  </si>
  <si>
    <t>胶囊咖啡-希希的窝 无添加养肤</t>
  </si>
  <si>
    <t>希希的窝 无添加养肤</t>
  </si>
  <si>
    <t>胶囊咖啡-285</t>
  </si>
  <si>
    <t>胶囊咖啡-MalaysiaCATUABA</t>
  </si>
  <si>
    <t>MalaysiaCATUABA</t>
  </si>
  <si>
    <t>胶囊咖啡-286</t>
  </si>
  <si>
    <t>胶囊咖啡-派迪索海外精品馆</t>
  </si>
  <si>
    <t>派迪索海外精品馆</t>
  </si>
  <si>
    <t>胶囊咖啡-287</t>
  </si>
  <si>
    <t>胶囊咖啡-多宝澳洲代购直邮店</t>
  </si>
  <si>
    <t>多宝澳洲代购直邮店</t>
  </si>
  <si>
    <t>胶囊咖啡-288</t>
  </si>
  <si>
    <t>胶囊咖啡-Rainbow羽</t>
  </si>
  <si>
    <t>Rainbow羽</t>
  </si>
  <si>
    <t>胶囊咖啡-289</t>
  </si>
  <si>
    <t>胶囊咖啡-洛洛咖啡lollocaffe</t>
  </si>
  <si>
    <t>洛洛咖啡lollocaffe</t>
  </si>
  <si>
    <t>胶囊咖啡-290</t>
  </si>
  <si>
    <t>胶囊咖啡-精品咖啡工坊</t>
  </si>
  <si>
    <t>精品咖啡工坊</t>
  </si>
  <si>
    <t>胶囊咖啡-291</t>
  </si>
  <si>
    <t>胶囊咖啡-临食荟 进口临期裸价低至一折起</t>
  </si>
  <si>
    <t>临食荟 进口临期裸价低至一折起</t>
  </si>
  <si>
    <t>胶囊咖啡-292</t>
  </si>
  <si>
    <t>胶囊咖啡-饮品集装箱</t>
  </si>
  <si>
    <t>饮品集装箱</t>
  </si>
  <si>
    <t>胶囊咖啡-293</t>
  </si>
  <si>
    <t>胶囊咖啡-唐小胖Costco代购</t>
  </si>
  <si>
    <t>唐小胖Costco代购</t>
  </si>
  <si>
    <t>胶囊咖啡-294</t>
  </si>
  <si>
    <t>胶囊咖啡-弥莱谷咖啡2号店</t>
  </si>
  <si>
    <t>弥莱谷咖啡2号店</t>
  </si>
  <si>
    <t>胶囊咖啡-295</t>
  </si>
  <si>
    <t>胶囊咖啡-比顿旗舰店</t>
  </si>
  <si>
    <t>比顿旗舰店</t>
  </si>
  <si>
    <t>胶囊咖啡-296</t>
  </si>
  <si>
    <t>胶囊咖啡-小食港进口食品超市临期特价零食品裸价捡漏</t>
  </si>
  <si>
    <t>小食港进口食品超市临期特价零食品裸价捡漏</t>
  </si>
  <si>
    <t>胶囊咖啡-297</t>
  </si>
  <si>
    <t>胶囊咖啡-熠心堂</t>
  </si>
  <si>
    <t>熠心堂</t>
  </si>
  <si>
    <t>胶囊咖啡-298</t>
  </si>
  <si>
    <t>胶囊咖啡-阿伟临期裸价进口零食食品折扣超市</t>
  </si>
  <si>
    <t>阿伟临期裸价进口零食食品折扣超市</t>
  </si>
  <si>
    <t>胶囊咖啡-299</t>
  </si>
  <si>
    <t>胶囊咖啡-齐齐海外代购</t>
  </si>
  <si>
    <t>齐齐海外代购</t>
  </si>
  <si>
    <t>胶囊咖啡-300</t>
  </si>
  <si>
    <t>胶囊咖啡-wfnkbujioy的小店</t>
  </si>
  <si>
    <t>wfnkbujioy的小店</t>
  </si>
  <si>
    <t>店铺</t>
  </si>
  <si>
    <t>流量指数_本月</t>
  </si>
  <si>
    <t>支付转化指数_本月</t>
  </si>
  <si>
    <t>流量指数_同比月</t>
  </si>
  <si>
    <t>支付转化指数_同比月</t>
  </si>
  <si>
    <t>uv_本月</t>
  </si>
  <si>
    <t>咖啡机-Nespresso</t>
  </si>
  <si>
    <t>咖啡机-格米莱旗舰店</t>
  </si>
  <si>
    <t>胶囊咖啡-PEET’S官方旗舰店</t>
  </si>
  <si>
    <t>胶囊咖啡-Nespresso</t>
  </si>
  <si>
    <t>ctshopchl</t>
  </si>
  <si>
    <t>uv占比</t>
  </si>
  <si>
    <t>uv_店铺加总</t>
  </si>
  <si>
    <t>uv占比_一级</t>
  </si>
  <si>
    <t>uv_一级</t>
  </si>
  <si>
    <t>uv</t>
  </si>
  <si>
    <t>rk</t>
  </si>
  <si>
    <t>咖啡机-Dolce Gusto官方旗舰店-平台流量-汇总-汇总</t>
  </si>
  <si>
    <t>咖啡机-Dolce Gusto官方旗舰店-平台流量-手淘搜索-汇总</t>
  </si>
  <si>
    <t>手淘搜索-商品及其他</t>
  </si>
  <si>
    <t>平台流量-手淘搜索-手淘搜索-商品及其他</t>
  </si>
  <si>
    <t>咖啡机-Dolce Gusto官方旗舰店-平台流量-手淘搜索-手淘搜索-商品及其他</t>
  </si>
  <si>
    <t>咖啡机-Dolce Gusto官方旗舰店-平台流量-我的淘宝-汇总</t>
  </si>
  <si>
    <t>咖啡机-Dolce Gusto官方旗舰店-平台流量-手淘拍立淘-汇总</t>
  </si>
  <si>
    <t>咖啡机-Dolce Gusto官方旗舰店-平台流量-购物车-汇总</t>
  </si>
  <si>
    <t>咖啡机-Dolce Gusto官方旗舰店-平台流量-手淘旺信-汇总</t>
  </si>
  <si>
    <t>咖啡机-Dolce Gusto官方旗舰店-平台流量-淘内待分类-汇总</t>
  </si>
  <si>
    <t>咖啡机-Dolce Gusto官方旗舰店-平台流量-手淘推荐-汇总</t>
  </si>
  <si>
    <t>咖啡机-Dolce Gusto官方旗舰店-平台流量-手淘淘宝直播-汇总</t>
  </si>
  <si>
    <t>咖啡机-Dolce Gusto官方旗舰店-平台流量-手淘推荐-首页推荐-微详情</t>
  </si>
  <si>
    <t>咖啡机-Dolce Gusto官方旗舰店-平台流量-手淘推荐-其他猜你喜欢</t>
  </si>
  <si>
    <t>咖啡机-Dolce Gusto官方旗舰店-平台流量-手淘其他店铺-汇总</t>
  </si>
  <si>
    <t>咖啡机-Dolce Gusto官方旗舰店-平台流量-百亿补贴-汇总</t>
  </si>
  <si>
    <t>咖啡机-Dolce Gusto官方旗舰店-平台流量-淘口令分享-汇总</t>
  </si>
  <si>
    <t>咖啡机-Dolce Gusto官方旗舰店-平台流量-手淘其他店铺-商品详情页头图推荐</t>
  </si>
  <si>
    <t>咖啡机-Dolce Gusto官方旗舰店-平台流量-手机天猫-汇总</t>
  </si>
  <si>
    <t>咖啡机-Dolce Gusto官方旗舰店-平台流量-大促会场-汇总</t>
  </si>
  <si>
    <t>咖啡机-Dolce Gusto官方旗舰店-平台流量-短视频全屏页上下滑-汇总</t>
  </si>
  <si>
    <t>咖啡机-Dolce Gusto官方旗舰店-平台流量-手淘其他店铺-店铺超链</t>
  </si>
  <si>
    <t>咖啡机-Dolce Gusto官方旗舰店-平台流量-天猫榜单-汇总</t>
  </si>
  <si>
    <t>咖啡机-Dolce Gusto官方旗舰店-平台流量-手淘推荐-首页推荐-直播</t>
  </si>
  <si>
    <t>咖啡机-Dolce Gusto官方旗舰店-平台流量-大促会场-主会场</t>
  </si>
  <si>
    <t>咖啡机-Dolce Gusto官方旗舰店-平台流量-日常营销活动-汇总</t>
  </si>
  <si>
    <t>咖啡机-Dolce Gusto官方旗舰店-平台流量-淘外网站-汇总</t>
  </si>
  <si>
    <t>咖啡机-Dolce Gusto官方旗舰店-平台流量-一淘-汇总</t>
  </si>
  <si>
    <t>咖啡机-Dolce Gusto官方旗舰店-平台流量-手机天猫-手猫搜索</t>
  </si>
  <si>
    <t>咖啡机-Dolce Gusto官方旗舰店-平台流量-手淘消息中心-汇总</t>
  </si>
  <si>
    <t>手淘搜索-直播</t>
  </si>
  <si>
    <t>平台流量-手淘搜索-手淘搜索-直播</t>
  </si>
  <si>
    <t>咖啡机-Dolce Gusto官方旗舰店-平台流量-手淘搜索-手淘搜索-直播</t>
  </si>
  <si>
    <t>咖啡机-Dolce Gusto官方旗舰店-平台流量-天猫榜单-其他入口榜单</t>
  </si>
  <si>
    <t>咖啡机-Dolce Gusto官方旗舰店-平台流量-手淘问大家-汇总</t>
  </si>
  <si>
    <t>咖啡机-Dolce Gusto官方旗舰店-平台流量-闲鱼-汇总</t>
  </si>
  <si>
    <t>咖啡机-Dolce Gusto官方旗舰店-平台流量-关注-汇总</t>
  </si>
  <si>
    <t>咖啡机-Dolce Gusto官方旗舰店-平台流量-芭芭农场-汇总</t>
  </si>
  <si>
    <t>咖啡机-Dolce Gusto官方旗舰店-平台流量-手淘推荐-购后推荐</t>
  </si>
  <si>
    <t>咖啡机-Dolce Gusto官方旗舰店-平台流量-手机天猫-手猫首页</t>
  </si>
  <si>
    <t>咖啡机-Dolce Gusto官方旗舰店-平台流量-天猫榜单-商品详情页入口榜单</t>
  </si>
  <si>
    <t>咖啡机-Dolce Gusto官方旗舰店-平台流量-天猫榜单-搜索入口榜单</t>
  </si>
  <si>
    <t>咖啡机-Dolce Gusto官方旗舰店-平台流量-手机浏览器访问淘宝-汇总</t>
  </si>
  <si>
    <t>咖啡机-Dolce Gusto官方旗舰店-平台流量-直接访问-汇总</t>
  </si>
  <si>
    <t>淘宝好价</t>
  </si>
  <si>
    <t>平台流量-淘宝好价-汇总</t>
  </si>
  <si>
    <t>咖啡机-Dolce Gusto官方旗舰店-平台流量-淘宝好价-汇总</t>
  </si>
  <si>
    <t>手淘搜索-短视频</t>
  </si>
  <si>
    <t>平台流量-手淘搜索-手淘搜索-短视频</t>
  </si>
  <si>
    <t>咖啡机-Dolce Gusto官方旗舰店-平台流量-手淘搜索-手淘搜索-短视频</t>
  </si>
  <si>
    <t>咖啡机-Dolce Gusto官方旗舰店-平台流量-手机天猫-手猫其他店铺</t>
  </si>
  <si>
    <t>咖啡机-Dolce Gusto官方旗舰店-平台流量-手机天猫-手猫免费其他</t>
  </si>
  <si>
    <t>咖啡机-Dolce Gusto官方旗舰店-平台流量-大促会场-榜单会场</t>
  </si>
  <si>
    <t>咖啡机-Dolce Gusto官方旗舰店-平台流量-手机天猫-手猫商品详情</t>
  </si>
  <si>
    <t>咖啡机-Dolce Gusto官方旗舰店-平台流量-逛逛-汇总</t>
  </si>
  <si>
    <t>咖啡机-Dolce Gusto官方旗舰店-平台流量-手机天猫-手机浏览器访问天猫</t>
  </si>
  <si>
    <t>咖啡机-Dolce Gusto官方旗舰店-平台流量-淘宝跨境站点-汇总</t>
  </si>
  <si>
    <t>咖啡机-Dolce Gusto官方旗舰店-平台流量-手淘推荐-购中推荐</t>
  </si>
  <si>
    <t>咖啡机-Dolce Gusto官方旗舰店-平台流量-淘宝特价版-汇总</t>
  </si>
  <si>
    <t>咖啡机-Dolce Gusto官方旗舰店-平台流量-手淘我的评价-汇总</t>
  </si>
  <si>
    <t>咖啡机-Dolce Gusto官方旗舰店-平台流量-裂变券引流-汇总</t>
  </si>
  <si>
    <t>咖啡机-Dolce Gusto官方旗舰店-平台流量-88VIP频道-汇总</t>
  </si>
  <si>
    <t>咖啡机-Dolce Gusto官方旗舰店-平台流量-手机天猫-手猫旺信聊天</t>
  </si>
  <si>
    <t>咖啡机-Dolce Gusto官方旗舰店-平台流量-手淘有好货-汇总</t>
  </si>
  <si>
    <t>淘特推荐</t>
  </si>
  <si>
    <t>平台流量-淘宝特价版-淘特推荐</t>
  </si>
  <si>
    <t>咖啡机-Dolce Gusto官方旗舰店-平台流量-淘宝特价版-淘特推荐</t>
  </si>
  <si>
    <t>咖啡机-Dolce Gusto官方旗舰店-平台流量-大促会场-热点会场</t>
  </si>
  <si>
    <t>淘特搜索</t>
  </si>
  <si>
    <t>平台流量-淘宝特价版-淘特搜索</t>
  </si>
  <si>
    <t>咖啡机-Dolce Gusto官方旗舰店-平台流量-淘宝特价版-淘特搜索</t>
  </si>
  <si>
    <t>淘特其他渠道</t>
  </si>
  <si>
    <t>平台流量-淘宝特价版-淘特其他渠道</t>
  </si>
  <si>
    <t>咖啡机-Dolce Gusto官方旗舰店-平台流量-淘宝特价版-淘特其他渠道</t>
  </si>
  <si>
    <t>咖啡机-Dolce Gusto官方旗舰店-平台流量-手淘扫一扫-汇总</t>
  </si>
  <si>
    <t>电视淘宝</t>
  </si>
  <si>
    <t>平台流量-电视淘宝-汇总</t>
  </si>
  <si>
    <t>咖啡机-Dolce Gusto官方旗舰店-平台流量-电视淘宝-汇总</t>
  </si>
  <si>
    <t>咖啡机-Dolce Gusto官方旗舰店-平台流量-手淘充值-汇总</t>
  </si>
  <si>
    <t>咖啡机-Dolce Gusto官方旗舰店-平台流量-每日好店-汇总</t>
  </si>
  <si>
    <t>咖啡机-Dolce Gusto官方旗舰店-平台流量-手淘推荐-首页推荐-短视频</t>
  </si>
  <si>
    <t>咖啡机-Dolce Gusto官方旗舰店-平台流量-红包省钱卡-汇总</t>
  </si>
  <si>
    <t>咖啡机-Dolce Gusto官方旗舰店-平台流量-手机天猫-手猫天猫好物</t>
  </si>
  <si>
    <t>咖啡机-Dolce Gusto官方旗舰店-平台流量-手机天猫-手猫私房红包</t>
  </si>
  <si>
    <t>咖啡机-Dolce Gusto官方旗舰店-平台流量-手机天猫-手猫天猫快抢购</t>
  </si>
  <si>
    <t>咖啡机-Dolce Gusto官方旗舰店-平台流量-飞猪-飞猪行程</t>
  </si>
  <si>
    <t>咖啡机-Dolce Gusto官方旗舰店-平台流量-飞猪-飞猪发现</t>
  </si>
  <si>
    <t>咖啡机-Dolce Gusto官方旗舰店-平台流量-领券中心-汇总</t>
  </si>
  <si>
    <t>咖啡机-Dolce Gusto官方旗舰店-平台流量-飞猪-飞猪旅游度假频道</t>
  </si>
  <si>
    <t>咖啡机-Dolce Gusto官方旗舰店-平台流量-大促会场-榜单会场-必买榜</t>
  </si>
  <si>
    <t>咖啡机-Dolce Gusto官方旗舰店-平台流量-飞猪-飞猪出境游频道</t>
  </si>
  <si>
    <t>咖啡机-Dolce Gusto官方旗舰店-平台流量-每平每屋频道-汇总</t>
  </si>
  <si>
    <t>咖啡机-Dolce Gusto官方旗舰店-平台流量-飞猪-飞猪周边游频道</t>
  </si>
  <si>
    <t>咖啡机-Dolce Gusto官方旗舰店-平台流量-淘宝吃货-汇总</t>
  </si>
  <si>
    <t>咖啡机-Dolce Gusto官方旗舰店-平台流量-手淘汇吃-汇总</t>
  </si>
  <si>
    <t>咖啡机-Dolce Gusto官方旗舰店-平台流量-飞猪-飞猪酒店频道</t>
  </si>
  <si>
    <t>咖啡机-Dolce Gusto官方旗舰店-平台流量-天猫超级品类日-汇总</t>
  </si>
  <si>
    <t>咖啡机-Dolce Gusto官方旗舰店-平台流量-手淘品质穿搭-汇总</t>
  </si>
  <si>
    <t>咖啡机-Dolce Gusto官方旗舰店-平台流量-飞猪-飞猪消息中心</t>
  </si>
  <si>
    <t>咖啡机-Dolce Gusto官方旗舰店-平台流量-手淘天猫首页-汇总</t>
  </si>
  <si>
    <t>咖啡机-Dolce Gusto官方旗舰店-平台流量-手淘买家秀-汇总</t>
  </si>
  <si>
    <t>咖啡机-Dolce Gusto官方旗舰店-平台流量-手淘找相似-汇总</t>
  </si>
  <si>
    <t>咖啡机-Dolce Gusto官方旗舰店-平台流量-飞猪-飞猪活动营销</t>
  </si>
  <si>
    <t>咖啡机-Dolce Gusto官方旗舰店-平台流量-手淘游戏中心-汇总</t>
  </si>
  <si>
    <t>咖啡机-Dolce Gusto官方旗舰店-平台流量-品牌福利中心-汇总</t>
  </si>
  <si>
    <t>咖啡机-Dolce Gusto官方旗舰店-平台流量-每平每屋-汇总</t>
  </si>
  <si>
    <t>咖啡机-Dolce Gusto官方旗舰店-平台流量-飞猪-飞猪旅行主题</t>
  </si>
  <si>
    <t>咖啡机-Dolce Gusto官方旗舰店-平台流量-手淘摇一摇-汇总</t>
  </si>
  <si>
    <t>咖啡机-Dolce Gusto官方旗舰店-平台流量-飞猪-飞猪直播</t>
  </si>
  <si>
    <t>咖啡机-Dolce Gusto官方旗舰店-平台流量-手淘发表评价-汇总</t>
  </si>
  <si>
    <t>咖啡机-Dolce Gusto官方旗舰店-平台流量-天猫小黑盒-汇总</t>
  </si>
  <si>
    <t>咖啡机-Dolce Gusto官方旗舰店-平台流量-手淘极有家-汇总</t>
  </si>
  <si>
    <t>咖啡机-Dolce Gusto官方旗舰店-平台流量-手淘潮电街-汇总</t>
  </si>
  <si>
    <t>咖啡机-Dolce Gusto官方旗舰店-平台流量-飞猪-飞猪内容其他</t>
  </si>
  <si>
    <t>咖啡机-Dolce Gusto官方旗舰店-平台流量-手淘必买清单-汇总</t>
  </si>
  <si>
    <t>咖啡机-Dolce Gusto官方旗舰店-平台流量-手淘收藏夹-汇总</t>
  </si>
  <si>
    <t>咖啡机-Dolce Gusto官方旗舰店-平台流量-飞猪-飞猪特价</t>
  </si>
  <si>
    <t>咖啡机-Dolce Gusto官方旗舰店-平台流量-飞猪-飞猪福利中心</t>
  </si>
  <si>
    <t>咖啡机-Dolce Gusto官方旗舰店-平台流量-飞猪-飞猪订单</t>
  </si>
  <si>
    <t>咖啡机-Dolce Gusto官方旗舰店-平台流量-飞猪-飞猪会员中心</t>
  </si>
  <si>
    <t>咖啡机-Dolce Gusto官方旗舰店-平台流量-飞猪-飞猪搜索</t>
  </si>
  <si>
    <t>咖啡机-Dolce Gusto官方旗舰店-平台流量-飞猪-飞猪频道</t>
  </si>
  <si>
    <t>咖啡机-Dolce Gusto官方旗舰店-平台流量-飞猪-飞猪首页</t>
  </si>
  <si>
    <t>咖啡机-Dolce Gusto官方旗舰店-平台流量-飞猪-汇总</t>
  </si>
  <si>
    <t>咖啡机-Dolce Gusto官方旗舰店-平台流量-手机天猫-手猫扫码</t>
  </si>
  <si>
    <t>咖啡机-Dolce Gusto官方旗舰店-平台流量-手机天猫-手猫天猫国际</t>
  </si>
  <si>
    <t>咖啡机-Dolce Gusto官方旗舰店-平台流量-手机天猫-手猫消息中心</t>
  </si>
  <si>
    <t>咖啡机-Dolce Gusto官方旗舰店-平台流量-飞猪-飞猪超级新发线</t>
  </si>
  <si>
    <t>咖啡机-Dolce Gusto官方旗舰店-平台流量-红包签到-汇总</t>
  </si>
  <si>
    <t>咖啡机-Dolce Gusto官方旗舰店-平台流量-飞猪-飞猪目的地</t>
  </si>
  <si>
    <t>咖啡机-Dolce Gusto官方旗舰店-平台流量-手机天猫-手猫福利雷达</t>
  </si>
  <si>
    <t>咖啡机-Dolce Gusto官方旗舰店-平台流量-手机天猫-手猫新人频道</t>
  </si>
  <si>
    <t>咖啡机-Dolce Gusto官方旗舰店-平台流量-手机天猫-手猫开屏</t>
  </si>
  <si>
    <t>咖啡机-Dolce Gusto官方旗舰店-平台流量-聚划算会场-汇总</t>
  </si>
  <si>
    <t>咖啡机-Dolce Gusto官方旗舰店-平台流量-淘宝必逛-汇总</t>
  </si>
  <si>
    <t>咖啡机-Dolce Gusto官方旗舰店-平台流量-全民寻宝-汇总</t>
  </si>
  <si>
    <t>咖啡机-Dolce Gusto官方旗舰店-平台流量-手淘红包卡券-汇总</t>
  </si>
  <si>
    <t>咖啡机-Dolce Gusto官方旗舰店-平台流量-有好货短视频-汇总</t>
  </si>
  <si>
    <t>咖啡机-Dolce Gusto官方旗舰店-平台流量-有好货图文-汇总</t>
  </si>
  <si>
    <t>咖啡机-Dolce Gusto官方旗舰店-平台流量-手淘淘抢购-汇总</t>
  </si>
  <si>
    <t>咖啡机-Dolce Gusto官方旗舰店-平台流量-天猫关注-汇总</t>
  </si>
  <si>
    <t>淘特限时秒杀</t>
  </si>
  <si>
    <t>平台流量-淘宝特价版-淘特限时秒杀</t>
  </si>
  <si>
    <t>咖啡机-Dolce Gusto官方旗舰店-平台流量-淘宝特价版-淘特限时秒杀</t>
  </si>
  <si>
    <t>淘宝神店榜</t>
  </si>
  <si>
    <t>平台流量-淘宝神店榜-汇总</t>
  </si>
  <si>
    <t>咖啡机-Dolce Gusto官方旗舰店-平台流量-淘宝神店榜-汇总</t>
  </si>
  <si>
    <t>淘特自主访问</t>
  </si>
  <si>
    <t>平台流量-淘宝特价版-淘特自主访问</t>
  </si>
  <si>
    <t>咖啡机-Dolce Gusto官方旗舰店-平台流量-淘宝特价版-淘特自主访问</t>
  </si>
  <si>
    <t>咖啡机-Dolce Gusto官方旗舰店-平台流量-手淘首页-汇总</t>
  </si>
  <si>
    <t>咖啡机-Dolce Gusto官方旗舰店-平台流量-飞猪-飞猪卡券包</t>
  </si>
  <si>
    <t>咖啡机-Dolce Gusto官方旗舰店-平台流量-手淘房产-汇总</t>
  </si>
  <si>
    <t>咖啡机-Dolce Gusto官方旗舰店-平台流量-阿里拍卖-汇总</t>
  </si>
  <si>
    <t>咖啡机-Dolce Gusto官方旗舰店-平台流量-飞猪-飞猪其他</t>
  </si>
  <si>
    <t>咖啡机-Dolce Gusto官方旗舰店-平台流量-手淘品牌街-汇总</t>
  </si>
  <si>
    <t>咖啡机-Dolce Gusto官方旗舰店-平台流量-手淘推荐-推荐云主题</t>
  </si>
  <si>
    <t>咖啡机-Dolce Gusto官方旗舰店-平台流量-手淘喵鲜生-汇总</t>
  </si>
  <si>
    <t>咖啡机-Dolce Gusto官方旗舰店-平台流量-品牌新享频道-汇总</t>
  </si>
  <si>
    <t>咖啡机-Dolce Gusto官方旗舰店-平台流量-阿里妈妈权益会场-汇总</t>
  </si>
  <si>
    <t>咖啡机-Dolce Gusto官方旗舰店-平台流量-手淘买手圈-汇总</t>
  </si>
  <si>
    <t>咖啡机-Dolce Gusto官方旗舰店-平台流量-手淘会员俱乐部-汇总</t>
  </si>
  <si>
    <t>咖啡机-Dolce Gusto官方旗舰店-平台流量-天猫U先试用-汇总</t>
  </si>
  <si>
    <t>咖啡机-Dolce Gusto官方旗舰店-平台流量-手淘分类导航-汇总</t>
  </si>
  <si>
    <t>咖啡机-Dolce Gusto官方旗舰店-平台流量-手淘社区-汇总</t>
  </si>
  <si>
    <t>咖啡机-Dolce Gusto官方旗舰店-平台流量-手淘有好价-汇总</t>
  </si>
  <si>
    <t>咖啡机-Dolce Gusto官方旗舰店-平台流量-手淘全球购频道-汇总</t>
  </si>
  <si>
    <t>咖啡机-Dolce Gusto官方旗舰店-平台流量-手淘天天特卖-汇总</t>
  </si>
  <si>
    <t>咖啡机-Dolce Gusto官方旗舰店-平台流量-天猫超市-汇总</t>
  </si>
  <si>
    <t>咖啡机-Dolce Gusto官方旗舰店-平台流量-手淘淘金币-汇总</t>
  </si>
  <si>
    <t>咖啡机-Dolce Gusto官方旗舰店-平台流量-盒马-汇总</t>
  </si>
  <si>
    <t>阿里妈妈权益直补</t>
  </si>
  <si>
    <t>平台流量-阿里妈妈权益会场-阿里妈妈权益直补</t>
  </si>
  <si>
    <t>咖啡机-Dolce Gusto官方旗舰店-平台流量-阿里妈妈权益会场-阿里妈妈权益直补</t>
  </si>
  <si>
    <t>咖啡机-Dolce Gusto官方旗舰店-平台流量-手淘每日新品-汇总</t>
  </si>
  <si>
    <t>咖啡机-Dolce Gusto官方旗舰店-平台流量-大麦-汇总</t>
  </si>
  <si>
    <t>咖啡机-Dolce Gusto官方旗舰店-平台流量-手淘天猫国际-汇总</t>
  </si>
  <si>
    <t>咖啡机-Dolce Gusto官方旗舰店-平台流量-淘工厂直营-汇总</t>
  </si>
  <si>
    <t>咖啡机-Dolce Gusto官方旗舰店-平台流量-手淘发现-汇总</t>
  </si>
  <si>
    <t>咖啡机-Dolce Gusto官方旗舰店-平台流量-天猫热点-汇总</t>
  </si>
  <si>
    <t>阿里妈妈超级惊喜站</t>
  </si>
  <si>
    <t>平台流量-阿里妈妈权益会场-阿里妈妈超级惊喜站</t>
  </si>
  <si>
    <t>咖啡机-Dolce Gusto官方旗舰店-平台流量-阿里妈妈权益会场-阿里妈妈超级惊喜站</t>
  </si>
  <si>
    <t>淘特互动游戏</t>
  </si>
  <si>
    <t>平台流量-淘宝特价版-淘特互动游戏</t>
  </si>
  <si>
    <t>咖啡机-Dolce Gusto官方旗舰店-平台流量-淘宝特价版-淘特互动游戏</t>
  </si>
  <si>
    <t>咖啡机-Dolce Gusto官方旗舰店-平台流量-手淘我的足迹-汇总</t>
  </si>
  <si>
    <t>咖啡机-Dolce Gusto官方旗舰店-平台流量-天猫好房-汇总</t>
  </si>
  <si>
    <t>经营计划流量反哺</t>
  </si>
  <si>
    <t>平台流量-阿里妈妈权益会场-经营计划流量反哺</t>
  </si>
  <si>
    <t>咖啡机-Dolce Gusto官方旗舰店-平台流量-阿里妈妈权益会场-经营计划流量反哺</t>
  </si>
  <si>
    <t>咖啡机-Dolce Gusto官方旗舰店-平台流量-淘鲜达-汇总</t>
  </si>
  <si>
    <t>咖啡机-Dolce Gusto官方旗舰店-平台流量-手淘确认订单-汇总</t>
  </si>
  <si>
    <t>咖啡机-Dolce Gusto官方旗舰店-平台流量-分享购物车活动-汇总</t>
  </si>
  <si>
    <t>淘特官方补贴</t>
  </si>
  <si>
    <t>平台流量-淘宝特价版-淘特官方补贴</t>
  </si>
  <si>
    <t>咖啡机-Dolce Gusto官方旗舰店-平台流量-淘宝特价版-淘特官方补贴</t>
  </si>
  <si>
    <t>咖啡机-Dolce Gusto官方旗舰店-广告流量-汇总-汇总</t>
  </si>
  <si>
    <t>咖啡机-Dolce Gusto官方旗舰店-广告流量-效果广告-汇总</t>
  </si>
  <si>
    <t>咖啡机-Dolce Gusto官方旗舰店-广告流量-效果广告-直通车</t>
  </si>
  <si>
    <t>咖啡机-Dolce Gusto官方旗舰店-广告流量-效果广告-引力魔方</t>
  </si>
  <si>
    <t>咖啡机-Dolce Gusto官方旗舰店-广告流量-效果广告-万相台</t>
  </si>
  <si>
    <t>咖啡机-Dolce Gusto官方旗舰店-广告流量-品牌广告-汇总</t>
  </si>
  <si>
    <t>咖啡机-Dolce Gusto官方旗舰店-广告流量-品牌广告-品销宝- 品牌专区</t>
  </si>
  <si>
    <t>咖啡机-Dolce Gusto官方旗舰店-广告流量-站外广告-汇总</t>
  </si>
  <si>
    <t>咖啡机-Dolce Gusto官方旗舰店-广告流量-站外广告-淘宝客</t>
  </si>
  <si>
    <t>咖啡机-Dolce Gusto官方旗舰店-广告流量-内容广告-汇总</t>
  </si>
  <si>
    <t>咖啡机-Dolce Gusto官方旗舰店-广告流量-内容广告-超级直播</t>
  </si>
  <si>
    <t>咖啡机-Dolce Gusto官方旗舰店-广告流量-站外广告-流量宝</t>
  </si>
  <si>
    <t>咖啡机-Dolce Gusto官方旗舰店-广告流量-站外广告-UD效果投放</t>
  </si>
  <si>
    <t>咖啡机-Dolce Gusto官方旗舰店-广告流量-品牌广告-品销宝- 明星店铺</t>
  </si>
  <si>
    <t>品牌定制</t>
  </si>
  <si>
    <t>广告流量-品牌广告-品牌定制</t>
  </si>
  <si>
    <t>咖啡机-Dolce Gusto官方旗舰店-广告流量-品牌广告-品牌定制</t>
  </si>
  <si>
    <t>广告流量-内容广告-短直联动</t>
  </si>
  <si>
    <t>咖啡机-Dolce Gusto官方旗舰店-广告流量-内容广告-短直联动</t>
  </si>
  <si>
    <t>广告流量-品牌广告-品牌特秀</t>
  </si>
  <si>
    <t>咖啡机-Dolce Gusto官方旗舰店-广告流量-品牌广告-品牌特秀</t>
  </si>
  <si>
    <t>咖啡机-Dolce Gusto官方旗舰店-广告流量-内容广告-超级短视频</t>
  </si>
  <si>
    <t>Showmax</t>
  </si>
  <si>
    <t>广告流量-品牌广告-Showmax</t>
  </si>
  <si>
    <t>咖啡机-Dolce Gusto官方旗舰店-广告流量-品牌广告-Showmax</t>
  </si>
  <si>
    <t>咖啡机-Dolce Gusto官方旗舰店-广告流量-站外广告-UD品牌投放</t>
  </si>
  <si>
    <t>超级全域通</t>
  </si>
  <si>
    <t>广告流量-品牌广告-超级全域通</t>
  </si>
  <si>
    <t>咖啡机-Dolce Gusto官方旗舰店-广告流量-品牌广告-超级全域通</t>
  </si>
  <si>
    <t>咖啡机-Nespresso-平台流量-汇总-汇总</t>
  </si>
  <si>
    <t>咖啡机-Nespresso-平台流量-手淘搜索-汇总</t>
  </si>
  <si>
    <t>咖啡机-Nespresso-平台流量-手淘搜索-手淘搜索-商品及其他</t>
  </si>
  <si>
    <t>咖啡机-Nespresso-平台流量-手淘淘宝直播-汇总</t>
  </si>
  <si>
    <t>咖啡机-Nespresso-平台流量-淘内待分类-汇总</t>
  </si>
  <si>
    <t>咖啡机-Nespresso-平台流量-我的淘宝-汇总</t>
  </si>
  <si>
    <t>咖啡机-Nespresso-平台流量-购物车-汇总</t>
  </si>
  <si>
    <t>咖啡机-Nespresso-平台流量-手淘推荐-汇总</t>
  </si>
  <si>
    <t>咖啡机-Nespresso-平台流量-手淘拍立淘-汇总</t>
  </si>
  <si>
    <t>咖啡机-Nespresso-平台流量-手淘推荐-首页推荐-微详情</t>
  </si>
  <si>
    <t>咖啡机-Nespresso-平台流量-手淘旺信-汇总</t>
  </si>
  <si>
    <t>咖啡机-Nespresso-平台流量-天猫榜单-汇总</t>
  </si>
  <si>
    <t>咖啡机-Nespresso-平台流量-手淘推荐-其他猜你喜欢</t>
  </si>
  <si>
    <t>咖啡机-Nespresso-平台流量-日常营销活动-汇总</t>
  </si>
  <si>
    <t>咖啡机-Nespresso-平台流量-逛逛-汇总</t>
  </si>
  <si>
    <t>咖啡机-Nespresso-平台流量-直接访问-汇总</t>
  </si>
  <si>
    <t>咖啡机-Nespresso-平台流量-天猫榜单-其他入口榜单</t>
  </si>
  <si>
    <t>咖啡机-Nespresso-平台流量-手淘其他店铺-汇总</t>
  </si>
  <si>
    <t>咖啡机-Nespresso-平台流量-手淘其他店铺-商品详情页头图推荐</t>
  </si>
  <si>
    <t>咖啡机-Nespresso-平台流量-一淘-汇总</t>
  </si>
  <si>
    <t>咖啡机-Nespresso-平台流量-手淘推荐-首页推荐-直播</t>
  </si>
  <si>
    <t>咖啡机-Nespresso-平台流量-淘口令分享-汇总</t>
  </si>
  <si>
    <t>咖啡机-Nespresso-平台流量-芭芭农场-汇总</t>
  </si>
  <si>
    <t>咖啡机-Nespresso-平台流量-手机天猫-汇总</t>
  </si>
  <si>
    <t>咖啡机-Nespresso-平台流量-天猫榜单-搜索入口榜单</t>
  </si>
  <si>
    <t>咖啡机-Nespresso-平台流量-天猫榜单-商品详情页入口榜单</t>
  </si>
  <si>
    <t>咖啡机-Nespresso-平台流量-大促会场-汇总</t>
  </si>
  <si>
    <t>咖啡机-Nespresso-平台流量-短视频全屏页上下滑-汇总</t>
  </si>
  <si>
    <t>咖啡机-Nespresso-平台流量-淘外网站-汇总</t>
  </si>
  <si>
    <t>咖啡机-Nespresso-平台流量-手淘消息中心-汇总</t>
  </si>
  <si>
    <t>咖啡机-Nespresso-平台流量-手机天猫-手猫搜索</t>
  </si>
  <si>
    <t>咖啡机-Nespresso-平台流量-大促会场-主会场</t>
  </si>
  <si>
    <t>咖啡机-Nespresso-平台流量-手淘搜索-手淘搜索-直播</t>
  </si>
  <si>
    <t>咖啡机-Nespresso-平台流量-淘宝好价-汇总</t>
  </si>
  <si>
    <t>咖啡机-Nespresso-平台流量-关注-汇总</t>
  </si>
  <si>
    <t>咖啡机-Nespresso-平台流量-手淘推荐-购后推荐</t>
  </si>
  <si>
    <t>咖啡机-Nespresso-平台流量-手淘问大家-汇总</t>
  </si>
  <si>
    <t>咖啡机-Nespresso-平台流量-手淘其他店铺-店铺超链</t>
  </si>
  <si>
    <t>咖啡机-Nespresso-平台流量-大促会场-榜单会场</t>
  </si>
  <si>
    <t>咖啡机-Nespresso-平台流量-闲鱼-汇总</t>
  </si>
  <si>
    <t>咖啡机-Nespresso-平台流量-手机天猫-手猫首页</t>
  </si>
  <si>
    <t>咖啡机-Nespresso-平台流量-手机天猫-手机浏览器访问天猫</t>
  </si>
  <si>
    <t>咖啡机-Nespresso-平台流量-手机天猫-手猫其他店铺</t>
  </si>
  <si>
    <t>咖啡机-Nespresso-平台流量-手机天猫-手猫免费其他</t>
  </si>
  <si>
    <t>咖啡机-Nespresso-平台流量-手机浏览器访问淘宝-汇总</t>
  </si>
  <si>
    <t>咖啡机-Nespresso-平台流量-裂变券引流-汇总</t>
  </si>
  <si>
    <t>咖啡机-Nespresso-平台流量-聚划算会场-汇总</t>
  </si>
  <si>
    <t>咖啡机-Nespresso-平台流量-阿里妈妈权益会场-汇总</t>
  </si>
  <si>
    <t>咖啡机-Nespresso-平台流量-阿里妈妈权益会场-阿里妈妈超级惊喜站</t>
  </si>
  <si>
    <t>咖啡机-Nespresso-平台流量-手淘搜索-手淘搜索-短视频</t>
  </si>
  <si>
    <t>咖啡机-Nespresso-平台流量-手机天猫-手猫商品详情</t>
  </si>
  <si>
    <t>咖啡机-Nespresso-平台流量-手淘推荐-购中推荐</t>
  </si>
  <si>
    <t>咖啡机-Nespresso-平台流量-手淘我的评价-汇总</t>
  </si>
  <si>
    <t>咖啡机-Nespresso-平台流量-淘宝特价版-汇总</t>
  </si>
  <si>
    <t>咖啡机-Nespresso-平台流量-88VIP频道-汇总</t>
  </si>
  <si>
    <t>咖啡机-Nespresso-平台流量-淘宝特价版-淘特搜索</t>
  </si>
  <si>
    <t>咖啡机-Nespresso-平台流量-天猫关注-汇总</t>
  </si>
  <si>
    <t>咖啡机-Nespresso-平台流量-手机天猫-手猫旺信聊天</t>
  </si>
  <si>
    <t>咖啡机-Nespresso-平台流量-红包省钱卡-汇总</t>
  </si>
  <si>
    <t>咖啡机-Nespresso-平台流量-手淘淘金币-汇总</t>
  </si>
  <si>
    <t>咖啡机-Nespresso-平台流量-手淘充值-汇总</t>
  </si>
  <si>
    <t>咖啡机-Nespresso-平台流量-大促会场-热点会场</t>
  </si>
  <si>
    <t>咖啡机-Nespresso-平台流量-淘宝跨境站点-汇总</t>
  </si>
  <si>
    <t>咖啡机-Nespresso-平台流量-手淘推荐-首页推荐-短视频</t>
  </si>
  <si>
    <t>咖啡机-Nespresso-平台流量-百亿补贴-汇总</t>
  </si>
  <si>
    <t>咖啡机-Nespresso-平台流量-电视淘宝-汇总</t>
  </si>
  <si>
    <t>咖啡机-Nespresso-平台流量-淘宝特价版-淘特其他渠道</t>
  </si>
  <si>
    <t>咖啡机-Nespresso-平台流量-淘宝特价版-淘特推荐</t>
  </si>
  <si>
    <t>咖啡机-Nespresso-平台流量-手机天猫-手猫消息中心</t>
  </si>
  <si>
    <t>咖啡机-Nespresso-平台流量-每日好店-汇总</t>
  </si>
  <si>
    <t>咖啡机-Nespresso-平台流量-手淘有好货-汇总</t>
  </si>
  <si>
    <t>咖啡机-Nespresso-平台流量-天猫U先试用-汇总</t>
  </si>
  <si>
    <t>咖啡机-Nespresso-平台流量-淘宝特价版-淘特自主访问</t>
  </si>
  <si>
    <t>咖啡机-Nespresso-平台流量-手淘有好价-汇总</t>
  </si>
  <si>
    <t>咖啡机-Nespresso-平台流量-天猫小黑盒-汇总</t>
  </si>
  <si>
    <t>咖啡机-Nespresso-平台流量-阿里妈妈权益会场-经营计划流量反哺</t>
  </si>
  <si>
    <t>咖啡机-Nespresso-平台流量-飞猪-飞猪其他</t>
  </si>
  <si>
    <t>咖啡机-Nespresso-平台流量-飞猪-汇总</t>
  </si>
  <si>
    <t>咖啡机-Nespresso-平台流量-淘宝吃货-汇总</t>
  </si>
  <si>
    <t>咖啡机-Nespresso-平台流量-手淘收藏夹-汇总</t>
  </si>
  <si>
    <t>咖啡机-Nespresso-平台流量-手淘首页-汇总</t>
  </si>
  <si>
    <t>咖啡机-Nespresso-平台流量-手淘淘抢购-汇总</t>
  </si>
  <si>
    <t>咖啡机-Nespresso-平台流量-有好货图文-汇总</t>
  </si>
  <si>
    <t>咖啡机-Nespresso-平台流量-手淘红包卡券-汇总</t>
  </si>
  <si>
    <t>咖啡机-Nespresso-平台流量-有好货短视频-汇总</t>
  </si>
  <si>
    <t>咖啡机-Nespresso-平台流量-全民寻宝-汇总</t>
  </si>
  <si>
    <t>咖啡机-Nespresso-平台流量-淘宝必逛-汇总</t>
  </si>
  <si>
    <t>咖啡机-Nespresso-平台流量-手淘确认订单-汇总</t>
  </si>
  <si>
    <t>咖啡机-Nespresso-平台流量-分享购物车活动-汇总</t>
  </si>
  <si>
    <t>咖啡机-Nespresso-平台流量-淘鲜达-汇总</t>
  </si>
  <si>
    <t>咖啡机-Nespresso-平台流量-手淘我的足迹-汇总</t>
  </si>
  <si>
    <t>咖啡机-Nespresso-平台流量-天猫好房-汇总</t>
  </si>
  <si>
    <t>咖啡机-Nespresso-平台流量-手淘发现-汇总</t>
  </si>
  <si>
    <t>咖啡机-Nespresso-平台流量-天猫热点-汇总</t>
  </si>
  <si>
    <t>咖啡机-Nespresso-平台流量-手淘天猫国际-汇总</t>
  </si>
  <si>
    <t>咖啡机-Nespresso-平台流量-淘工厂直营-汇总</t>
  </si>
  <si>
    <t>咖啡机-Nespresso-平台流量-手淘每日新品-汇总</t>
  </si>
  <si>
    <t>咖啡机-Nespresso-平台流量-大麦-汇总</t>
  </si>
  <si>
    <t>咖啡机-Nespresso-平台流量-盒马-汇总</t>
  </si>
  <si>
    <t>咖啡机-Nespresso-平台流量-手淘天天特卖-汇总</t>
  </si>
  <si>
    <t>咖啡机-Nespresso-平台流量-天猫超市-汇总</t>
  </si>
  <si>
    <t>咖啡机-Nespresso-平台流量-手淘全球购频道-汇总</t>
  </si>
  <si>
    <t>咖啡机-Nespresso-平台流量-手淘社区-汇总</t>
  </si>
  <si>
    <t>咖啡机-Nespresso-平台流量-手淘分类导航-汇总</t>
  </si>
  <si>
    <t>咖啡机-Nespresso-平台流量-手淘会员俱乐部-汇总</t>
  </si>
  <si>
    <t>咖啡机-Nespresso-平台流量-手淘买手圈-汇总</t>
  </si>
  <si>
    <t>咖啡机-Nespresso-平台流量-手淘扫一扫-汇总</t>
  </si>
  <si>
    <t>咖啡机-Nespresso-平台流量-品牌新享频道-汇总</t>
  </si>
  <si>
    <t>咖啡机-Nespresso-平台流量-手淘喵鲜生-汇总</t>
  </si>
  <si>
    <t>咖啡机-Nespresso-平台流量-手淘品牌街-汇总</t>
  </si>
  <si>
    <t>咖啡机-Nespresso-平台流量-手淘推荐-推荐云主题</t>
  </si>
  <si>
    <t>咖啡机-Nespresso-平台流量-阿里拍卖-汇总</t>
  </si>
  <si>
    <t>咖啡机-Nespresso-平台流量-手淘房产-汇总</t>
  </si>
  <si>
    <t>咖啡机-Nespresso-平台流量-手淘必买清单-汇总</t>
  </si>
  <si>
    <t>咖啡机-Nespresso-平台流量-手淘潮电街-汇总</t>
  </si>
  <si>
    <t>咖啡机-Nespresso-平台流量-手淘极有家-汇总</t>
  </si>
  <si>
    <t>咖啡机-Nespresso-平台流量-手淘发表评价-汇总</t>
  </si>
  <si>
    <t>咖啡机-Nespresso-平台流量-每平每屋-汇总</t>
  </si>
  <si>
    <t>咖啡机-Nespresso-平台流量-手淘游戏中心-汇总</t>
  </si>
  <si>
    <t>咖啡机-Nespresso-平台流量-品牌福利中心-汇总</t>
  </si>
  <si>
    <t>咖啡机-Nespresso-平台流量-手淘找相似-汇总</t>
  </si>
  <si>
    <t>咖啡机-Nespresso-平台流量-手淘天猫首页-汇总</t>
  </si>
  <si>
    <t>咖啡机-Nespresso-平台流量-手淘品质穿搭-汇总</t>
  </si>
  <si>
    <t>咖啡机-Nespresso-平台流量-手淘汇吃-汇总</t>
  </si>
  <si>
    <t>咖啡机-Nespresso-平台流量-大促会场-榜单会场-必买榜</t>
  </si>
  <si>
    <t>咖啡机-Nespresso-平台流量-手机天猫-手猫天猫快抢购</t>
  </si>
  <si>
    <t>咖啡机-Nespresso-平台流量-手机天猫-手猫私房红包</t>
  </si>
  <si>
    <t>咖啡机-Nespresso-平台流量-手机天猫-手猫天猫好物</t>
  </si>
  <si>
    <t>咖啡机-Nespresso-平台流量-手机天猫-手猫开屏</t>
  </si>
  <si>
    <t>咖啡机-Nespresso-平台流量-手机天猫-手猫新人频道</t>
  </si>
  <si>
    <t>咖啡机-Nespresso-平台流量-手机天猫-手猫福利雷达</t>
  </si>
  <si>
    <t>咖啡机-Nespresso-平台流量-手机天猫-手猫天猫国际</t>
  </si>
  <si>
    <t>咖啡机-Nespresso-平台流量-手机天猫-手猫扫码</t>
  </si>
  <si>
    <t>咖啡机-Nespresso-平台流量-飞猪-飞猪首页</t>
  </si>
  <si>
    <t>咖啡机-Nespresso-平台流量-飞猪-飞猪频道</t>
  </si>
  <si>
    <t>咖啡机-Nespresso-平台流量-飞猪-飞猪搜索</t>
  </si>
  <si>
    <t>咖啡机-Nespresso-平台流量-飞猪-飞猪订单</t>
  </si>
  <si>
    <t>咖啡机-Nespresso-平台流量-飞猪-飞猪特价</t>
  </si>
  <si>
    <t>咖啡机-Nespresso-平台流量-飞猪-飞猪福利中心</t>
  </si>
  <si>
    <t>咖啡机-Nespresso-平台流量-飞猪-飞猪会员中心</t>
  </si>
  <si>
    <t>咖啡机-Nespresso-平台流量-飞猪-飞猪超级新发线</t>
  </si>
  <si>
    <t>咖啡机-Nespresso-平台流量-红包签到-汇总</t>
  </si>
  <si>
    <t>咖啡机-Nespresso-平台流量-飞猪-飞猪目的地</t>
  </si>
  <si>
    <t>咖啡机-Nespresso-平台流量-飞猪-飞猪行程</t>
  </si>
  <si>
    <t>咖啡机-Nespresso-平台流量-飞猪-飞猪发现</t>
  </si>
  <si>
    <t>咖啡机-Nespresso-平台流量-领券中心-汇总</t>
  </si>
  <si>
    <t>咖啡机-Nespresso-平台流量-飞猪-飞猪旅游度假频道</t>
  </si>
  <si>
    <t>咖啡机-Nespresso-平台流量-飞猪-飞猪出境游频道</t>
  </si>
  <si>
    <t>咖啡机-Nespresso-平台流量-每平每屋频道-汇总</t>
  </si>
  <si>
    <t>咖啡机-Nespresso-平台流量-飞猪-飞猪周边游频道</t>
  </si>
  <si>
    <t>咖啡机-Nespresso-平台流量-飞猪-飞猪酒店频道</t>
  </si>
  <si>
    <t>咖啡机-Nespresso-平台流量-天猫超级品类日-汇总</t>
  </si>
  <si>
    <t>咖啡机-Nespresso-平台流量-飞猪-飞猪消息中心</t>
  </si>
  <si>
    <t>咖啡机-Nespresso-平台流量-手淘买家秀-汇总</t>
  </si>
  <si>
    <t>咖啡机-Nespresso-平台流量-飞猪-飞猪活动营销</t>
  </si>
  <si>
    <t>咖啡机-Nespresso-平台流量-手淘摇一摇-汇总</t>
  </si>
  <si>
    <t>咖啡机-Nespresso-平台流量-飞猪-飞猪旅行主题</t>
  </si>
  <si>
    <t>咖啡机-Nespresso-平台流量-飞猪-飞猪直播</t>
  </si>
  <si>
    <t>咖啡机-Nespresso-平台流量-飞猪-飞猪内容其他</t>
  </si>
  <si>
    <t>咖啡机-Nespresso-平台流量-阿里妈妈权益会场-阿里妈妈权益直补</t>
  </si>
  <si>
    <t>咖啡机-Nespresso-平台流量-淘宝特价版-淘特互动游戏</t>
  </si>
  <si>
    <t>咖啡机-Nespresso-平台流量-淘宝特价版-淘特官方补贴</t>
  </si>
  <si>
    <t>咖啡机-Nespresso-平台流量-淘宝特价版-淘特限时秒杀</t>
  </si>
  <si>
    <t>咖啡机-Nespresso-平台流量-淘宝神店榜-汇总</t>
  </si>
  <si>
    <t>咖啡机-Nespresso-平台流量-飞猪-飞猪卡券包</t>
  </si>
  <si>
    <t>咖啡机-Nespresso-广告流量-汇总-汇总</t>
  </si>
  <si>
    <t>咖啡机-Nespresso-广告流量-效果广告-汇总</t>
  </si>
  <si>
    <t>咖啡机-Nespresso-广告流量-效果广告-引力魔方</t>
  </si>
  <si>
    <t>咖啡机-Nespresso-广告流量-效果广告-万相台</t>
  </si>
  <si>
    <t>咖啡机-Nespresso-广告流量-效果广告-直通车</t>
  </si>
  <si>
    <t>咖啡机-Nespresso-广告流量-站外广告-汇总</t>
  </si>
  <si>
    <t>咖啡机-Nespresso-广告流量-内容广告-汇总</t>
  </si>
  <si>
    <t>咖啡机-Nespresso-广告流量-内容广告-超级短视频</t>
  </si>
  <si>
    <t>咖啡机-Nespresso-广告流量-品牌广告-汇总</t>
  </si>
  <si>
    <t>咖啡机-Nespresso-广告流量-站外广告-淘宝客</t>
  </si>
  <si>
    <t>咖啡机-Nespresso-广告流量-站外广告-UD效果投放</t>
  </si>
  <si>
    <t>咖啡机-Nespresso-广告流量-品牌广告-品销宝- 品牌专区</t>
  </si>
  <si>
    <t>咖啡机-Nespresso-广告流量-品牌广告-品牌特秀</t>
  </si>
  <si>
    <t>咖啡机-Nespresso-广告流量-品牌广告-超级全域通</t>
  </si>
  <si>
    <t>咖啡机-Nespresso-广告流量-品牌广告-品销宝- 明星店铺</t>
  </si>
  <si>
    <t>咖啡机-Nespresso-广告流量-内容广告-超级直播</t>
  </si>
  <si>
    <t>咖啡机-Nespresso-广告流量-站外广告-流量宝</t>
  </si>
  <si>
    <t>咖啡机-Nespresso-广告流量-品牌广告-品牌定制</t>
  </si>
  <si>
    <t>咖啡机-Nespresso-广告流量-品牌广告-Showmax</t>
  </si>
  <si>
    <t>咖啡机-Nespresso-广告流量-内容广告-短直联动</t>
  </si>
  <si>
    <t>咖啡机-Nespresso-广告流量-站外广告-UD品牌投放</t>
  </si>
  <si>
    <t>咖啡机-barsetto电器旗舰店-平台流量-汇总-汇总</t>
  </si>
  <si>
    <t>咖啡机-barsetto电器旗舰店-平台流量-手淘搜索-汇总</t>
  </si>
  <si>
    <t>咖啡机-barsetto电器旗舰店-平台流量-手淘搜索-手淘搜索-商品及其他</t>
  </si>
  <si>
    <t>咖啡机-barsetto电器旗舰店-平台流量-手淘淘宝直播-汇总</t>
  </si>
  <si>
    <t>咖啡机-barsetto电器旗舰店-平台流量-手淘推荐-汇总</t>
  </si>
  <si>
    <t>咖啡机-barsetto电器旗舰店-平台流量-手淘推荐-首页推荐-微详情</t>
  </si>
  <si>
    <t>咖啡机-barsetto电器旗舰店-平台流量-购物车-汇总</t>
  </si>
  <si>
    <t>咖啡机-barsetto电器旗舰店-平台流量-我的淘宝-汇总</t>
  </si>
  <si>
    <t>咖啡机-barsetto电器旗舰店-平台流量-手淘淘金币-汇总</t>
  </si>
  <si>
    <t>咖啡机-barsetto电器旗舰店-平台流量-短视频全屏页上下滑-汇总</t>
  </si>
  <si>
    <t>咖啡机-barsetto电器旗舰店-平台流量-天猫榜单-汇总</t>
  </si>
  <si>
    <t>咖啡机-barsetto电器旗舰店-平台流量-手淘旺信-汇总</t>
  </si>
  <si>
    <t>咖啡机-barsetto电器旗舰店-平台流量-淘内待分类-汇总</t>
  </si>
  <si>
    <t>咖啡机-barsetto电器旗舰店-平台流量-手淘拍立淘-汇总</t>
  </si>
  <si>
    <t>咖啡机-barsetto电器旗舰店-平台流量-手淘推荐-其他猜你喜欢</t>
  </si>
  <si>
    <t>咖啡机-barsetto电器旗舰店-平台流量-天猫榜单-搜索入口榜单</t>
  </si>
  <si>
    <t>咖啡机-barsetto电器旗舰店-平台流量-手淘其他店铺-汇总</t>
  </si>
  <si>
    <t>咖啡机-barsetto电器旗舰店-平台流量-日常营销活动-汇总</t>
  </si>
  <si>
    <t>咖啡机-barsetto电器旗舰店-平台流量-手淘其他店铺-商品详情页头图推荐</t>
  </si>
  <si>
    <t>咖啡机-barsetto电器旗舰店-平台流量-天猫榜单-其他入口榜单</t>
  </si>
  <si>
    <t>咖啡机-barsetto电器旗舰店-平台流量-大促会场-汇总</t>
  </si>
  <si>
    <t>咖啡机-barsetto电器旗舰店-平台流量-天猫榜单-商品详情页入口榜单</t>
  </si>
  <si>
    <t>咖啡机-barsetto电器旗舰店-平台流量-大促会场-榜单会场</t>
  </si>
  <si>
    <t>咖啡机-barsetto电器旗舰店-平台流量-淘口令分享-汇总</t>
  </si>
  <si>
    <t>咖啡机-barsetto电器旗舰店-平台流量-手淘消息中心-汇总</t>
  </si>
  <si>
    <t>咖啡机-barsetto电器旗舰店-平台流量-手机天猫-汇总</t>
  </si>
  <si>
    <t>咖啡机-barsetto电器旗舰店-平台流量-一淘-汇总</t>
  </si>
  <si>
    <t>咖啡机-barsetto电器旗舰店-平台流量-淘外网站-汇总</t>
  </si>
  <si>
    <t>咖啡机-barsetto电器旗舰店-平台流量-大促会场-主会场</t>
  </si>
  <si>
    <t>咖啡机-barsetto电器旗舰店-平台流量-手机天猫-手猫搜索</t>
  </si>
  <si>
    <t>咖啡机-barsetto电器旗舰店-平台流量-手淘问大家-汇总</t>
  </si>
  <si>
    <t>咖啡机-barsetto电器旗舰店-平台流量-芭芭农场-汇总</t>
  </si>
  <si>
    <t>咖啡机-barsetto电器旗舰店-平台流量-逛逛-汇总</t>
  </si>
  <si>
    <t>咖啡机-barsetto电器旗舰店-平台流量-直接访问-汇总</t>
  </si>
  <si>
    <t>咖啡机-barsetto电器旗舰店-平台流量-手淘推荐-购后推荐</t>
  </si>
  <si>
    <t>咖啡机-barsetto电器旗舰店-平台流量-淘宝好价-汇总</t>
  </si>
  <si>
    <t>咖啡机-barsetto电器旗舰店-平台流量-手淘其他店铺-店铺超链</t>
  </si>
  <si>
    <t>咖啡机-barsetto电器旗舰店-平台流量-手机天猫-手猫首页</t>
  </si>
  <si>
    <t>咖啡机-barsetto电器旗舰店-平台流量-手淘推荐-首页推荐-直播</t>
  </si>
  <si>
    <t>咖啡机-barsetto电器旗舰店-平台流量-闲鱼-汇总</t>
  </si>
  <si>
    <t>咖啡机-barsetto电器旗舰店-平台流量-手淘搜索-手淘搜索-短视频</t>
  </si>
  <si>
    <t>咖啡机-barsetto电器旗舰店-平台流量-关注-汇总</t>
  </si>
  <si>
    <t>咖啡机-barsetto电器旗舰店-平台流量-手机浏览器访问淘宝-汇总</t>
  </si>
  <si>
    <t>咖啡机-barsetto电器旗舰店-平台流量-手机天猫-手猫免费其他</t>
  </si>
  <si>
    <t>咖啡机-barsetto电器旗舰店-平台流量-手淘我的评价-汇总</t>
  </si>
  <si>
    <t>咖啡机-barsetto电器旗舰店-平台流量-手机天猫-手猫商品详情</t>
  </si>
  <si>
    <t>咖啡机-barsetto电器旗舰店-平台流量-手淘推荐-首页推荐-短视频</t>
  </si>
  <si>
    <t>咖啡机-barsetto电器旗舰店-平台流量-手机天猫-手猫其他店铺</t>
  </si>
  <si>
    <t>咖啡机-barsetto电器旗舰店-平台流量-88VIP频道-汇总</t>
  </si>
  <si>
    <t>咖啡机-barsetto电器旗舰店-平台流量-手淘推荐-购中推荐</t>
  </si>
  <si>
    <t>咖啡机-barsetto电器旗舰店-平台流量-手机天猫-手猫旺信聊天</t>
  </si>
  <si>
    <t>咖啡机-barsetto电器旗舰店-平台流量-手机天猫-手机浏览器访问天猫</t>
  </si>
  <si>
    <t>咖啡机-barsetto电器旗舰店-平台流量-淘宝特价版-汇总</t>
  </si>
  <si>
    <t>咖啡机-barsetto电器旗舰店-平台流量-淘宝特价版-淘特搜索</t>
  </si>
  <si>
    <t>咖啡机-barsetto电器旗舰店-平台流量-红包省钱卡-汇总</t>
  </si>
  <si>
    <t>咖啡机-barsetto电器旗舰店-平台流量-天猫小黑盒-汇总</t>
  </si>
  <si>
    <t>咖啡机-barsetto电器旗舰店-平台流量-手机天猫-手猫消息中心</t>
  </si>
  <si>
    <t>咖啡机-barsetto电器旗舰店-平台流量-电视淘宝-汇总</t>
  </si>
  <si>
    <t>咖啡机-barsetto电器旗舰店-平台流量-淘宝跨境站点-汇总</t>
  </si>
  <si>
    <t>咖啡机-barsetto电器旗舰店-平台流量-手淘充值-汇总</t>
  </si>
  <si>
    <t>咖啡机-barsetto电器旗舰店-平台流量-手淘搜索-手淘搜索-直播</t>
  </si>
  <si>
    <t>咖啡机-barsetto电器旗舰店-平台流量-手淘推荐-推荐云主题</t>
  </si>
  <si>
    <t>咖啡机-barsetto电器旗舰店-平台流量-淘宝特价版-淘特自主访问</t>
  </si>
  <si>
    <t>咖啡机-barsetto电器旗舰店-平台流量-每日好店-汇总</t>
  </si>
  <si>
    <t>咖啡机-barsetto电器旗舰店-平台流量-百亿补贴-汇总</t>
  </si>
  <si>
    <t>咖啡机-barsetto电器旗舰店-平台流量-手淘发表评价-汇总</t>
  </si>
  <si>
    <t>咖啡机-barsetto电器旗舰店-平台流量-天猫关注-汇总</t>
  </si>
  <si>
    <t>咖啡机-barsetto电器旗舰店-平台流量-天猫U先试用-汇总</t>
  </si>
  <si>
    <t>咖啡机-barsetto电器旗舰店-平台流量-手机天猫-手猫扫码</t>
  </si>
  <si>
    <t>咖啡机-barsetto电器旗舰店-平台流量-淘宝特价版-淘特其他渠道</t>
  </si>
  <si>
    <t>咖啡机-barsetto电器旗舰店-平台流量-淘宝特价版-淘特推荐</t>
  </si>
  <si>
    <t>咖啡机-barsetto电器旗舰店-平台流量-阿里妈妈权益会场-阿里妈妈超级惊喜站</t>
  </si>
  <si>
    <t>咖啡机-barsetto电器旗舰店-平台流量-红包签到-汇总</t>
  </si>
  <si>
    <t>咖啡机-barsetto电器旗舰店-平台流量-聚划算会场-汇总</t>
  </si>
  <si>
    <t>咖啡机-barsetto电器旗舰店-平台流量-领券中心-汇总</t>
  </si>
  <si>
    <t>咖啡机-barsetto电器旗舰店-平台流量-每平每屋频道-汇总</t>
  </si>
  <si>
    <t>咖啡机-barsetto电器旗舰店-平台流量-淘宝吃货-汇总</t>
  </si>
  <si>
    <t>咖啡机-barsetto电器旗舰店-平台流量-天猫超级品类日-汇总</t>
  </si>
  <si>
    <t>咖啡机-barsetto电器旗舰店-平台流量-手淘买家秀-汇总</t>
  </si>
  <si>
    <t>咖啡机-barsetto电器旗舰店-平台流量-手淘摇一摇-汇总</t>
  </si>
  <si>
    <t>咖啡机-barsetto电器旗舰店-平台流量-裂变券引流-汇总</t>
  </si>
  <si>
    <t>咖啡机-barsetto电器旗舰店-平台流量-淘宝特价版-淘特互动游戏</t>
  </si>
  <si>
    <t>咖啡机-barsetto电器旗舰店-平台流量-淘宝特价版-淘特官方补贴</t>
  </si>
  <si>
    <t>咖啡机-barsetto电器旗舰店-平台流量-淘宝特价版-淘特限时秒杀</t>
  </si>
  <si>
    <t>咖啡机-barsetto电器旗舰店-平台流量-品牌福利中心-汇总</t>
  </si>
  <si>
    <t>咖啡机-barsetto电器旗舰店-平台流量-每平每屋-汇总</t>
  </si>
  <si>
    <t>咖啡机-barsetto电器旗舰店-平台流量-品牌新享频道-汇总</t>
  </si>
  <si>
    <t>咖啡机-barsetto电器旗舰店-平台流量-手淘分类导航-汇总</t>
  </si>
  <si>
    <t>咖啡机-barsetto电器旗舰店-平台流量-手淘有好价-汇总</t>
  </si>
  <si>
    <t>咖啡机-barsetto电器旗舰店-平台流量-天猫超市-汇总</t>
  </si>
  <si>
    <t>咖啡机-barsetto电器旗舰店-平台流量-盒马-汇总</t>
  </si>
  <si>
    <t>咖啡机-barsetto电器旗舰店-平台流量-大麦-汇总</t>
  </si>
  <si>
    <t>咖啡机-barsetto电器旗舰店-平台流量-淘工厂直营-汇总</t>
  </si>
  <si>
    <t>咖啡机-barsetto电器旗舰店-平台流量-天猫热点-汇总</t>
  </si>
  <si>
    <t>咖啡机-barsetto电器旗舰店-平台流量-天猫好房-汇总</t>
  </si>
  <si>
    <t>咖啡机-barsetto电器旗舰店-平台流量-淘鲜达-汇总</t>
  </si>
  <si>
    <t>咖啡机-barsetto电器旗舰店-平台流量-分享购物车活动-汇总</t>
  </si>
  <si>
    <t>咖啡机-barsetto电器旗舰店-平台流量-淘宝必逛-汇总</t>
  </si>
  <si>
    <t>咖啡机-barsetto电器旗舰店-平台流量-全民寻宝-汇总</t>
  </si>
  <si>
    <t>咖啡机-barsetto电器旗舰店-平台流量-有好货短视频-汇总</t>
  </si>
  <si>
    <t>咖啡机-barsetto电器旗舰店-平台流量-有好货图文-汇总</t>
  </si>
  <si>
    <t>咖啡机-barsetto电器旗舰店-平台流量-手淘首页-汇总</t>
  </si>
  <si>
    <t>咖啡机-barsetto电器旗舰店-平台流量-手淘收藏夹-汇总</t>
  </si>
  <si>
    <t>咖啡机-barsetto电器旗舰店-平台流量-手淘淘抢购-汇总</t>
  </si>
  <si>
    <t>咖啡机-barsetto电器旗舰店-平台流量-手淘有好货-汇总</t>
  </si>
  <si>
    <t>咖啡机-barsetto电器旗舰店-平台流量-手淘红包卡券-汇总</t>
  </si>
  <si>
    <t>咖啡机-barsetto电器旗舰店-平台流量-手淘确认订单-汇总</t>
  </si>
  <si>
    <t>咖啡机-barsetto电器旗舰店-平台流量-手淘我的足迹-汇总</t>
  </si>
  <si>
    <t>咖啡机-barsetto电器旗舰店-平台流量-手淘发现-汇总</t>
  </si>
  <si>
    <t>咖啡机-barsetto电器旗舰店-平台流量-手淘天猫国际-汇总</t>
  </si>
  <si>
    <t>咖啡机-barsetto电器旗舰店-平台流量-手淘每日新品-汇总</t>
  </si>
  <si>
    <t>咖啡机-barsetto电器旗舰店-平台流量-手淘天天特卖-汇总</t>
  </si>
  <si>
    <t>咖啡机-barsetto电器旗舰店-平台流量-手淘全球购频道-汇总</t>
  </si>
  <si>
    <t>咖啡机-barsetto电器旗舰店-平台流量-手淘社区-汇总</t>
  </si>
  <si>
    <t>咖啡机-barsetto电器旗舰店-平台流量-手淘会员俱乐部-汇总</t>
  </si>
  <si>
    <t>咖啡机-barsetto电器旗舰店-平台流量-手淘买手圈-汇总</t>
  </si>
  <si>
    <t>咖啡机-barsetto电器旗舰店-平台流量-手淘扫一扫-汇总</t>
  </si>
  <si>
    <t>咖啡机-barsetto电器旗舰店-平台流量-手淘喵鲜生-汇总</t>
  </si>
  <si>
    <t>咖啡机-barsetto电器旗舰店-平台流量-手淘品牌街-汇总</t>
  </si>
  <si>
    <t>咖啡机-barsetto电器旗舰店-平台流量-阿里拍卖-汇总</t>
  </si>
  <si>
    <t>咖啡机-barsetto电器旗舰店-平台流量-手淘房产-汇总</t>
  </si>
  <si>
    <t>咖啡机-barsetto电器旗舰店-平台流量-手淘必买清单-汇总</t>
  </si>
  <si>
    <t>咖啡机-barsetto电器旗舰店-平台流量-手淘潮电街-汇总</t>
  </si>
  <si>
    <t>咖啡机-barsetto电器旗舰店-平台流量-手淘极有家-汇总</t>
  </si>
  <si>
    <t>咖啡机-barsetto电器旗舰店-平台流量-手淘游戏中心-汇总</t>
  </si>
  <si>
    <t>咖啡机-barsetto电器旗舰店-平台流量-手淘找相似-汇总</t>
  </si>
  <si>
    <t>咖啡机-barsetto电器旗舰店-平台流量-手淘天猫首页-汇总</t>
  </si>
  <si>
    <t>咖啡机-barsetto电器旗舰店-平台流量-手淘品质穿搭-汇总</t>
  </si>
  <si>
    <t>咖啡机-barsetto电器旗舰店-平台流量-手淘汇吃-汇总</t>
  </si>
  <si>
    <t>咖啡机-barsetto电器旗舰店-平台流量-大促会场-热点会场</t>
  </si>
  <si>
    <t>咖啡机-barsetto电器旗舰店-平台流量-大促会场-榜单会场-必买榜</t>
  </si>
  <si>
    <t>咖啡机-barsetto电器旗舰店-平台流量-手机天猫-手猫天猫快抢购</t>
  </si>
  <si>
    <t>咖啡机-barsetto电器旗舰店-平台流量-手机天猫-手猫私房红包</t>
  </si>
  <si>
    <t>咖啡机-barsetto电器旗舰店-平台流量-手机天猫-手猫天猫好物</t>
  </si>
  <si>
    <t>咖啡机-barsetto电器旗舰店-平台流量-手机天猫-手猫开屏</t>
  </si>
  <si>
    <t>咖啡机-barsetto电器旗舰店-平台流量-手机天猫-手猫新人频道</t>
  </si>
  <si>
    <t>咖啡机-barsetto电器旗舰店-平台流量-手机天猫-手猫福利雷达</t>
  </si>
  <si>
    <t>咖啡机-barsetto电器旗舰店-平台流量-手机天猫-手猫天猫国际</t>
  </si>
  <si>
    <t>咖啡机-barsetto电器旗舰店-平台流量-飞猪-汇总</t>
  </si>
  <si>
    <t>咖啡机-barsetto电器旗舰店-平台流量-飞猪-飞猪首页</t>
  </si>
  <si>
    <t>咖啡机-barsetto电器旗舰店-平台流量-飞猪-飞猪频道</t>
  </si>
  <si>
    <t>咖啡机-barsetto电器旗舰店-平台流量-飞猪-飞猪搜索</t>
  </si>
  <si>
    <t>咖啡机-barsetto电器旗舰店-平台流量-飞猪-飞猪订单</t>
  </si>
  <si>
    <t>咖啡机-barsetto电器旗舰店-平台流量-飞猪-飞猪特价</t>
  </si>
  <si>
    <t>咖啡机-barsetto电器旗舰店-平台流量-飞猪-飞猪卡券包</t>
  </si>
  <si>
    <t>咖啡机-barsetto电器旗舰店-平台流量-飞猪-飞猪福利中心</t>
  </si>
  <si>
    <t>咖啡机-barsetto电器旗舰店-平台流量-飞猪-飞猪会员中心</t>
  </si>
  <si>
    <t>咖啡机-barsetto电器旗舰店-平台流量-飞猪-飞猪超级新发线</t>
  </si>
  <si>
    <t>咖啡机-barsetto电器旗舰店-平台流量-飞猪-飞猪目的地</t>
  </si>
  <si>
    <t>咖啡机-barsetto电器旗舰店-平台流量-飞猪-飞猪行程</t>
  </si>
  <si>
    <t>咖啡机-barsetto电器旗舰店-平台流量-飞猪-飞猪发现</t>
  </si>
  <si>
    <t>咖啡机-barsetto电器旗舰店-平台流量-飞猪-飞猪旅游度假频道</t>
  </si>
  <si>
    <t>咖啡机-barsetto电器旗舰店-平台流量-飞猪-飞猪出境游频道</t>
  </si>
  <si>
    <t>咖啡机-barsetto电器旗舰店-平台流量-飞猪-飞猪周边游频道</t>
  </si>
  <si>
    <t>咖啡机-barsetto电器旗舰店-平台流量-飞猪-飞猪酒店频道</t>
  </si>
  <si>
    <t>咖啡机-barsetto电器旗舰店-平台流量-飞猪-飞猪消息中心</t>
  </si>
  <si>
    <t>咖啡机-barsetto电器旗舰店-平台流量-飞猪-飞猪活动营销</t>
  </si>
  <si>
    <t>咖啡机-barsetto电器旗舰店-平台流量-飞猪-飞猪旅行主题</t>
  </si>
  <si>
    <t>咖啡机-barsetto电器旗舰店-平台流量-飞猪-飞猪直播</t>
  </si>
  <si>
    <t>咖啡机-barsetto电器旗舰店-平台流量-飞猪-飞猪内容其他</t>
  </si>
  <si>
    <t>咖啡机-barsetto电器旗舰店-平台流量-飞猪-飞猪其他</t>
  </si>
  <si>
    <t>咖啡机-barsetto电器旗舰店-平台流量-阿里妈妈权益会场-汇总</t>
  </si>
  <si>
    <t>咖啡机-barsetto电器旗舰店-平台流量-阿里妈妈权益会场-阿里妈妈权益直补</t>
  </si>
  <si>
    <t>咖啡机-barsetto电器旗舰店-平台流量-阿里妈妈权益会场-经营计划流量反哺</t>
  </si>
  <si>
    <t>咖啡机-barsetto电器旗舰店-平台流量-淘宝神店榜-汇总</t>
  </si>
  <si>
    <t>咖啡机-barsetto电器旗舰店-广告流量-汇总-汇总</t>
  </si>
  <si>
    <t>咖啡机-barsetto电器旗舰店-广告流量-效果广告-汇总</t>
  </si>
  <si>
    <t>咖啡机-barsetto电器旗舰店-广告流量-效果广告-引力魔方</t>
  </si>
  <si>
    <t>咖啡机-barsetto电器旗舰店-广告流量-效果广告-万相台</t>
  </si>
  <si>
    <t>咖啡机-barsetto电器旗舰店-广告流量-内容广告-汇总</t>
  </si>
  <si>
    <t>咖啡机-barsetto电器旗舰店-广告流量-内容广告-超级短视频</t>
  </si>
  <si>
    <t>咖啡机-barsetto电器旗舰店-广告流量-效果广告-直通车</t>
  </si>
  <si>
    <t>咖啡机-barsetto电器旗舰店-广告流量-站外广告-汇总</t>
  </si>
  <si>
    <t>咖啡机-barsetto电器旗舰店-广告流量-站外广告-淘宝客</t>
  </si>
  <si>
    <t>咖啡机-barsetto电器旗舰店-广告流量-站外广告-流量宝</t>
  </si>
  <si>
    <t>咖啡机-barsetto电器旗舰店-广告流量-站外广告-UD效果投放</t>
  </si>
  <si>
    <t>咖啡机-barsetto电器旗舰店-广告流量-内容广告-超级直播</t>
  </si>
  <si>
    <t>咖啡机-barsetto电器旗舰店-广告流量-品牌广告-汇总</t>
  </si>
  <si>
    <t>咖啡机-barsetto电器旗舰店-广告流量-品牌广告-超级全域通</t>
  </si>
  <si>
    <t>咖啡机-barsetto电器旗舰店-广告流量-品牌广告-品销宝- 品牌专区</t>
  </si>
  <si>
    <t>咖啡机-barsetto电器旗舰店-广告流量-品牌广告-品销宝- 明星店铺</t>
  </si>
  <si>
    <t>咖啡机-barsetto电器旗舰店-广告流量-品牌广告-品牌定制</t>
  </si>
  <si>
    <t>咖啡机-barsetto电器旗舰店-广告流量-品牌广告-Showmax</t>
  </si>
  <si>
    <t>咖啡机-barsetto电器旗舰店-广告流量-品牌广告-品牌特秀</t>
  </si>
  <si>
    <t>咖啡机-barsetto电器旗舰店-广告流量-内容广告-短直联动</t>
  </si>
  <si>
    <t>咖啡机-barsetto电器旗舰店-广告流量-站外广告-UD品牌投放</t>
  </si>
  <si>
    <t>咖啡机-delonghi德龙旗舰店-平台流量-汇总-汇总</t>
  </si>
  <si>
    <t>咖啡机-delonghi德龙旗舰店-平台流量-手淘淘宝直播-汇总</t>
  </si>
  <si>
    <t>咖啡机-delonghi德龙旗舰店-平台流量-手淘搜索-汇总</t>
  </si>
  <si>
    <t>咖啡机-delonghi德龙旗舰店-平台流量-手淘搜索-手淘搜索-商品及其他</t>
  </si>
  <si>
    <t>咖啡机-delonghi德龙旗舰店-平台流量-手淘推荐-汇总</t>
  </si>
  <si>
    <t>咖啡机-delonghi德龙旗舰店-平台流量-淘内待分类-汇总</t>
  </si>
  <si>
    <t>咖啡机-delonghi德龙旗舰店-平台流量-购物车-汇总</t>
  </si>
  <si>
    <t>咖啡机-delonghi德龙旗舰店-平台流量-我的淘宝-汇总</t>
  </si>
  <si>
    <t>咖啡机-delonghi德龙旗舰店-平台流量-手淘推荐-首页推荐-微详情</t>
  </si>
  <si>
    <t>咖啡机-delonghi德龙旗舰店-平台流量-短视频全屏页上下滑-汇总</t>
  </si>
  <si>
    <t>咖啡机-delonghi德龙旗舰店-平台流量-手淘旺信-汇总</t>
  </si>
  <si>
    <t>咖啡机-delonghi德龙旗舰店-平台流量-逛逛-汇总</t>
  </si>
  <si>
    <t>咖啡机-delonghi德龙旗舰店-平台流量-天猫榜单-汇总</t>
  </si>
  <si>
    <t>咖啡机-delonghi德龙旗舰店-平台流量-手机天猫-汇总</t>
  </si>
  <si>
    <t>咖啡机-delonghi德龙旗舰店-平台流量-手淘推荐-其他猜你喜欢</t>
  </si>
  <si>
    <t>咖啡机-delonghi德龙旗舰店-平台流量-手淘拍立淘-汇总</t>
  </si>
  <si>
    <t>咖啡机-delonghi德龙旗舰店-平台流量-手机天猫-手机浏览器访问天猫</t>
  </si>
  <si>
    <t>咖啡机-delonghi德龙旗舰店-平台流量-手淘其他店铺-汇总</t>
  </si>
  <si>
    <t>咖啡机-delonghi德龙旗舰店-平台流量-手淘其他店铺-商品详情页头图推荐</t>
  </si>
  <si>
    <t>咖啡机-delonghi德龙旗舰店-平台流量-天猫榜单-其他入口榜单</t>
  </si>
  <si>
    <t>咖啡机-delonghi德龙旗舰店-平台流量-日常营销活动-汇总</t>
  </si>
  <si>
    <t>咖啡机-delonghi德龙旗舰店-平台流量-淘口令分享-汇总</t>
  </si>
  <si>
    <t>咖啡机-delonghi德龙旗舰店-平台流量-大促会场-汇总</t>
  </si>
  <si>
    <t>咖啡机-delonghi德龙旗舰店-平台流量-天猫榜单-商品详情页入口榜单</t>
  </si>
  <si>
    <t>咖啡机-delonghi德龙旗舰店-平台流量-天猫榜单-搜索入口榜单</t>
  </si>
  <si>
    <t>咖啡机-delonghi德龙旗舰店-平台流量-直接访问-汇总</t>
  </si>
  <si>
    <t>咖啡机-delonghi德龙旗舰店-平台流量-一淘-汇总</t>
  </si>
  <si>
    <t>咖啡机-delonghi德龙旗舰店-平台流量-淘外网站-汇总</t>
  </si>
  <si>
    <t>咖啡机-delonghi德龙旗舰店-平台流量-手淘消息中心-汇总</t>
  </si>
  <si>
    <t>咖啡机-delonghi德龙旗舰店-平台流量-芭芭农场-汇总</t>
  </si>
  <si>
    <t>咖啡机-delonghi德龙旗舰店-平台流量-88VIP频道-汇总</t>
  </si>
  <si>
    <t>咖啡机-delonghi德龙旗舰店-平台流量-手机天猫-手猫搜索</t>
  </si>
  <si>
    <t>咖啡机-delonghi德龙旗舰店-平台流量-大促会场-榜单会场</t>
  </si>
  <si>
    <t>咖啡机-delonghi德龙旗舰店-平台流量-大促会场-主会场</t>
  </si>
  <si>
    <t>咖啡机-delonghi德龙旗舰店-平台流量-手淘推荐-购后推荐</t>
  </si>
  <si>
    <t>咖啡机-delonghi德龙旗舰店-平台流量-手淘问大家-汇总</t>
  </si>
  <si>
    <t>咖啡机-delonghi德龙旗舰店-平台流量-手淘其他店铺-店铺超链</t>
  </si>
  <si>
    <t>咖啡机-delonghi德龙旗舰店-平台流量-淘宝好价-汇总</t>
  </si>
  <si>
    <t>咖啡机-delonghi德龙旗舰店-平台流量-手淘推荐-首页推荐-直播</t>
  </si>
  <si>
    <t>咖啡机-delonghi德龙旗舰店-平台流量-手机天猫-手猫首页</t>
  </si>
  <si>
    <t>咖啡机-delonghi德龙旗舰店-平台流量-关注-汇总</t>
  </si>
  <si>
    <t>咖啡机-delonghi德龙旗舰店-平台流量-闲鱼-汇总</t>
  </si>
  <si>
    <t>咖啡机-delonghi德龙旗舰店-平台流量-手机浏览器访问淘宝-汇总</t>
  </si>
  <si>
    <t>咖啡机-delonghi德龙旗舰店-平台流量-手机天猫-手猫免费其他</t>
  </si>
  <si>
    <t>咖啡机-delonghi德龙旗舰店-平台流量-手淘搜索-手淘搜索-直播</t>
  </si>
  <si>
    <t>咖啡机-delonghi德龙旗舰店-平台流量-手机天猫-手猫其他店铺</t>
  </si>
  <si>
    <t>咖啡机-delonghi德龙旗舰店-平台流量-手机天猫-手猫商品详情</t>
  </si>
  <si>
    <t>咖啡机-delonghi德龙旗舰店-平台流量-阿里妈妈权益会场-汇总</t>
  </si>
  <si>
    <t>咖啡机-delonghi德龙旗舰店-平台流量-阿里妈妈权益会场-阿里妈妈超级惊喜站</t>
  </si>
  <si>
    <t>咖啡机-delonghi德龙旗舰店-平台流量-手淘搜索-手淘搜索-短视频</t>
  </si>
  <si>
    <t>咖啡机-delonghi德龙旗舰店-平台流量-聚划算会场-汇总</t>
  </si>
  <si>
    <t>咖啡机-delonghi德龙旗舰店-平台流量-手淘我的评价-汇总</t>
  </si>
  <si>
    <t>咖啡机-delonghi德龙旗舰店-平台流量-天猫小黑盒-汇总</t>
  </si>
  <si>
    <t>咖啡机-delonghi德龙旗舰店-平台流量-手淘推荐-购中推荐</t>
  </si>
  <si>
    <t>咖啡机-delonghi德龙旗舰店-平台流量-手机天猫-手猫旺信聊天</t>
  </si>
  <si>
    <t>咖啡机-delonghi德龙旗舰店-平台流量-手淘推荐-首页推荐-短视频</t>
  </si>
  <si>
    <t>咖啡机-delonghi德龙旗舰店-平台流量-淘宝特价版-汇总</t>
  </si>
  <si>
    <t>咖啡机-delonghi德龙旗舰店-平台流量-电视淘宝-汇总</t>
  </si>
  <si>
    <t>咖啡机-delonghi德龙旗舰店-平台流量-每日好店-汇总</t>
  </si>
  <si>
    <t>咖啡机-delonghi德龙旗舰店-平台流量-红包省钱卡-汇总</t>
  </si>
  <si>
    <t>咖啡机-delonghi德龙旗舰店-平台流量-淘宝特价版-淘特搜索</t>
  </si>
  <si>
    <t>咖啡机-delonghi德龙旗舰店-平台流量-手淘淘金币-汇总</t>
  </si>
  <si>
    <t>咖啡机-delonghi德龙旗舰店-平台流量-手淘有好货-汇总</t>
  </si>
  <si>
    <t>咖啡机-delonghi德龙旗舰店-平台流量-手淘推荐-推荐云主题</t>
  </si>
  <si>
    <t>咖啡机-delonghi德龙旗舰店-平台流量-天猫关注-汇总</t>
  </si>
  <si>
    <t>咖啡机-delonghi德龙旗舰店-平台流量-百亿补贴-汇总</t>
  </si>
  <si>
    <t>咖啡机-delonghi德龙旗舰店-平台流量-大促会场-热点会场</t>
  </si>
  <si>
    <t>咖啡机-delonghi德龙旗舰店-平台流量-淘宝特价版-淘特其他渠道</t>
  </si>
  <si>
    <t>咖啡机-delonghi德龙旗舰店-平台流量-天猫U先试用-汇总</t>
  </si>
  <si>
    <t>咖啡机-delonghi德龙旗舰店-平台流量-淘宝跨境站点-汇总</t>
  </si>
  <si>
    <t>咖啡机-delonghi德龙旗舰店-平台流量-淘宝特价版-淘特互动游戏</t>
  </si>
  <si>
    <t>咖啡机-delonghi德龙旗舰店-平台流量-手淘充值-汇总</t>
  </si>
  <si>
    <t>咖啡机-delonghi德龙旗舰店-平台流量-淘宝特价版-淘特自主访问</t>
  </si>
  <si>
    <t>咖啡机-delonghi德龙旗舰店-平台流量-淘宝特价版-淘特推荐</t>
  </si>
  <si>
    <t>咖啡机-delonghi德龙旗舰店-平台流量-手机天猫-手猫消息中心</t>
  </si>
  <si>
    <t>咖啡机-delonghi德龙旗舰店-平台流量-阿里妈妈权益会场-经营计划流量反哺</t>
  </si>
  <si>
    <t>咖啡机-delonghi德龙旗舰店-平台流量-手淘有好价-汇总</t>
  </si>
  <si>
    <t>咖啡机-delonghi德龙旗舰店-平台流量-阿里拍卖-汇总</t>
  </si>
  <si>
    <t>咖啡机-delonghi德龙旗舰店-平台流量-手淘扫一扫-汇总</t>
  </si>
  <si>
    <t>咖啡机-delonghi德龙旗舰店-平台流量-飞猪-飞猪超级新发线</t>
  </si>
  <si>
    <t>咖啡机-delonghi德龙旗舰店-平台流量-飞猪-飞猪目的地</t>
  </si>
  <si>
    <t>咖啡机-delonghi德龙旗舰店-平台流量-飞猪-飞猪行程</t>
  </si>
  <si>
    <t>咖啡机-delonghi德龙旗舰店-平台流量-飞猪-飞猪发现</t>
  </si>
  <si>
    <t>咖啡机-delonghi德龙旗舰店-平台流量-飞猪-飞猪旅游度假频道</t>
  </si>
  <si>
    <t>咖啡机-delonghi德龙旗舰店-平台流量-飞猪-飞猪出境游频道</t>
  </si>
  <si>
    <t>咖啡机-delonghi德龙旗舰店-平台流量-飞猪-飞猪周边游频道</t>
  </si>
  <si>
    <t>咖啡机-delonghi德龙旗舰店-平台流量-飞猪-飞猪酒店频道</t>
  </si>
  <si>
    <t>咖啡机-delonghi德龙旗舰店-平台流量-飞猪-飞猪消息中心</t>
  </si>
  <si>
    <t>咖啡机-delonghi德龙旗舰店-平台流量-飞猪-飞猪活动营销</t>
  </si>
  <si>
    <t>咖啡机-delonghi德龙旗舰店-平台流量-飞猪-飞猪旅行主题</t>
  </si>
  <si>
    <t>咖啡机-delonghi德龙旗舰店-平台流量-飞猪-飞猪直播</t>
  </si>
  <si>
    <t>咖啡机-delonghi德龙旗舰店-平台流量-飞猪-飞猪内容其他</t>
  </si>
  <si>
    <t>咖啡机-delonghi德龙旗舰店-平台流量-飞猪-飞猪其他</t>
  </si>
  <si>
    <t>咖啡机-delonghi德龙旗舰店-平台流量-阿里妈妈权益会场-阿里妈妈权益直补</t>
  </si>
  <si>
    <t>咖啡机-delonghi德龙旗舰店-平台流量-淘宝神店榜-汇总</t>
  </si>
  <si>
    <t>咖啡机-delonghi德龙旗舰店-平台流量-盒马-汇总</t>
  </si>
  <si>
    <t>咖啡机-delonghi德龙旗舰店-平台流量-天猫超市-汇总</t>
  </si>
  <si>
    <t>咖啡机-delonghi德龙旗舰店-平台流量-手淘分类导航-汇总</t>
  </si>
  <si>
    <t>咖啡机-delonghi德龙旗舰店-平台流量-品牌新享频道-汇总</t>
  </si>
  <si>
    <t>咖啡机-delonghi德龙旗舰店-平台流量-每平每屋-汇总</t>
  </si>
  <si>
    <t>咖啡机-delonghi德龙旗舰店-平台流量-品牌福利中心-汇总</t>
  </si>
  <si>
    <t>咖啡机-delonghi德龙旗舰店-平台流量-淘宝特价版-淘特限时秒杀</t>
  </si>
  <si>
    <t>咖啡机-delonghi德龙旗舰店-平台流量-淘宝特价版-淘特官方补贴</t>
  </si>
  <si>
    <t>咖啡机-delonghi德龙旗舰店-平台流量-裂变券引流-汇总</t>
  </si>
  <si>
    <t>咖啡机-delonghi德龙旗舰店-平台流量-手淘摇一摇-汇总</t>
  </si>
  <si>
    <t>咖啡机-delonghi德龙旗舰店-平台流量-手淘买家秀-汇总</t>
  </si>
  <si>
    <t>咖啡机-delonghi德龙旗舰店-平台流量-天猫超级品类日-汇总</t>
  </si>
  <si>
    <t>咖啡机-delonghi德龙旗舰店-平台流量-淘宝吃货-汇总</t>
  </si>
  <si>
    <t>咖啡机-delonghi德龙旗舰店-平台流量-每平每屋频道-汇总</t>
  </si>
  <si>
    <t>咖啡机-delonghi德龙旗舰店-平台流量-领券中心-汇总</t>
  </si>
  <si>
    <t>咖啡机-delonghi德龙旗舰店-平台流量-红包签到-汇总</t>
  </si>
  <si>
    <t>咖啡机-delonghi德龙旗舰店-平台流量-大麦-汇总</t>
  </si>
  <si>
    <t>咖啡机-delonghi德龙旗舰店-平台流量-淘工厂直营-汇总</t>
  </si>
  <si>
    <t>咖啡机-delonghi德龙旗舰店-平台流量-天猫热点-汇总</t>
  </si>
  <si>
    <t>咖啡机-delonghi德龙旗舰店-平台流量-天猫好房-汇总</t>
  </si>
  <si>
    <t>咖啡机-delonghi德龙旗舰店-平台流量-淘鲜达-汇总</t>
  </si>
  <si>
    <t>咖啡机-delonghi德龙旗舰店-平台流量-分享购物车活动-汇总</t>
  </si>
  <si>
    <t>咖啡机-delonghi德龙旗舰店-平台流量-淘宝必逛-汇总</t>
  </si>
  <si>
    <t>咖啡机-delonghi德龙旗舰店-平台流量-全民寻宝-汇总</t>
  </si>
  <si>
    <t>咖啡机-delonghi德龙旗舰店-平台流量-有好货短视频-汇总</t>
  </si>
  <si>
    <t>咖啡机-delonghi德龙旗舰店-平台流量-有好货图文-汇总</t>
  </si>
  <si>
    <t>咖啡机-delonghi德龙旗舰店-平台流量-手淘首页-汇总</t>
  </si>
  <si>
    <t>咖啡机-delonghi德龙旗舰店-平台流量-手淘收藏夹-汇总</t>
  </si>
  <si>
    <t>咖啡机-delonghi德龙旗舰店-平台流量-手淘淘抢购-汇总</t>
  </si>
  <si>
    <t>咖啡机-delonghi德龙旗舰店-平台流量-手淘红包卡券-汇总</t>
  </si>
  <si>
    <t>咖啡机-delonghi德龙旗舰店-平台流量-手淘确认订单-汇总</t>
  </si>
  <si>
    <t>咖啡机-delonghi德龙旗舰店-平台流量-手淘我的足迹-汇总</t>
  </si>
  <si>
    <t>咖啡机-delonghi德龙旗舰店-平台流量-手淘发现-汇总</t>
  </si>
  <si>
    <t>咖啡机-delonghi德龙旗舰店-平台流量-手淘天猫国际-汇总</t>
  </si>
  <si>
    <t>咖啡机-delonghi德龙旗舰店-平台流量-手淘每日新品-汇总</t>
  </si>
  <si>
    <t>咖啡机-delonghi德龙旗舰店-平台流量-手淘天天特卖-汇总</t>
  </si>
  <si>
    <t>咖啡机-delonghi德龙旗舰店-平台流量-手淘全球购频道-汇总</t>
  </si>
  <si>
    <t>咖啡机-delonghi德龙旗舰店-平台流量-手淘社区-汇总</t>
  </si>
  <si>
    <t>咖啡机-delonghi德龙旗舰店-平台流量-手淘会员俱乐部-汇总</t>
  </si>
  <si>
    <t>咖啡机-delonghi德龙旗舰店-平台流量-手淘买手圈-汇总</t>
  </si>
  <si>
    <t>咖啡机-delonghi德龙旗舰店-平台流量-手淘喵鲜生-汇总</t>
  </si>
  <si>
    <t>咖啡机-delonghi德龙旗舰店-平台流量-手淘品牌街-汇总</t>
  </si>
  <si>
    <t>咖啡机-delonghi德龙旗舰店-平台流量-手淘房产-汇总</t>
  </si>
  <si>
    <t>咖啡机-delonghi德龙旗舰店-平台流量-手淘必买清单-汇总</t>
  </si>
  <si>
    <t>咖啡机-delonghi德龙旗舰店-平台流量-手淘潮电街-汇总</t>
  </si>
  <si>
    <t>咖啡机-delonghi德龙旗舰店-平台流量-手淘极有家-汇总</t>
  </si>
  <si>
    <t>咖啡机-delonghi德龙旗舰店-平台流量-手淘发表评价-汇总</t>
  </si>
  <si>
    <t>咖啡机-delonghi德龙旗舰店-平台流量-手淘游戏中心-汇总</t>
  </si>
  <si>
    <t>咖啡机-delonghi德龙旗舰店-平台流量-手淘找相似-汇总</t>
  </si>
  <si>
    <t>咖啡机-delonghi德龙旗舰店-平台流量-手淘天猫首页-汇总</t>
  </si>
  <si>
    <t>咖啡机-delonghi德龙旗舰店-平台流量-手淘品质穿搭-汇总</t>
  </si>
  <si>
    <t>咖啡机-delonghi德龙旗舰店-平台流量-手淘汇吃-汇总</t>
  </si>
  <si>
    <t>咖啡机-delonghi德龙旗舰店-平台流量-大促会场-榜单会场-必买榜</t>
  </si>
  <si>
    <t>咖啡机-delonghi德龙旗舰店-平台流量-手机天猫-手猫天猫快抢购</t>
  </si>
  <si>
    <t>咖啡机-delonghi德龙旗舰店-平台流量-手机天猫-手猫私房红包</t>
  </si>
  <si>
    <t>咖啡机-delonghi德龙旗舰店-平台流量-手机天猫-手猫天猫好物</t>
  </si>
  <si>
    <t>咖啡机-delonghi德龙旗舰店-平台流量-手机天猫-手猫开屏</t>
  </si>
  <si>
    <t>咖啡机-delonghi德龙旗舰店-平台流量-手机天猫-手猫新人频道</t>
  </si>
  <si>
    <t>咖啡机-delonghi德龙旗舰店-平台流量-手机天猫-手猫福利雷达</t>
  </si>
  <si>
    <t>咖啡机-delonghi德龙旗舰店-平台流量-手机天猫-手猫天猫国际</t>
  </si>
  <si>
    <t>咖啡机-delonghi德龙旗舰店-平台流量-手机天猫-手猫扫码</t>
  </si>
  <si>
    <t>咖啡机-delonghi德龙旗舰店-平台流量-飞猪-汇总</t>
  </si>
  <si>
    <t>咖啡机-delonghi德龙旗舰店-平台流量-飞猪-飞猪首页</t>
  </si>
  <si>
    <t>咖啡机-delonghi德龙旗舰店-平台流量-飞猪-飞猪频道</t>
  </si>
  <si>
    <t>咖啡机-delonghi德龙旗舰店-平台流量-飞猪-飞猪搜索</t>
  </si>
  <si>
    <t>咖啡机-delonghi德龙旗舰店-平台流量-飞猪-飞猪订单</t>
  </si>
  <si>
    <t>咖啡机-delonghi德龙旗舰店-平台流量-飞猪-飞猪特价</t>
  </si>
  <si>
    <t>咖啡机-delonghi德龙旗舰店-平台流量-飞猪-飞猪卡券包</t>
  </si>
  <si>
    <t>咖啡机-delonghi德龙旗舰店-平台流量-飞猪-飞猪福利中心</t>
  </si>
  <si>
    <t>咖啡机-delonghi德龙旗舰店-平台流量-飞猪-飞猪会员中心</t>
  </si>
  <si>
    <t>咖啡机-delonghi德龙旗舰店-广告流量-汇总-汇总</t>
  </si>
  <si>
    <t>咖啡机-delonghi德龙旗舰店-广告流量-效果广告-汇总</t>
  </si>
  <si>
    <t>咖啡机-delonghi德龙旗舰店-广告流量-效果广告-万相台</t>
  </si>
  <si>
    <t>咖啡机-delonghi德龙旗舰店-广告流量-效果广告-引力魔方</t>
  </si>
  <si>
    <t>咖啡机-delonghi德龙旗舰店-广告流量-效果广告-直通车</t>
  </si>
  <si>
    <t>咖啡机-delonghi德龙旗舰店-广告流量-站外广告-汇总</t>
  </si>
  <si>
    <t>咖啡机-delonghi德龙旗舰店-广告流量-品牌广告-汇总</t>
  </si>
  <si>
    <t>咖啡机-delonghi德龙旗舰店-广告流量-站外广告-UD效果投放</t>
  </si>
  <si>
    <t>咖啡机-delonghi德龙旗舰店-广告流量-站外广告-淘宝客</t>
  </si>
  <si>
    <t>咖啡机-delonghi德龙旗舰店-广告流量-品牌广告-品销宝- 品牌专区</t>
  </si>
  <si>
    <t>咖啡机-delonghi德龙旗舰店-广告流量-内容广告-汇总</t>
  </si>
  <si>
    <t>咖啡机-delonghi德龙旗舰店-广告流量-内容广告-超级短视频</t>
  </si>
  <si>
    <t>咖啡机-delonghi德龙旗舰店-广告流量-品牌广告-品牌特秀</t>
  </si>
  <si>
    <t>咖啡机-delonghi德龙旗舰店-广告流量-品牌广告-Showmax</t>
  </si>
  <si>
    <t>咖啡机-delonghi德龙旗舰店-广告流量-内容广告-超级直播</t>
  </si>
  <si>
    <t>咖啡机-delonghi德龙旗舰店-广告流量-品牌广告-品牌定制</t>
  </si>
  <si>
    <t>咖啡机-delonghi德龙旗舰店-广告流量-站外广告-流量宝</t>
  </si>
  <si>
    <t>咖啡机-delonghi德龙旗舰店-广告流量-品牌广告-超级全域通</t>
  </si>
  <si>
    <t>咖啡机-delonghi德龙旗舰店-广告流量-品牌广告-品销宝- 明星店铺</t>
  </si>
  <si>
    <t>咖啡机-delonghi德龙旗舰店-广告流量-站外广告-UD品牌投放</t>
  </si>
  <si>
    <t>咖啡机-delonghi德龙旗舰店-广告流量-内容广告-短直联动</t>
  </si>
  <si>
    <t>咖啡机-柏翠旗舰店-平台流量-汇总-汇总</t>
  </si>
  <si>
    <t>咖啡机-柏翠旗舰店-平台流量-手淘搜索-汇总</t>
  </si>
  <si>
    <t>咖啡机-柏翠旗舰店-平台流量-手淘搜索-手淘搜索-商品及其他</t>
  </si>
  <si>
    <t>咖啡机-柏翠旗舰店-平台流量-手淘淘宝直播-汇总</t>
  </si>
  <si>
    <t>咖啡机-柏翠旗舰店-平台流量-购物车-汇总</t>
  </si>
  <si>
    <t>咖啡机-柏翠旗舰店-平台流量-我的淘宝-汇总</t>
  </si>
  <si>
    <t>咖啡机-柏翠旗舰店-平台流量-淘内待分类-汇总</t>
  </si>
  <si>
    <t>咖啡机-柏翠旗舰店-平台流量-手淘推荐-汇总</t>
  </si>
  <si>
    <t>咖啡机-柏翠旗舰店-平台流量-天猫榜单-汇总</t>
  </si>
  <si>
    <t>咖啡机-柏翠旗舰店-平台流量-手淘旺信-汇总</t>
  </si>
  <si>
    <t>咖啡机-柏翠旗舰店-平台流量-手淘推荐-首页推荐-微详情</t>
  </si>
  <si>
    <t>咖啡机-柏翠旗舰店-平台流量-逛逛-汇总</t>
  </si>
  <si>
    <t>咖啡机-柏翠旗舰店-平台流量-手淘拍立淘-汇总</t>
  </si>
  <si>
    <t>咖啡机-柏翠旗舰店-平台流量-手淘推荐-其他猜你喜欢</t>
  </si>
  <si>
    <t>咖啡机-柏翠旗舰店-平台流量-短视频全屏页上下滑-汇总</t>
  </si>
  <si>
    <t>咖啡机-柏翠旗舰店-平台流量-天猫榜单-其他入口榜单</t>
  </si>
  <si>
    <t>咖啡机-柏翠旗舰店-平台流量-日常营销活动-汇总</t>
  </si>
  <si>
    <t>咖啡机-柏翠旗舰店-平台流量-手淘其他店铺-汇总</t>
  </si>
  <si>
    <t>咖啡机-柏翠旗舰店-平台流量-天猫榜单-搜索入口榜单</t>
  </si>
  <si>
    <t>咖啡机-柏翠旗舰店-平台流量-天猫榜单-商品详情页入口榜单</t>
  </si>
  <si>
    <t>咖啡机-柏翠旗舰店-平台流量-手淘其他店铺-商品详情页头图推荐</t>
  </si>
  <si>
    <t>咖啡机-柏翠旗舰店-平台流量-一淘-汇总</t>
  </si>
  <si>
    <t>咖啡机-柏翠旗舰店-平台流量-淘口令分享-汇总</t>
  </si>
  <si>
    <t>咖啡机-柏翠旗舰店-平台流量-88VIP频道-汇总</t>
  </si>
  <si>
    <t>咖啡机-柏翠旗舰店-平台流量-手淘消息中心-汇总</t>
  </si>
  <si>
    <t>咖啡机-柏翠旗舰店-平台流量-手淘搜索-手淘搜索-直播</t>
  </si>
  <si>
    <t>咖啡机-柏翠旗舰店-平台流量-大促会场-汇总</t>
  </si>
  <si>
    <t>咖啡机-柏翠旗舰店-平台流量-手机天猫-汇总</t>
  </si>
  <si>
    <t>咖啡机-柏翠旗舰店-平台流量-淘外网站-汇总</t>
  </si>
  <si>
    <t>咖啡机-柏翠旗舰店-平台流量-手淘问大家-汇总</t>
  </si>
  <si>
    <t>咖啡机-柏翠旗舰店-平台流量-大促会场-主会场</t>
  </si>
  <si>
    <t>咖啡机-柏翠旗舰店-平台流量-手机天猫-手猫搜索</t>
  </si>
  <si>
    <t>咖啡机-柏翠旗舰店-平台流量-手淘其他店铺-店铺超链</t>
  </si>
  <si>
    <t>咖啡机-柏翠旗舰店-平台流量-手淘推荐-首页推荐-直播</t>
  </si>
  <si>
    <t>咖啡机-柏翠旗舰店-平台流量-淘宝好价-汇总</t>
  </si>
  <si>
    <t>咖啡机-柏翠旗舰店-平台流量-大促会场-榜单会场</t>
  </si>
  <si>
    <t>咖啡机-柏翠旗舰店-平台流量-手淘推荐-购后推荐</t>
  </si>
  <si>
    <t>咖啡机-柏翠旗舰店-平台流量-闲鱼-汇总</t>
  </si>
  <si>
    <t>咖啡机-柏翠旗舰店-平台流量-手机天猫-手猫首页</t>
  </si>
  <si>
    <t>咖啡机-柏翠旗舰店-平台流量-关注-汇总</t>
  </si>
  <si>
    <t>咖啡机-柏翠旗舰店-平台流量-聚划算会场-汇总</t>
  </si>
  <si>
    <t>咖啡机-柏翠旗舰店-平台流量-芭芭农场-汇总</t>
  </si>
  <si>
    <t>咖啡机-柏翠旗舰店-平台流量-手机浏览器访问淘宝-汇总</t>
  </si>
  <si>
    <t>咖啡机-柏翠旗舰店-平台流量-手淘搜索-手淘搜索-短视频</t>
  </si>
  <si>
    <t>咖啡机-柏翠旗舰店-平台流量-手机天猫-手猫其他店铺</t>
  </si>
  <si>
    <t>咖啡机-柏翠旗舰店-平台流量-手机天猫-手猫免费其他</t>
  </si>
  <si>
    <t>咖啡机-柏翠旗舰店-平台流量-手机天猫-手猫商品详情</t>
  </si>
  <si>
    <t>咖啡机-柏翠旗舰店-平台流量-手淘我的评价-汇总</t>
  </si>
  <si>
    <t>咖啡机-柏翠旗舰店-平台流量-电视淘宝-汇总</t>
  </si>
  <si>
    <t>咖啡机-柏翠旗舰店-平台流量-直接访问-汇总</t>
  </si>
  <si>
    <t>咖啡机-柏翠旗舰店-平台流量-手淘推荐-购中推荐</t>
  </si>
  <si>
    <t>咖啡机-柏翠旗舰店-平台流量-天猫小黑盒-汇总</t>
  </si>
  <si>
    <t>咖啡机-柏翠旗舰店-平台流量-手机天猫-手机浏览器访问天猫</t>
  </si>
  <si>
    <t>咖啡机-柏翠旗舰店-平台流量-淘宝特价版-汇总</t>
  </si>
  <si>
    <t>咖啡机-柏翠旗舰店-平台流量-大促会场-热点会场</t>
  </si>
  <si>
    <t>咖啡机-柏翠旗舰店-平台流量-红包省钱卡-汇总</t>
  </si>
  <si>
    <t>咖啡机-柏翠旗舰店-平台流量-手机天猫-手猫旺信聊天</t>
  </si>
  <si>
    <t>咖啡机-柏翠旗舰店-平台流量-手淘推荐-推荐云主题</t>
  </si>
  <si>
    <t>咖啡机-柏翠旗舰店-平台流量-淘宝特价版-淘特推荐</t>
  </si>
  <si>
    <t>咖啡机-柏翠旗舰店-平台流量-淘宝特价版-淘特互动游戏</t>
  </si>
  <si>
    <t>咖啡机-柏翠旗舰店-平台流量-淘宝特价版-淘特搜索</t>
  </si>
  <si>
    <t>咖啡机-柏翠旗舰店-平台流量-每日好店-汇总</t>
  </si>
  <si>
    <t>咖啡机-柏翠旗舰店-平台流量-手淘有好货-汇总</t>
  </si>
  <si>
    <t>咖啡机-柏翠旗舰店-平台流量-手淘淘金币-汇总</t>
  </si>
  <si>
    <t>咖啡机-柏翠旗舰店-平台流量-手淘推荐-首页推荐-短视频</t>
  </si>
  <si>
    <t>咖啡机-柏翠旗舰店-平台流量-淘宝特价版-淘特自主访问</t>
  </si>
  <si>
    <t>咖啡机-柏翠旗舰店-平台流量-淘宝特价版-淘特其他渠道</t>
  </si>
  <si>
    <t>咖啡机-柏翠旗舰店-平台流量-淘宝跨境站点-汇总</t>
  </si>
  <si>
    <t>咖啡机-柏翠旗舰店-平台流量-百亿补贴-汇总</t>
  </si>
  <si>
    <t>咖啡机-柏翠旗舰店-平台流量-天猫关注-汇总</t>
  </si>
  <si>
    <t>咖啡机-柏翠旗舰店-平台流量-飞猪-飞猪内容其他</t>
  </si>
  <si>
    <t>咖啡机-柏翠旗舰店-平台流量-红包签到-汇总</t>
  </si>
  <si>
    <t>咖啡机-柏翠旗舰店-平台流量-领券中心-汇总</t>
  </si>
  <si>
    <t>咖啡机-柏翠旗舰店-平台流量-每平每屋频道-汇总</t>
  </si>
  <si>
    <t>咖啡机-柏翠旗舰店-平台流量-淘宝吃货-汇总</t>
  </si>
  <si>
    <t>咖啡机-柏翠旗舰店-平台流量-天猫超级品类日-汇总</t>
  </si>
  <si>
    <t>咖啡机-柏翠旗舰店-平台流量-手淘买家秀-汇总</t>
  </si>
  <si>
    <t>咖啡机-柏翠旗舰店-平台流量-手淘摇一摇-汇总</t>
  </si>
  <si>
    <t>咖啡机-柏翠旗舰店-平台流量-裂变券引流-汇总</t>
  </si>
  <si>
    <t>咖啡机-柏翠旗舰店-平台流量-淘宝特价版-淘特官方补贴</t>
  </si>
  <si>
    <t>咖啡机-柏翠旗舰店-平台流量-淘宝特价版-淘特限时秒杀</t>
  </si>
  <si>
    <t>咖啡机-柏翠旗舰店-平台流量-品牌福利中心-汇总</t>
  </si>
  <si>
    <t>咖啡机-柏翠旗舰店-平台流量-每平每屋-汇总</t>
  </si>
  <si>
    <t>咖啡机-柏翠旗舰店-平台流量-品牌新享频道-汇总</t>
  </si>
  <si>
    <t>咖啡机-柏翠旗舰店-平台流量-手淘分类导航-汇总</t>
  </si>
  <si>
    <t>咖啡机-柏翠旗舰店-平台流量-手淘有好价-汇总</t>
  </si>
  <si>
    <t>咖啡机-柏翠旗舰店-平台流量-天猫超市-汇总</t>
  </si>
  <si>
    <t>咖啡机-柏翠旗舰店-平台流量-盒马-汇总</t>
  </si>
  <si>
    <t>咖啡机-柏翠旗舰店-平台流量-大麦-汇总</t>
  </si>
  <si>
    <t>咖啡机-柏翠旗舰店-平台流量-淘工厂直营-汇总</t>
  </si>
  <si>
    <t>咖啡机-柏翠旗舰店-平台流量-天猫热点-汇总</t>
  </si>
  <si>
    <t>咖啡机-柏翠旗舰店-平台流量-天猫好房-汇总</t>
  </si>
  <si>
    <t>咖啡机-柏翠旗舰店-平台流量-淘鲜达-汇总</t>
  </si>
  <si>
    <t>咖啡机-柏翠旗舰店-平台流量-分享购物车活动-汇总</t>
  </si>
  <si>
    <t>咖啡机-柏翠旗舰店-平台流量-淘宝必逛-汇总</t>
  </si>
  <si>
    <t>咖啡机-柏翠旗舰店-平台流量-全民寻宝-汇总</t>
  </si>
  <si>
    <t>咖啡机-柏翠旗舰店-平台流量-有好货短视频-汇总</t>
  </si>
  <si>
    <t>咖啡机-柏翠旗舰店-平台流量-有好货图文-汇总</t>
  </si>
  <si>
    <t>咖啡机-柏翠旗舰店-平台流量-手淘首页-汇总</t>
  </si>
  <si>
    <t>咖啡机-柏翠旗舰店-平台流量-手淘收藏夹-汇总</t>
  </si>
  <si>
    <t>咖啡机-柏翠旗舰店-平台流量-手淘淘抢购-汇总</t>
  </si>
  <si>
    <t>咖啡机-柏翠旗舰店-平台流量-手淘红包卡券-汇总</t>
  </si>
  <si>
    <t>咖啡机-柏翠旗舰店-平台流量-手淘确认订单-汇总</t>
  </si>
  <si>
    <t>咖啡机-柏翠旗舰店-平台流量-手淘我的足迹-汇总</t>
  </si>
  <si>
    <t>咖啡机-柏翠旗舰店-平台流量-手淘发现-汇总</t>
  </si>
  <si>
    <t>咖啡机-柏翠旗舰店-平台流量-手淘天猫国际-汇总</t>
  </si>
  <si>
    <t>咖啡机-柏翠旗舰店-平台流量-手淘每日新品-汇总</t>
  </si>
  <si>
    <t>咖啡机-柏翠旗舰店-平台流量-手淘天天特卖-汇总</t>
  </si>
  <si>
    <t>咖啡机-柏翠旗舰店-平台流量-手淘全球购频道-汇总</t>
  </si>
  <si>
    <t>咖啡机-柏翠旗舰店-平台流量-手淘社区-汇总</t>
  </si>
  <si>
    <t>咖啡机-柏翠旗舰店-平台流量-天猫U先试用-汇总</t>
  </si>
  <si>
    <t>咖啡机-柏翠旗舰店-平台流量-手淘会员俱乐部-汇总</t>
  </si>
  <si>
    <t>咖啡机-柏翠旗舰店-平台流量-手淘买手圈-汇总</t>
  </si>
  <si>
    <t>咖啡机-柏翠旗舰店-平台流量-手淘扫一扫-汇总</t>
  </si>
  <si>
    <t>咖啡机-柏翠旗舰店-平台流量-手淘充值-汇总</t>
  </si>
  <si>
    <t>咖啡机-柏翠旗舰店-平台流量-手淘喵鲜生-汇总</t>
  </si>
  <si>
    <t>咖啡机-柏翠旗舰店-平台流量-手淘品牌街-汇总</t>
  </si>
  <si>
    <t>咖啡机-柏翠旗舰店-平台流量-阿里拍卖-汇总</t>
  </si>
  <si>
    <t>咖啡机-柏翠旗舰店-平台流量-手淘房产-汇总</t>
  </si>
  <si>
    <t>咖啡机-柏翠旗舰店-平台流量-手淘必买清单-汇总</t>
  </si>
  <si>
    <t>咖啡机-柏翠旗舰店-平台流量-手淘潮电街-汇总</t>
  </si>
  <si>
    <t>咖啡机-柏翠旗舰店-平台流量-手淘极有家-汇总</t>
  </si>
  <si>
    <t>咖啡机-柏翠旗舰店-平台流量-手淘游戏中心-汇总</t>
  </si>
  <si>
    <t>咖啡机-柏翠旗舰店-平台流量-手淘找相似-汇总</t>
  </si>
  <si>
    <t>咖啡机-柏翠旗舰店-平台流量-手淘天猫首页-汇总</t>
  </si>
  <si>
    <t>咖啡机-柏翠旗舰店-平台流量-手淘品质穿搭-汇总</t>
  </si>
  <si>
    <t>咖啡机-柏翠旗舰店-平台流量-手淘汇吃-汇总</t>
  </si>
  <si>
    <t>咖啡机-柏翠旗舰店-平台流量-大促会场-榜单会场-必买榜</t>
  </si>
  <si>
    <t>咖啡机-柏翠旗舰店-平台流量-手机天猫-手猫天猫快抢购</t>
  </si>
  <si>
    <t>咖啡机-柏翠旗舰店-平台流量-手机天猫-手猫私房红包</t>
  </si>
  <si>
    <t>咖啡机-柏翠旗舰店-平台流量-手机天猫-手猫天猫好物</t>
  </si>
  <si>
    <t>咖啡机-柏翠旗舰店-平台流量-手机天猫-手猫开屏</t>
  </si>
  <si>
    <t>咖啡机-柏翠旗舰店-平台流量-手机天猫-手猫新人频道</t>
  </si>
  <si>
    <t>咖啡机-柏翠旗舰店-平台流量-手机天猫-手猫福利雷达</t>
  </si>
  <si>
    <t>咖啡机-柏翠旗舰店-平台流量-手机天猫-手猫消息中心</t>
  </si>
  <si>
    <t>咖啡机-柏翠旗舰店-平台流量-手机天猫-手猫天猫国际</t>
  </si>
  <si>
    <t>咖啡机-柏翠旗舰店-平台流量-手机天猫-手猫扫码</t>
  </si>
  <si>
    <t>咖啡机-柏翠旗舰店-平台流量-飞猪-汇总</t>
  </si>
  <si>
    <t>咖啡机-柏翠旗舰店-平台流量-飞猪-飞猪首页</t>
  </si>
  <si>
    <t>咖啡机-柏翠旗舰店-平台流量-飞猪-飞猪频道</t>
  </si>
  <si>
    <t>咖啡机-柏翠旗舰店-平台流量-飞猪-飞猪搜索</t>
  </si>
  <si>
    <t>咖啡机-柏翠旗舰店-平台流量-飞猪-飞猪订单</t>
  </si>
  <si>
    <t>咖啡机-柏翠旗舰店-平台流量-飞猪-飞猪特价</t>
  </si>
  <si>
    <t>咖啡机-柏翠旗舰店-平台流量-飞猪-飞猪消息中心</t>
  </si>
  <si>
    <t>咖啡机-柏翠旗舰店-平台流量-淘宝神店榜-汇总</t>
  </si>
  <si>
    <t>咖啡机-柏翠旗舰店-平台流量-飞猪-飞猪卡券包</t>
  </si>
  <si>
    <t>咖啡机-柏翠旗舰店-平台流量-飞猪-飞猪酒店频道</t>
  </si>
  <si>
    <t>咖啡机-柏翠旗舰店-平台流量-阿里妈妈权益会场-经营计划流量反哺</t>
  </si>
  <si>
    <t>咖啡机-柏翠旗舰店-平台流量-飞猪-飞猪周边游频道</t>
  </si>
  <si>
    <t>咖啡机-柏翠旗舰店-平台流量-飞猪-飞猪出境游频道</t>
  </si>
  <si>
    <t>咖啡机-柏翠旗舰店-平台流量-飞猪-飞猪旅游度假频道</t>
  </si>
  <si>
    <t>咖啡机-柏翠旗舰店-平台流量-飞猪-飞猪发现</t>
  </si>
  <si>
    <t>咖啡机-柏翠旗舰店-平台流量-飞猪-飞猪目的地</t>
  </si>
  <si>
    <t>咖啡机-柏翠旗舰店-平台流量-阿里妈妈权益会场-阿里妈妈超级惊喜站</t>
  </si>
  <si>
    <t>咖啡机-柏翠旗舰店-平台流量-阿里妈妈权益会场-阿里妈妈权益直补</t>
  </si>
  <si>
    <t>咖啡机-柏翠旗舰店-平台流量-飞猪-飞猪超级新发线</t>
  </si>
  <si>
    <t>咖啡机-柏翠旗舰店-平台流量-飞猪-飞猪会员中心</t>
  </si>
  <si>
    <t>咖啡机-柏翠旗舰店-平台流量-飞猪-飞猪行程</t>
  </si>
  <si>
    <t>咖啡机-柏翠旗舰店-平台流量-飞猪-飞猪福利中心</t>
  </si>
  <si>
    <t>咖啡机-柏翠旗舰店-平台流量-阿里妈妈权益会场-汇总</t>
  </si>
  <si>
    <t>咖啡机-柏翠旗舰店-平台流量-手淘发表评价-汇总</t>
  </si>
  <si>
    <t>咖啡机-柏翠旗舰店-平台流量-飞猪-飞猪其他</t>
  </si>
  <si>
    <t>咖啡机-柏翠旗舰店-平台流量-飞猪-飞猪旅行主题</t>
  </si>
  <si>
    <t>咖啡机-柏翠旗舰店-平台流量-飞猪-飞猪活动营销</t>
  </si>
  <si>
    <t>咖啡机-柏翠旗舰店-平台流量-飞猪-飞猪直播</t>
  </si>
  <si>
    <t>咖啡机-柏翠旗舰店-广告流量-汇总-汇总</t>
  </si>
  <si>
    <t>咖啡机-柏翠旗舰店-广告流量-效果广告-汇总</t>
  </si>
  <si>
    <t>咖啡机-柏翠旗舰店-广告流量-效果广告-万相台</t>
  </si>
  <si>
    <t>咖啡机-柏翠旗舰店-广告流量-效果广告-直通车</t>
  </si>
  <si>
    <t>咖啡机-柏翠旗舰店-广告流量-效果广告-引力魔方</t>
  </si>
  <si>
    <t>咖啡机-柏翠旗舰店-广告流量-站外广告-汇总</t>
  </si>
  <si>
    <t>咖啡机-柏翠旗舰店-广告流量-站外广告-淘宝客</t>
  </si>
  <si>
    <t>咖啡机-柏翠旗舰店-广告流量-品牌广告-汇总</t>
  </si>
  <si>
    <t>咖啡机-柏翠旗舰店-广告流量-品牌广告-品销宝- 明星店铺</t>
  </si>
  <si>
    <t>咖啡机-柏翠旗舰店-广告流量-内容广告-汇总</t>
  </si>
  <si>
    <t>咖啡机-柏翠旗舰店-广告流量-内容广告-超级短视频</t>
  </si>
  <si>
    <t>咖啡机-柏翠旗舰店-广告流量-站外广告-流量宝</t>
  </si>
  <si>
    <t>咖啡机-柏翠旗舰店-广告流量-内容广告-超级直播</t>
  </si>
  <si>
    <t>咖啡机-柏翠旗舰店-广告流量-站外广告-UD效果投放</t>
  </si>
  <si>
    <t>咖啡机-柏翠旗舰店-广告流量-品牌广告-品牌特秀</t>
  </si>
  <si>
    <t>咖啡机-柏翠旗舰店-广告流量-品牌广告-超级全域通</t>
  </si>
  <si>
    <t>咖啡机-柏翠旗舰店-广告流量-品牌广告-品销宝- 品牌专区</t>
  </si>
  <si>
    <t>咖啡机-柏翠旗舰店-广告流量-品牌广告-品牌定制</t>
  </si>
  <si>
    <t>咖啡机-柏翠旗舰店-广告流量-内容广告-短直联动</t>
  </si>
  <si>
    <t>咖啡机-柏翠旗舰店-广告流量-站外广告-UD品牌投放</t>
  </si>
  <si>
    <t>咖啡机-柏翠旗舰店-广告流量-品牌广告-Showmax</t>
  </si>
  <si>
    <t>咖啡机-格米莱旗舰店-平台流量-汇总-汇总</t>
  </si>
  <si>
    <t>咖啡机-格米莱旗舰店-平台流量-手淘搜索-汇总</t>
  </si>
  <si>
    <t>咖啡机-格米莱旗舰店-平台流量-手淘搜索-手淘搜索-商品及其他</t>
  </si>
  <si>
    <t>咖啡机-格米莱旗舰店-平台流量-购物车-汇总</t>
  </si>
  <si>
    <t>咖啡机-格米莱旗舰店-平台流量-我的淘宝-汇总</t>
  </si>
  <si>
    <t>咖啡机-格米莱旗舰店-平台流量-手淘淘宝直播-汇总</t>
  </si>
  <si>
    <t>咖啡机-格米莱旗舰店-平台流量-手淘推荐-汇总</t>
  </si>
  <si>
    <t>咖啡机-格米莱旗舰店-平台流量-淘内待分类-汇总</t>
  </si>
  <si>
    <t>咖啡机-格米莱旗舰店-平台流量-手淘旺信-汇总</t>
  </si>
  <si>
    <t>咖啡机-格米莱旗舰店-平台流量-天猫榜单-汇总</t>
  </si>
  <si>
    <t>咖啡机-格米莱旗舰店-平台流量-短视频全屏页上下滑-汇总</t>
  </si>
  <si>
    <t>咖啡机-格米莱旗舰店-平台流量-手淘推荐-其他猜你喜欢</t>
  </si>
  <si>
    <t>咖啡机-格米莱旗舰店-平台流量-逛逛-汇总</t>
  </si>
  <si>
    <t>咖啡机-格米莱旗舰店-平台流量-手淘其他店铺-汇总</t>
  </si>
  <si>
    <t>咖啡机-格米莱旗舰店-平台流量-手淘拍立淘-汇总</t>
  </si>
  <si>
    <t>咖啡机-格米莱旗舰店-平台流量-手淘推荐-首页推荐-微详情</t>
  </si>
  <si>
    <t>咖啡机-格米莱旗舰店-平台流量-手淘其他店铺-商品详情页头图推荐</t>
  </si>
  <si>
    <t>咖啡机-格米莱旗舰店-平台流量-天猫榜单-其他入口榜单</t>
  </si>
  <si>
    <t>咖啡机-格米莱旗舰店-平台流量-天猫榜单-商品详情页入口榜单</t>
  </si>
  <si>
    <t>咖啡机-格米莱旗舰店-平台流量-手机天猫-汇总</t>
  </si>
  <si>
    <t>咖啡机-格米莱旗舰店-平台流量-天猫榜单-搜索入口榜单</t>
  </si>
  <si>
    <t>咖啡机-格米莱旗舰店-平台流量-直接访问-汇总</t>
  </si>
  <si>
    <t>咖啡机-格米莱旗舰店-平台流量-一淘-汇总</t>
  </si>
  <si>
    <t>咖啡机-格米莱旗舰店-平台流量-淘口令分享-汇总</t>
  </si>
  <si>
    <t>咖啡机-格米莱旗舰店-平台流量-手机天猫-手机浏览器访问天猫</t>
  </si>
  <si>
    <t>咖啡机-格米莱旗舰店-平台流量-日常营销活动-汇总</t>
  </si>
  <si>
    <t>咖啡机-格米莱旗舰店-平台流量-手淘推荐-首页推荐-直播</t>
  </si>
  <si>
    <t>咖啡机-格米莱旗舰店-平台流量-手淘消息中心-汇总</t>
  </si>
  <si>
    <t>咖啡机-格米莱旗舰店-平台流量-手淘推荐-购后推荐</t>
  </si>
  <si>
    <t>咖啡机-格米莱旗舰店-平台流量-大促会场-汇总</t>
  </si>
  <si>
    <t>咖啡机-格米莱旗舰店-平台流量-淘外网站-汇总</t>
  </si>
  <si>
    <t>咖啡机-格米莱旗舰店-平台流量-手淘问大家-汇总</t>
  </si>
  <si>
    <t>咖啡机-格米莱旗舰店-平台流量-手淘搜索-手淘搜索-直播</t>
  </si>
  <si>
    <t>咖啡机-格米莱旗舰店-平台流量-手淘其他店铺-店铺超链</t>
  </si>
  <si>
    <t>咖啡机-格米莱旗舰店-平台流量-大促会场-主会场</t>
  </si>
  <si>
    <t>咖啡机-格米莱旗舰店-平台流量-手机天猫-手猫搜索</t>
  </si>
  <si>
    <t>咖啡机-格米莱旗舰店-平台流量-关注-汇总</t>
  </si>
  <si>
    <t>咖啡机-格米莱旗舰店-平台流量-淘宝好价-汇总</t>
  </si>
  <si>
    <t>咖啡机-格米莱旗舰店-平台流量-芭芭农场-汇总</t>
  </si>
  <si>
    <t>咖啡机-格米莱旗舰店-平台流量-闲鱼-汇总</t>
  </si>
  <si>
    <t>咖啡机-格米莱旗舰店-平台流量-大促会场-榜单会场</t>
  </si>
  <si>
    <t>咖啡机-格米莱旗舰店-平台流量-手机天猫-手猫首页</t>
  </si>
  <si>
    <t>咖啡机-格米莱旗舰店-平台流量-手淘搜索-手淘搜索-短视频</t>
  </si>
  <si>
    <t>咖啡机-格米莱旗舰店-平台流量-手淘推荐-购中推荐</t>
  </si>
  <si>
    <t>咖啡机-格米莱旗舰店-平台流量-手淘我的评价-汇总</t>
  </si>
  <si>
    <t>咖啡机-格米莱旗舰店-平台流量-手机天猫-手猫免费其他</t>
  </si>
  <si>
    <t>咖啡机-格米莱旗舰店-平台流量-天猫小黑盒-汇总</t>
  </si>
  <si>
    <t>咖啡机-格米莱旗舰店-平台流量-手机浏览器访问淘宝-汇总</t>
  </si>
  <si>
    <t>咖啡机-格米莱旗舰店-平台流量-手机天猫-手猫商品详情</t>
  </si>
  <si>
    <t>咖啡机-格米莱旗舰店-平台流量-手机天猫-手猫其他店铺</t>
  </si>
  <si>
    <t>咖啡机-格米莱旗舰店-平台流量-红包省钱卡-汇总</t>
  </si>
  <si>
    <t>咖啡机-格米莱旗舰店-平台流量-淘宝特价版-汇总</t>
  </si>
  <si>
    <t>咖啡机-格米莱旗舰店-平台流量-手淘推荐-首页推荐-短视频</t>
  </si>
  <si>
    <t>咖啡机-格米莱旗舰店-平台流量-88VIP频道-汇总</t>
  </si>
  <si>
    <t>咖啡机-格米莱旗舰店-平台流量-淘宝特价版-淘特搜索</t>
  </si>
  <si>
    <t>咖啡机-格米莱旗舰店-平台流量-手机天猫-手猫旺信聊天</t>
  </si>
  <si>
    <t>咖啡机-格米莱旗舰店-平台流量-淘宝跨境站点-汇总</t>
  </si>
  <si>
    <t>咖啡机-格米莱旗舰店-平台流量-手淘有好货-汇总</t>
  </si>
  <si>
    <t>咖啡机-格米莱旗舰店-平台流量-淘宝特价版-淘特推荐</t>
  </si>
  <si>
    <t>咖啡机-格米莱旗舰店-平台流量-手淘淘金币-汇总</t>
  </si>
  <si>
    <t>咖啡机-格米莱旗舰店-平台流量-淘宝特价版-淘特互动游戏</t>
  </si>
  <si>
    <t>咖啡机-格米莱旗舰店-平台流量-大促会场-热点会场</t>
  </si>
  <si>
    <t>咖啡机-格米莱旗舰店-平台流量-手机天猫-手猫消息中心</t>
  </si>
  <si>
    <t>咖啡机-格米莱旗舰店-平台流量-淘宝特价版-淘特其他渠道</t>
  </si>
  <si>
    <t>咖啡机-格米莱旗舰店-平台流量-每日好店-汇总</t>
  </si>
  <si>
    <t>咖啡机-格米莱旗舰店-平台流量-天猫关注-汇总</t>
  </si>
  <si>
    <t>咖啡机-格米莱旗舰店-平台流量-手淘推荐-推荐云主题</t>
  </si>
  <si>
    <t>咖啡机-格米莱旗舰店-平台流量-手淘充值-汇总</t>
  </si>
  <si>
    <t>咖啡机-格米莱旗舰店-平台流量-淘宝特价版-淘特自主访问</t>
  </si>
  <si>
    <t>咖啡机-格米莱旗舰店-平台流量-电视淘宝-汇总</t>
  </si>
  <si>
    <t>咖啡机-格米莱旗舰店-平台流量-阿里拍卖-汇总</t>
  </si>
  <si>
    <t>咖啡机-格米莱旗舰店-平台流量-手淘发表评价-汇总</t>
  </si>
  <si>
    <t>咖啡机-格米莱旗舰店-平台流量-天猫U先试用-汇总</t>
  </si>
  <si>
    <t>咖啡机-格米莱旗舰店-平台流量-阿里妈妈权益会场-经营计划流量反哺</t>
  </si>
  <si>
    <t>咖啡机-格米莱旗舰店-平台流量-百亿补贴-汇总</t>
  </si>
  <si>
    <t>咖啡机-格米莱旗舰店-平台流量-阿里妈妈权益会场-汇总</t>
  </si>
  <si>
    <t>咖啡机-格米莱旗舰店-平台流量-手淘收藏夹-汇总</t>
  </si>
  <si>
    <t>咖啡机-格米莱旗舰店-平台流量-手机天猫-手猫天猫国际</t>
  </si>
  <si>
    <t>咖啡机-格米莱旗舰店-平台流量-手机天猫-手猫扫码</t>
  </si>
  <si>
    <t>咖啡机-格米莱旗舰店-平台流量-飞猪-汇总</t>
  </si>
  <si>
    <t>咖啡机-格米莱旗舰店-平台流量-飞猪-飞猪首页</t>
  </si>
  <si>
    <t>咖啡机-格米莱旗舰店-平台流量-飞猪-飞猪频道</t>
  </si>
  <si>
    <t>咖啡机-格米莱旗舰店-平台流量-飞猪-飞猪搜索</t>
  </si>
  <si>
    <t>咖啡机-格米莱旗舰店-平台流量-飞猪-飞猪订单</t>
  </si>
  <si>
    <t>咖啡机-格米莱旗舰店-平台流量-手淘摇一摇-汇总</t>
  </si>
  <si>
    <t>咖啡机-格米莱旗舰店-平台流量-飞猪-飞猪特价</t>
  </si>
  <si>
    <t>咖啡机-格米莱旗舰店-平台流量-飞猪-飞猪卡券包</t>
  </si>
  <si>
    <t>咖啡机-格米莱旗舰店-平台流量-每平每屋-汇总</t>
  </si>
  <si>
    <t>咖啡机-格米莱旗舰店-平台流量-飞猪-飞猪福利中心</t>
  </si>
  <si>
    <t>咖啡机-格米莱旗舰店-平台流量-品牌福利中心-汇总</t>
  </si>
  <si>
    <t>咖啡机-格米莱旗舰店-平台流量-飞猪-飞猪会员中心</t>
  </si>
  <si>
    <t>咖啡机-格米莱旗舰店-平台流量-淘宝特价版-淘特官方补贴</t>
  </si>
  <si>
    <t>咖啡机-格米莱旗舰店-平台流量-淘宝特价版-淘特限时秒杀</t>
  </si>
  <si>
    <t>咖啡机-格米莱旗舰店-平台流量-飞猪-飞猪超级新发线</t>
  </si>
  <si>
    <t>咖啡机-格米莱旗舰店-平台流量-飞猪-飞猪目的地</t>
  </si>
  <si>
    <t>咖啡机-格米莱旗舰店-平台流量-手淘有好价-汇总</t>
  </si>
  <si>
    <t>咖啡机-格米莱旗舰店-平台流量-红包签到-汇总</t>
  </si>
  <si>
    <t>咖啡机-格米莱旗舰店-平台流量-聚划算会场-汇总</t>
  </si>
  <si>
    <t>咖啡机-格米莱旗舰店-平台流量-飞猪-飞猪行程</t>
  </si>
  <si>
    <t>咖啡机-格米莱旗舰店-平台流量-飞猪-飞猪发现</t>
  </si>
  <si>
    <t>咖啡机-格米莱旗舰店-平台流量-飞猪-飞猪旅游度假频道</t>
  </si>
  <si>
    <t>咖啡机-格米莱旗舰店-平台流量-领券中心-汇总</t>
  </si>
  <si>
    <t>咖啡机-格米莱旗舰店-平台流量-飞猪-飞猪出境游频道</t>
  </si>
  <si>
    <t>咖啡机-格米莱旗舰店-平台流量-飞猪-飞猪周边游频道</t>
  </si>
  <si>
    <t>咖啡机-格米莱旗舰店-平台流量-飞猪-飞猪酒店频道</t>
  </si>
  <si>
    <t>咖啡机-格米莱旗舰店-平台流量-飞猪-飞猪消息中心</t>
  </si>
  <si>
    <t>咖啡机-格米莱旗舰店-平台流量-飞猪-飞猪活动营销</t>
  </si>
  <si>
    <t>咖啡机-格米莱旗舰店-平台流量-飞猪-飞猪旅行主题</t>
  </si>
  <si>
    <t>咖啡机-格米莱旗舰店-平台流量-飞猪-飞猪直播</t>
  </si>
  <si>
    <t>咖啡机-格米莱旗舰店-平台流量-飞猪-飞猪内容其他</t>
  </si>
  <si>
    <t>咖啡机-格米莱旗舰店-平台流量-飞猪-飞猪其他</t>
  </si>
  <si>
    <t>咖啡机-格米莱旗舰店-平台流量-每平每屋频道-汇总</t>
  </si>
  <si>
    <t>咖啡机-格米莱旗舰店-平台流量-天猫超市-汇总</t>
  </si>
  <si>
    <t>咖啡机-格米莱旗舰店-平台流量-阿里妈妈权益会场-阿里妈妈权益直补</t>
  </si>
  <si>
    <t>咖啡机-格米莱旗舰店-平台流量-淘宝吃货-汇总</t>
  </si>
  <si>
    <t>咖啡机-格米莱旗舰店-平台流量-手淘分类导航-汇总</t>
  </si>
  <si>
    <t>咖啡机-格米莱旗舰店-平台流量-阿里妈妈权益会场-阿里妈妈超级惊喜站</t>
  </si>
  <si>
    <t>咖啡机-格米莱旗舰店-平台流量-淘宝神店榜-汇总</t>
  </si>
  <si>
    <t>咖啡机-格米莱旗舰店-平台流量-天猫超级品类日-汇总</t>
  </si>
  <si>
    <t>咖啡机-格米莱旗舰店-平台流量-手淘买家秀-汇总</t>
  </si>
  <si>
    <t>咖啡机-格米莱旗舰店-平台流量-品牌新享频道-汇总</t>
  </si>
  <si>
    <t>咖啡机-格米莱旗舰店-平台流量-盒马-汇总</t>
  </si>
  <si>
    <t>咖啡机-格米莱旗舰店-平台流量-手机天猫-手猫福利雷达</t>
  </si>
  <si>
    <t>咖啡机-格米莱旗舰店-平台流量-手机天猫-手猫新人频道</t>
  </si>
  <si>
    <t>咖啡机-格米莱旗舰店-平台流量-手机天猫-手猫开屏</t>
  </si>
  <si>
    <t>咖啡机-格米莱旗舰店-平台流量-手机天猫-手猫天猫好物</t>
  </si>
  <si>
    <t>咖啡机-格米莱旗舰店-平台流量-手机天猫-手猫私房红包</t>
  </si>
  <si>
    <t>咖啡机-格米莱旗舰店-平台流量-手机天猫-手猫天猫快抢购</t>
  </si>
  <si>
    <t>咖啡机-格米莱旗舰店-平台流量-大麦-汇总</t>
  </si>
  <si>
    <t>咖啡机-格米莱旗舰店-平台流量-淘工厂直营-汇总</t>
  </si>
  <si>
    <t>咖啡机-格米莱旗舰店-平台流量-天猫热点-汇总</t>
  </si>
  <si>
    <t>咖啡机-格米莱旗舰店-平台流量-大促会场-榜单会场-必买榜</t>
  </si>
  <si>
    <t>咖啡机-格米莱旗舰店-平台流量-天猫好房-汇总</t>
  </si>
  <si>
    <t>咖啡机-格米莱旗舰店-平台流量-淘鲜达-汇总</t>
  </si>
  <si>
    <t>咖啡机-格米莱旗舰店-平台流量-分享购物车活动-汇总</t>
  </si>
  <si>
    <t>咖啡机-格米莱旗舰店-平台流量-手淘汇吃-汇总</t>
  </si>
  <si>
    <t>咖啡机-格米莱旗舰店-平台流量-淘宝必逛-汇总</t>
  </si>
  <si>
    <t>咖啡机-格米莱旗舰店-平台流量-手淘品质穿搭-汇总</t>
  </si>
  <si>
    <t>咖啡机-格米莱旗舰店-平台流量-手淘天猫首页-汇总</t>
  </si>
  <si>
    <t>咖啡机-格米莱旗舰店-平台流量-手淘找相似-汇总</t>
  </si>
  <si>
    <t>咖啡机-格米莱旗舰店-平台流量-手淘游戏中心-汇总</t>
  </si>
  <si>
    <t>咖啡机-格米莱旗舰店-平台流量-全民寻宝-汇总</t>
  </si>
  <si>
    <t>咖啡机-格米莱旗舰店-平台流量-手淘极有家-汇总</t>
  </si>
  <si>
    <t>咖啡机-格米莱旗舰店-平台流量-手淘潮电街-汇总</t>
  </si>
  <si>
    <t>咖啡机-格米莱旗舰店-平台流量-手淘必买清单-汇总</t>
  </si>
  <si>
    <t>咖啡机-格米莱旗舰店-平台流量-手淘房产-汇总</t>
  </si>
  <si>
    <t>咖啡机-格米莱旗舰店-平台流量-手淘品牌街-汇总</t>
  </si>
  <si>
    <t>咖啡机-格米莱旗舰店-平台流量-手淘喵鲜生-汇总</t>
  </si>
  <si>
    <t>咖啡机-格米莱旗舰店-平台流量-手淘扫一扫-汇总</t>
  </si>
  <si>
    <t>咖啡机-格米莱旗舰店-平台流量-手淘买手圈-汇总</t>
  </si>
  <si>
    <t>咖啡机-格米莱旗舰店-平台流量-手淘会员俱乐部-汇总</t>
  </si>
  <si>
    <t>咖啡机-格米莱旗舰店-平台流量-手淘社区-汇总</t>
  </si>
  <si>
    <t>咖啡机-格米莱旗舰店-平台流量-手淘全球购频道-汇总</t>
  </si>
  <si>
    <t>咖啡机-格米莱旗舰店-平台流量-手淘天天特卖-汇总</t>
  </si>
  <si>
    <t>咖啡机-格米莱旗舰店-平台流量-有好货短视频-汇总</t>
  </si>
  <si>
    <t>咖啡机-格米莱旗舰店-平台流量-手淘每日新品-汇总</t>
  </si>
  <si>
    <t>咖啡机-格米莱旗舰店-平台流量-手淘天猫国际-汇总</t>
  </si>
  <si>
    <t>咖啡机-格米莱旗舰店-平台流量-手淘发现-汇总</t>
  </si>
  <si>
    <t>咖啡机-格米莱旗舰店-平台流量-有好货图文-汇总</t>
  </si>
  <si>
    <t>咖啡机-格米莱旗舰店-平台流量-手淘我的足迹-汇总</t>
  </si>
  <si>
    <t>咖啡机-格米莱旗舰店-平台流量-手淘确认订单-汇总</t>
  </si>
  <si>
    <t>咖啡机-格米莱旗舰店-平台流量-手淘红包卡券-汇总</t>
  </si>
  <si>
    <t>咖啡机-格米莱旗舰店-平台流量-手淘淘抢购-汇总</t>
  </si>
  <si>
    <t>咖啡机-格米莱旗舰店-平台流量-手淘首页-汇总</t>
  </si>
  <si>
    <t>咖啡机-格米莱旗舰店-平台流量-裂变券引流-汇总</t>
  </si>
  <si>
    <t>咖啡机-格米莱旗舰店-广告流量-汇总-汇总</t>
  </si>
  <si>
    <t>咖啡机-格米莱旗舰店-广告流量-效果广告-汇总</t>
  </si>
  <si>
    <t>咖啡机-格米莱旗舰店-广告流量-效果广告-万相台</t>
  </si>
  <si>
    <t>咖啡机-格米莱旗舰店-广告流量-内容广告-汇总</t>
  </si>
  <si>
    <t>咖啡机-格米莱旗舰店-广告流量-效果广告-引力魔方</t>
  </si>
  <si>
    <t>咖啡机-格米莱旗舰店-广告流量-内容广告-超级短视频</t>
  </si>
  <si>
    <t>咖啡机-格米莱旗舰店-广告流量-效果广告-直通车</t>
  </si>
  <si>
    <t>咖啡机-格米莱旗舰店-广告流量-站外广告-汇总</t>
  </si>
  <si>
    <t>咖啡机-格米莱旗舰店-广告流量-内容广告-超级直播</t>
  </si>
  <si>
    <t>咖啡机-格米莱旗舰店-广告流量-站外广告-淘宝客</t>
  </si>
  <si>
    <t>咖啡机-格米莱旗舰店-广告流量-品牌广告-汇总</t>
  </si>
  <si>
    <t>咖啡机-格米莱旗舰店-广告流量-品牌广告-品销宝- 明星店铺</t>
  </si>
  <si>
    <t>咖啡机-格米莱旗舰店-广告流量-内容广告-短直联动</t>
  </si>
  <si>
    <t>咖啡机-格米莱旗舰店-广告流量-站外广告-UD效果投放</t>
  </si>
  <si>
    <t>咖啡机-格米莱旗舰店-广告流量-站外广告-流量宝</t>
  </si>
  <si>
    <t>咖啡机-格米莱旗舰店-广告流量-品牌广告-超级全域通</t>
  </si>
  <si>
    <t>咖啡机-格米莱旗舰店-广告流量-品牌广告-品牌定制</t>
  </si>
  <si>
    <t>咖啡机-格米莱旗舰店-广告流量-品牌广告-品牌特秀</t>
  </si>
  <si>
    <t>咖啡机-格米莱旗舰店-广告流量-品牌广告-品销宝- 品牌专区</t>
  </si>
  <si>
    <t>咖啡机-格米莱旗舰店-广告流量-站外广告-UD品牌投放</t>
  </si>
  <si>
    <t>咖啡机-格米莱旗舰店-广告流量-品牌广告-Showmax</t>
  </si>
  <si>
    <t>咖啡机-飞利浦电器旗舰店-平台流量-汇总-汇总</t>
  </si>
  <si>
    <t>咖啡机-飞利浦电器旗舰店-平台流量-手淘搜索-汇总</t>
  </si>
  <si>
    <t>咖啡机-飞利浦电器旗舰店-平台流量-手淘搜索-手淘搜索-商品及其他</t>
  </si>
  <si>
    <t>咖啡机-飞利浦电器旗舰店-平台流量-手淘推荐-汇总</t>
  </si>
  <si>
    <t>咖啡机-飞利浦电器旗舰店-平台流量-手淘推荐-首页推荐-微详情</t>
  </si>
  <si>
    <t>咖啡机-飞利浦电器旗舰店-平台流量-购物车-汇总</t>
  </si>
  <si>
    <t>咖啡机-飞利浦电器旗舰店-平台流量-我的淘宝-汇总</t>
  </si>
  <si>
    <t>咖啡机-飞利浦电器旗舰店-平台流量-天猫榜单-汇总</t>
  </si>
  <si>
    <t>咖啡机-飞利浦电器旗舰店-平台流量-手淘淘宝直播-汇总</t>
  </si>
  <si>
    <t>咖啡机-飞利浦电器旗舰店-平台流量-手淘旺信-汇总</t>
  </si>
  <si>
    <t>咖啡机-飞利浦电器旗舰店-平台流量-手淘拍立淘-汇总</t>
  </si>
  <si>
    <t>咖啡机-飞利浦电器旗舰店-平台流量-淘内待分类-汇总</t>
  </si>
  <si>
    <t>咖啡机-飞利浦电器旗舰店-平台流量-短视频全屏页上下滑-汇总</t>
  </si>
  <si>
    <t>咖啡机-飞利浦电器旗舰店-平台流量-手淘推荐-其他猜你喜欢</t>
  </si>
  <si>
    <t>咖啡机-飞利浦电器旗舰店-平台流量-天猫榜单-其他入口榜单</t>
  </si>
  <si>
    <t>咖啡机-飞利浦电器旗舰店-平台流量-手淘搜索-手淘搜索-直播</t>
  </si>
  <si>
    <t>咖啡机-飞利浦电器旗舰店-平台流量-手机天猫-汇总</t>
  </si>
  <si>
    <t>咖啡机-飞利浦电器旗舰店-平台流量-手淘其他店铺-汇总</t>
  </si>
  <si>
    <t>咖啡机-飞利浦电器旗舰店-平台流量-手淘其他店铺-商品详情页头图推荐</t>
  </si>
  <si>
    <t>咖啡机-飞利浦电器旗舰店-平台流量-天猫榜单-商品详情页入口榜单</t>
  </si>
  <si>
    <t>咖啡机-飞利浦电器旗舰店-平台流量-天猫榜单-搜索入口榜单</t>
  </si>
  <si>
    <t>咖啡机-飞利浦电器旗舰店-平台流量-手机天猫-手猫搜索</t>
  </si>
  <si>
    <t>咖啡机-飞利浦电器旗舰店-平台流量-大促会场-汇总</t>
  </si>
  <si>
    <t>咖啡机-飞利浦电器旗舰店-平台流量-日常营销活动-汇总</t>
  </si>
  <si>
    <t>咖啡机-飞利浦电器旗舰店-平台流量-淘口令分享-汇总</t>
  </si>
  <si>
    <t>咖啡机-飞利浦电器旗舰店-平台流量-淘外网站-汇总</t>
  </si>
  <si>
    <t>咖啡机-飞利浦电器旗舰店-平台流量-一淘-汇总</t>
  </si>
  <si>
    <t>咖啡机-飞利浦电器旗舰店-平台流量-大促会场-榜单会场</t>
  </si>
  <si>
    <t>咖啡机-飞利浦电器旗舰店-平台流量-手淘消息中心-汇总</t>
  </si>
  <si>
    <t>咖啡机-飞利浦电器旗舰店-平台流量-大促会场-主会场</t>
  </si>
  <si>
    <t>咖啡机-飞利浦电器旗舰店-平台流量-手淘问大家-汇总</t>
  </si>
  <si>
    <t>咖啡机-飞利浦电器旗舰店-平台流量-手机浏览器访问淘宝-汇总</t>
  </si>
  <si>
    <t>咖啡机-飞利浦电器旗舰店-平台流量-手机天猫-手猫首页</t>
  </si>
  <si>
    <t>咖啡机-飞利浦电器旗舰店-平台流量-逛逛-汇总</t>
  </si>
  <si>
    <t>咖啡机-飞利浦电器旗舰店-平台流量-手淘推荐-首页推荐-直播</t>
  </si>
  <si>
    <t>咖啡机-飞利浦电器旗舰店-平台流量-淘宝好价-汇总</t>
  </si>
  <si>
    <t>咖啡机-飞利浦电器旗舰店-平台流量-手淘推荐-购后推荐</t>
  </si>
  <si>
    <t>咖啡机-飞利浦电器旗舰店-平台流量-聚划算会场-汇总</t>
  </si>
  <si>
    <t>咖啡机-飞利浦电器旗舰店-平台流量-直接访问-汇总</t>
  </si>
  <si>
    <t>咖啡机-飞利浦电器旗舰店-平台流量-手机天猫-手猫商品详情</t>
  </si>
  <si>
    <t>咖啡机-飞利浦电器旗舰店-平台流量-手淘其他店铺-店铺超链</t>
  </si>
  <si>
    <t>咖啡机-飞利浦电器旗舰店-平台流量-手淘搜索-手淘搜索-短视频</t>
  </si>
  <si>
    <t>咖啡机-飞利浦电器旗舰店-平台流量-芭芭农场-汇总</t>
  </si>
  <si>
    <t>咖啡机-飞利浦电器旗舰店-平台流量-闲鱼-汇总</t>
  </si>
  <si>
    <t>咖啡机-飞利浦电器旗舰店-平台流量-手机天猫-手猫免费其他</t>
  </si>
  <si>
    <t>咖啡机-飞利浦电器旗舰店-平台流量-淘宝特价版-汇总</t>
  </si>
  <si>
    <t>咖啡机-飞利浦电器旗舰店-平台流量-关注-汇总</t>
  </si>
  <si>
    <t>咖啡机-飞利浦电器旗舰店-平台流量-手机天猫-手机浏览器访问天猫</t>
  </si>
  <si>
    <t>咖啡机-飞利浦电器旗舰店-平台流量-淘宝特价版-淘特搜索</t>
  </si>
  <si>
    <t>咖啡机-飞利浦电器旗舰店-平台流量-手淘我的评价-汇总</t>
  </si>
  <si>
    <t>咖啡机-飞利浦电器旗舰店-平台流量-手淘推荐-首页推荐-短视频</t>
  </si>
  <si>
    <t>咖啡机-飞利浦电器旗舰店-平台流量-淘宝特价版-淘特推荐</t>
  </si>
  <si>
    <t>咖啡机-飞利浦电器旗舰店-平台流量-手机天猫-手猫其他店铺</t>
  </si>
  <si>
    <t>咖啡机-飞利浦电器旗舰店-平台流量-天猫小黑盒-汇总</t>
  </si>
  <si>
    <t>咖啡机-飞利浦电器旗舰店-平台流量-阿里妈妈权益会场-阿里妈妈超级惊喜站</t>
  </si>
  <si>
    <t>咖啡机-飞利浦电器旗舰店-平台流量-阿里妈妈权益会场-汇总</t>
  </si>
  <si>
    <t>咖啡机-飞利浦电器旗舰店-平台流量-88VIP频道-汇总</t>
  </si>
  <si>
    <t>咖啡机-飞利浦电器旗舰店-平台流量-大促会场-热点会场</t>
  </si>
  <si>
    <t>咖啡机-飞利浦电器旗舰店-平台流量-手淘推荐-购中推荐</t>
  </si>
  <si>
    <t>咖啡机-飞利浦电器旗舰店-平台流量-手机天猫-手猫旺信聊天</t>
  </si>
  <si>
    <t>咖啡机-飞利浦电器旗舰店-平台流量-手淘有好货-汇总</t>
  </si>
  <si>
    <t>咖啡机-飞利浦电器旗舰店-平台流量-红包省钱卡-汇总</t>
  </si>
  <si>
    <t>咖啡机-飞利浦电器旗舰店-平台流量-淘宝跨境站点-汇总</t>
  </si>
  <si>
    <t>咖啡机-飞利浦电器旗舰店-平台流量-天猫关注-汇总</t>
  </si>
  <si>
    <t>咖啡机-飞利浦电器旗舰店-平台流量-淘宝特价版-淘特自主访问</t>
  </si>
  <si>
    <t>咖啡机-飞利浦电器旗舰店-平台流量-电视淘宝-汇总</t>
  </si>
  <si>
    <t>咖啡机-飞利浦电器旗舰店-平台流量-淘宝特价版-淘特其他渠道</t>
  </si>
  <si>
    <t>咖啡机-飞利浦电器旗舰店-平台流量-手淘充值-汇总</t>
  </si>
  <si>
    <t>咖啡机-飞利浦电器旗舰店-平台流量-手机天猫-手猫消息中心</t>
  </si>
  <si>
    <t>咖啡机-飞利浦电器旗舰店-平台流量-阿里拍卖-汇总</t>
  </si>
  <si>
    <t>咖啡机-飞利浦电器旗舰店-平台流量-飞猪-飞猪特价</t>
  </si>
  <si>
    <t>咖啡机-飞利浦电器旗舰店-平台流量-红包签到-汇总</t>
  </si>
  <si>
    <t>咖啡机-飞利浦电器旗舰店-平台流量-领券中心-汇总</t>
  </si>
  <si>
    <t>咖啡机-飞利浦电器旗舰店-平台流量-每平每屋频道-汇总</t>
  </si>
  <si>
    <t>咖啡机-飞利浦电器旗舰店-平台流量-淘宝吃货-汇总</t>
  </si>
  <si>
    <t>咖啡机-飞利浦电器旗舰店-平台流量-天猫超级品类日-汇总</t>
  </si>
  <si>
    <t>咖啡机-飞利浦电器旗舰店-平台流量-手淘买家秀-汇总</t>
  </si>
  <si>
    <t>咖啡机-飞利浦电器旗舰店-平台流量-手淘摇一摇-汇总</t>
  </si>
  <si>
    <t>咖啡机-飞利浦电器旗舰店-平台流量-裂变券引流-汇总</t>
  </si>
  <si>
    <t>咖啡机-飞利浦电器旗舰店-平台流量-淘宝特价版-淘特互动游戏</t>
  </si>
  <si>
    <t>咖啡机-飞利浦电器旗舰店-平台流量-淘宝特价版-淘特官方补贴</t>
  </si>
  <si>
    <t>咖啡机-飞利浦电器旗舰店-平台流量-淘宝特价版-淘特限时秒杀</t>
  </si>
  <si>
    <t>咖啡机-飞利浦电器旗舰店-平台流量-品牌福利中心-汇总</t>
  </si>
  <si>
    <t>咖啡机-飞利浦电器旗舰店-平台流量-每平每屋-汇总</t>
  </si>
  <si>
    <t>咖啡机-飞利浦电器旗舰店-平台流量-百亿补贴-汇总</t>
  </si>
  <si>
    <t>咖啡机-飞利浦电器旗舰店-平台流量-手淘推荐-推荐云主题</t>
  </si>
  <si>
    <t>咖啡机-飞利浦电器旗舰店-平台流量-品牌新享频道-汇总</t>
  </si>
  <si>
    <t>咖啡机-飞利浦电器旗舰店-平台流量-手淘分类导航-汇总</t>
  </si>
  <si>
    <t>咖啡机-飞利浦电器旗舰店-平台流量-手淘有好价-汇总</t>
  </si>
  <si>
    <t>咖啡机-飞利浦电器旗舰店-平台流量-天猫超市-汇总</t>
  </si>
  <si>
    <t>咖啡机-飞利浦电器旗舰店-平台流量-盒马-汇总</t>
  </si>
  <si>
    <t>咖啡机-飞利浦电器旗舰店-平台流量-大麦-汇总</t>
  </si>
  <si>
    <t>咖啡机-飞利浦电器旗舰店-平台流量-淘工厂直营-汇总</t>
  </si>
  <si>
    <t>咖啡机-飞利浦电器旗舰店-平台流量-天猫热点-汇总</t>
  </si>
  <si>
    <t>咖啡机-飞利浦电器旗舰店-平台流量-天猫好房-汇总</t>
  </si>
  <si>
    <t>咖啡机-飞利浦电器旗舰店-平台流量-淘鲜达-汇总</t>
  </si>
  <si>
    <t>咖啡机-飞利浦电器旗舰店-平台流量-分享购物车活动-汇总</t>
  </si>
  <si>
    <t>咖啡机-飞利浦电器旗舰店-平台流量-淘宝必逛-汇总</t>
  </si>
  <si>
    <t>咖啡机-飞利浦电器旗舰店-平台流量-全民寻宝-汇总</t>
  </si>
  <si>
    <t>咖啡机-飞利浦电器旗舰店-平台流量-有好货短视频-汇总</t>
  </si>
  <si>
    <t>咖啡机-飞利浦电器旗舰店-平台流量-有好货图文-汇总</t>
  </si>
  <si>
    <t>咖啡机-飞利浦电器旗舰店-平台流量-手淘首页-汇总</t>
  </si>
  <si>
    <t>咖啡机-飞利浦电器旗舰店-平台流量-手淘收藏夹-汇总</t>
  </si>
  <si>
    <t>咖啡机-飞利浦电器旗舰店-平台流量-手淘淘抢购-汇总</t>
  </si>
  <si>
    <t>咖啡机-飞利浦电器旗舰店-平台流量-手淘红包卡券-汇总</t>
  </si>
  <si>
    <t>咖啡机-飞利浦电器旗舰店-平台流量-每日好店-汇总</t>
  </si>
  <si>
    <t>咖啡机-飞利浦电器旗舰店-平台流量-手淘确认订单-汇总</t>
  </si>
  <si>
    <t>咖啡机-飞利浦电器旗舰店-平台流量-手淘我的足迹-汇总</t>
  </si>
  <si>
    <t>咖啡机-飞利浦电器旗舰店-平台流量-手淘发现-汇总</t>
  </si>
  <si>
    <t>咖啡机-飞利浦电器旗舰店-平台流量-手淘天猫国际-汇总</t>
  </si>
  <si>
    <t>咖啡机-飞利浦电器旗舰店-平台流量-手淘每日新品-汇总</t>
  </si>
  <si>
    <t>咖啡机-飞利浦电器旗舰店-平台流量-手淘淘金币-汇总</t>
  </si>
  <si>
    <t>咖啡机-飞利浦电器旗舰店-平台流量-手淘天天特卖-汇总</t>
  </si>
  <si>
    <t>咖啡机-飞利浦电器旗舰店-平台流量-手淘全球购频道-汇总</t>
  </si>
  <si>
    <t>咖啡机-飞利浦电器旗舰店-平台流量-手淘社区-汇总</t>
  </si>
  <si>
    <t>咖啡机-飞利浦电器旗舰店-平台流量-天猫U先试用-汇总</t>
  </si>
  <si>
    <t>咖啡机-飞利浦电器旗舰店-平台流量-手淘会员俱乐部-汇总</t>
  </si>
  <si>
    <t>咖啡机-飞利浦电器旗舰店-平台流量-手淘买手圈-汇总</t>
  </si>
  <si>
    <t>咖啡机-飞利浦电器旗舰店-平台流量-手淘扫一扫-汇总</t>
  </si>
  <si>
    <t>咖啡机-飞利浦电器旗舰店-平台流量-手淘喵鲜生-汇总</t>
  </si>
  <si>
    <t>咖啡机-飞利浦电器旗舰店-平台流量-手淘品牌街-汇总</t>
  </si>
  <si>
    <t>咖啡机-飞利浦电器旗舰店-平台流量-手淘房产-汇总</t>
  </si>
  <si>
    <t>咖啡机-飞利浦电器旗舰店-平台流量-手淘必买清单-汇总</t>
  </si>
  <si>
    <t>咖啡机-飞利浦电器旗舰店-平台流量-手淘潮电街-汇总</t>
  </si>
  <si>
    <t>咖啡机-飞利浦电器旗舰店-平台流量-手淘极有家-汇总</t>
  </si>
  <si>
    <t>咖啡机-飞利浦电器旗舰店-平台流量-手淘发表评价-汇总</t>
  </si>
  <si>
    <t>咖啡机-飞利浦电器旗舰店-平台流量-手淘游戏中心-汇总</t>
  </si>
  <si>
    <t>咖啡机-飞利浦电器旗舰店-平台流量-手淘找相似-汇总</t>
  </si>
  <si>
    <t>咖啡机-飞利浦电器旗舰店-平台流量-手淘天猫首页-汇总</t>
  </si>
  <si>
    <t>咖啡机-飞利浦电器旗舰店-平台流量-手淘品质穿搭-汇总</t>
  </si>
  <si>
    <t>咖啡机-飞利浦电器旗舰店-平台流量-手淘汇吃-汇总</t>
  </si>
  <si>
    <t>咖啡机-飞利浦电器旗舰店-平台流量-大促会场-榜单会场-必买榜</t>
  </si>
  <si>
    <t>咖啡机-飞利浦电器旗舰店-平台流量-手机天猫-手猫天猫快抢购</t>
  </si>
  <si>
    <t>咖啡机-飞利浦电器旗舰店-平台流量-手机天猫-手猫私房红包</t>
  </si>
  <si>
    <t>咖啡机-飞利浦电器旗舰店-平台流量-手机天猫-手猫天猫好物</t>
  </si>
  <si>
    <t>咖啡机-飞利浦电器旗舰店-平台流量-手机天猫-手猫开屏</t>
  </si>
  <si>
    <t>咖啡机-飞利浦电器旗舰店-平台流量-手机天猫-手猫新人频道</t>
  </si>
  <si>
    <t>咖啡机-飞利浦电器旗舰店-平台流量-手机天猫-手猫福利雷达</t>
  </si>
  <si>
    <t>咖啡机-飞利浦电器旗舰店-平台流量-手机天猫-手猫天猫国际</t>
  </si>
  <si>
    <t>咖啡机-飞利浦电器旗舰店-平台流量-手机天猫-手猫扫码</t>
  </si>
  <si>
    <t>咖啡机-飞利浦电器旗舰店-平台流量-飞猪-汇总</t>
  </si>
  <si>
    <t>咖啡机-飞利浦电器旗舰店-平台流量-飞猪-飞猪首页</t>
  </si>
  <si>
    <t>咖啡机-飞利浦电器旗舰店-平台流量-飞猪-飞猪频道</t>
  </si>
  <si>
    <t>咖啡机-飞利浦电器旗舰店-平台流量-飞猪-飞猪搜索</t>
  </si>
  <si>
    <t>咖啡机-飞利浦电器旗舰店-平台流量-飞猪-飞猪订单</t>
  </si>
  <si>
    <t>咖啡机-飞利浦电器旗舰店-平台流量-飞猪-飞猪卡券包</t>
  </si>
  <si>
    <t>咖啡机-飞利浦电器旗舰店-平台流量-飞猪-飞猪福利中心</t>
  </si>
  <si>
    <t>咖啡机-飞利浦电器旗舰店-平台流量-飞猪-飞猪会员中心</t>
  </si>
  <si>
    <t>咖啡机-飞利浦电器旗舰店-平台流量-飞猪-飞猪超级新发线</t>
  </si>
  <si>
    <t>咖啡机-飞利浦电器旗舰店-平台流量-飞猪-飞猪目的地</t>
  </si>
  <si>
    <t>咖啡机-飞利浦电器旗舰店-平台流量-飞猪-飞猪行程</t>
  </si>
  <si>
    <t>咖啡机-飞利浦电器旗舰店-平台流量-飞猪-飞猪发现</t>
  </si>
  <si>
    <t>咖啡机-飞利浦电器旗舰店-平台流量-飞猪-飞猪旅游度假频道</t>
  </si>
  <si>
    <t>咖啡机-飞利浦电器旗舰店-平台流量-飞猪-飞猪出境游频道</t>
  </si>
  <si>
    <t>咖啡机-飞利浦电器旗舰店-平台流量-飞猪-飞猪周边游频道</t>
  </si>
  <si>
    <t>咖啡机-飞利浦电器旗舰店-平台流量-飞猪-飞猪酒店频道</t>
  </si>
  <si>
    <t>咖啡机-飞利浦电器旗舰店-平台流量-飞猪-飞猪消息中心</t>
  </si>
  <si>
    <t>咖啡机-飞利浦电器旗舰店-平台流量-飞猪-飞猪活动营销</t>
  </si>
  <si>
    <t>咖啡机-飞利浦电器旗舰店-平台流量-飞猪-飞猪旅行主题</t>
  </si>
  <si>
    <t>咖啡机-飞利浦电器旗舰店-平台流量-飞猪-飞猪直播</t>
  </si>
  <si>
    <t>咖啡机-飞利浦电器旗舰店-平台流量-飞猪-飞猪内容其他</t>
  </si>
  <si>
    <t>咖啡机-飞利浦电器旗舰店-平台流量-飞猪-飞猪其他</t>
  </si>
  <si>
    <t>咖啡机-飞利浦电器旗舰店-平台流量-阿里妈妈权益会场-阿里妈妈权益直补</t>
  </si>
  <si>
    <t>咖啡机-飞利浦电器旗舰店-平台流量-阿里妈妈权益会场-经营计划流量反哺</t>
  </si>
  <si>
    <t>咖啡机-飞利浦电器旗舰店-平台流量-淘宝神店榜-汇总</t>
  </si>
  <si>
    <t>咖啡机-飞利浦电器旗舰店-广告流量-汇总-汇总</t>
  </si>
  <si>
    <t>咖啡机-飞利浦电器旗舰店-广告流量-效果广告-汇总</t>
  </si>
  <si>
    <t>咖啡机-飞利浦电器旗舰店-广告流量-站外广告-汇总</t>
  </si>
  <si>
    <t>咖啡机-飞利浦电器旗舰店-广告流量-站外广告-淘宝客</t>
  </si>
  <si>
    <t>咖啡机-飞利浦电器旗舰店-广告流量-效果广告-万相台</t>
  </si>
  <si>
    <t>咖啡机-飞利浦电器旗舰店-广告流量-效果广告-引力魔方</t>
  </si>
  <si>
    <t>咖啡机-飞利浦电器旗舰店-广告流量-效果广告-直通车</t>
  </si>
  <si>
    <t>咖啡机-飞利浦电器旗舰店-广告流量-品牌广告-汇总</t>
  </si>
  <si>
    <t>咖啡机-飞利浦电器旗舰店-广告流量-品牌广告-品销宝- 品牌专区</t>
  </si>
  <si>
    <t>咖啡机-飞利浦电器旗舰店-广告流量-内容广告-汇总</t>
  </si>
  <si>
    <t>咖啡机-飞利浦电器旗舰店-广告流量-站外广告-流量宝</t>
  </si>
  <si>
    <t>咖啡机-飞利浦电器旗舰店-广告流量-内容广告-超级直播</t>
  </si>
  <si>
    <t>咖啡机-飞利浦电器旗舰店-广告流量-内容广告-超级短视频</t>
  </si>
  <si>
    <t>咖啡机-飞利浦电器旗舰店-广告流量-站外广告-UD效果投放</t>
  </si>
  <si>
    <t>咖啡机-飞利浦电器旗舰店-广告流量-品牌广告-超级全域通</t>
  </si>
  <si>
    <t>咖啡机-飞利浦电器旗舰店-广告流量-品牌广告-品牌定制</t>
  </si>
  <si>
    <t>咖啡机-飞利浦电器旗舰店-广告流量-内容广告-短直联动</t>
  </si>
  <si>
    <t>咖啡机-飞利浦电器旗舰店-广告流量-站外广告-UD品牌投放</t>
  </si>
  <si>
    <t>咖啡机-飞利浦电器旗舰店-广告流量-品牌广告-品销宝- 明星店铺</t>
  </si>
  <si>
    <t>咖啡机-飞利浦电器旗舰店-广告流量-品牌广告-Showmax</t>
  </si>
  <si>
    <t>咖啡机-飞利浦电器旗舰店-广告流量-品牌广告-品牌特秀</t>
  </si>
  <si>
    <t>胶囊咖啡-Dolce Gusto官方旗舰店-平台流量-汇总-汇总</t>
  </si>
  <si>
    <t>胶囊咖啡-Dolce Gusto官方旗舰店-平台流量-购物车-汇总</t>
  </si>
  <si>
    <t>胶囊咖啡-Dolce Gusto官方旗舰店-平台流量-我的淘宝-汇总</t>
  </si>
  <si>
    <t>胶囊咖啡-Dolce Gusto官方旗舰店-平台流量-手淘搜索-汇总</t>
  </si>
  <si>
    <t>胶囊咖啡-Dolce Gusto官方旗舰店-平台流量-手淘搜索-手淘搜索-商品及其他</t>
  </si>
  <si>
    <t>胶囊咖啡-Dolce Gusto官方旗舰店-平台流量-淘内待分类-汇总</t>
  </si>
  <si>
    <t>胶囊咖啡-Dolce Gusto官方旗舰店-平台流量-手淘旺信-汇总</t>
  </si>
  <si>
    <t>胶囊咖啡-Dolce Gusto官方旗舰店-平台流量-手淘推荐-汇总</t>
  </si>
  <si>
    <t>胶囊咖啡-Dolce Gusto官方旗舰店-平台流量-手淘淘宝直播-汇总</t>
  </si>
  <si>
    <t>胶囊咖啡-Dolce Gusto官方旗舰店-平台流量-手淘拍立淘-汇总</t>
  </si>
  <si>
    <t>胶囊咖啡-Dolce Gusto官方旗舰店-平台流量-一淘-汇总</t>
  </si>
  <si>
    <t>胶囊咖啡-Dolce Gusto官方旗舰店-平台流量-手淘推荐-其他猜你喜欢</t>
  </si>
  <si>
    <t>胶囊咖啡-Dolce Gusto官方旗舰店-平台流量-日常营销活动-汇总</t>
  </si>
  <si>
    <t>胶囊咖啡-Dolce Gusto官方旗舰店-平台流量-手淘其他店铺-汇总</t>
  </si>
  <si>
    <t>胶囊咖啡-Dolce Gusto官方旗舰店-平台流量-手淘推荐-首页推荐-微详情</t>
  </si>
  <si>
    <t>胶囊咖啡-Dolce Gusto官方旗舰店-平台流量-天猫榜单-汇总</t>
  </si>
  <si>
    <t>胶囊咖啡-Dolce Gusto官方旗舰店-平台流量-手机天猫-汇总</t>
  </si>
  <si>
    <t>胶囊咖啡-Dolce Gusto官方旗舰店-平台流量-关注-汇总</t>
  </si>
  <si>
    <t>胶囊咖啡-Dolce Gusto官方旗舰店-平台流量-淘口令分享-汇总</t>
  </si>
  <si>
    <t>胶囊咖啡-Dolce Gusto官方旗舰店-平台流量-大促会场-汇总</t>
  </si>
  <si>
    <t>胶囊咖啡-Dolce Gusto官方旗舰店-平台流量-手淘其他店铺-商品详情页头图推荐</t>
  </si>
  <si>
    <t>胶囊咖啡-Dolce Gusto官方旗舰店-平台流量-手淘搜索-手淘搜索-直播</t>
  </si>
  <si>
    <t>胶囊咖啡-Dolce Gusto官方旗舰店-平台流量-手淘推荐-首页推荐-直播</t>
  </si>
  <si>
    <t>胶囊咖啡-Dolce Gusto官方旗舰店-平台流量-手淘消息中心-汇总</t>
  </si>
  <si>
    <t>胶囊咖啡-Dolce Gusto官方旗舰店-平台流量-手淘其他店铺-店铺超链</t>
  </si>
  <si>
    <t>胶囊咖啡-Dolce Gusto官方旗舰店-平台流量-大促会场-主会场</t>
  </si>
  <si>
    <t>胶囊咖啡-Dolce Gusto官方旗舰店-平台流量-手机天猫-手猫搜索</t>
  </si>
  <si>
    <t>胶囊咖啡-Dolce Gusto官方旗舰店-平台流量-天猫榜单-商品详情页入口榜单</t>
  </si>
  <si>
    <t>胶囊咖啡-Dolce Gusto官方旗舰店-平台流量-天猫榜单-其他入口榜单</t>
  </si>
  <si>
    <t>胶囊咖啡-Dolce Gusto官方旗舰店-平台流量-天猫榜单-搜索入口榜单</t>
  </si>
  <si>
    <t>胶囊咖啡-Dolce Gusto官方旗舰店-平台流量-芭芭农场-汇总</t>
  </si>
  <si>
    <t>胶囊咖啡-Dolce Gusto官方旗舰店-平台流量-淘外网站-汇总</t>
  </si>
  <si>
    <t>胶囊咖啡-Dolce Gusto官方旗舰店-平台流量-手淘问大家-汇总</t>
  </si>
  <si>
    <t>胶囊咖啡-Dolce Gusto官方旗舰店-平台流量-短视频全屏页上下滑-汇总</t>
  </si>
  <si>
    <t>胶囊咖啡-Dolce Gusto官方旗舰店-平台流量-手机天猫-手猫其他店铺</t>
  </si>
  <si>
    <t>胶囊咖啡-Dolce Gusto官方旗舰店-平台流量-手机天猫-手猫免费其他</t>
  </si>
  <si>
    <t>胶囊咖啡-Dolce Gusto官方旗舰店-平台流量-手机浏览器访问淘宝-汇总</t>
  </si>
  <si>
    <t>胶囊咖啡-Dolce Gusto官方旗舰店-平台流量-大促会场-榜单会场</t>
  </si>
  <si>
    <t>胶囊咖啡-Dolce Gusto官方旗舰店-平台流量-手淘推荐-购后推荐</t>
  </si>
  <si>
    <t>胶囊咖啡-Dolce Gusto官方旗舰店-平台流量-手机天猫-手猫首页</t>
  </si>
  <si>
    <t>胶囊咖啡-Dolce Gusto官方旗舰店-平台流量-手机天猫-手猫商品详情</t>
  </si>
  <si>
    <t>胶囊咖啡-Dolce Gusto官方旗舰店-平台流量-手淘搜索-手淘搜索-短视频</t>
  </si>
  <si>
    <t>胶囊咖啡-Dolce Gusto官方旗舰店-平台流量-淘宝好价-汇总</t>
  </si>
  <si>
    <t>胶囊咖啡-Dolce Gusto官方旗舰店-平台流量-直接访问-汇总</t>
  </si>
  <si>
    <t>胶囊咖啡-Dolce Gusto官方旗舰店-平台流量-裂变券引流-汇总</t>
  </si>
  <si>
    <t>胶囊咖啡-Dolce Gusto官方旗舰店-平台流量-逛逛-汇总</t>
  </si>
  <si>
    <t>胶囊咖啡-Dolce Gusto官方旗舰店-平台流量-手淘推荐-购中推荐</t>
  </si>
  <si>
    <t>胶囊咖啡-Dolce Gusto官方旗舰店-平台流量-闲鱼-汇总</t>
  </si>
  <si>
    <t>胶囊咖啡-Dolce Gusto官方旗舰店-平台流量-手机天猫-手猫旺信聊天</t>
  </si>
  <si>
    <t>胶囊咖啡-Dolce Gusto官方旗舰店-平台流量-手机天猫-手机浏览器访问天猫</t>
  </si>
  <si>
    <t>胶囊咖啡-Dolce Gusto官方旗舰店-平台流量-淘宝特价版-汇总</t>
  </si>
  <si>
    <t>胶囊咖啡-Dolce Gusto官方旗舰店-平台流量-大促会场-热点会场</t>
  </si>
  <si>
    <t>胶囊咖啡-Dolce Gusto官方旗舰店-平台流量-88VIP频道-汇总</t>
  </si>
  <si>
    <t>胶囊咖啡-Dolce Gusto官方旗舰店-平台流量-红包省钱卡-汇总</t>
  </si>
  <si>
    <t>胶囊咖啡-Dolce Gusto官方旗舰店-平台流量-淘宝跨境站点-汇总</t>
  </si>
  <si>
    <t>胶囊咖啡-Dolce Gusto官方旗舰店-平台流量-百亿补贴-汇总</t>
  </si>
  <si>
    <t>胶囊咖啡-Dolce Gusto官方旗舰店-平台流量-淘宝特价版-淘特其他渠道</t>
  </si>
  <si>
    <t>胶囊咖啡-Dolce Gusto官方旗舰店-平台流量-天猫关注-汇总</t>
  </si>
  <si>
    <t>胶囊咖啡-Dolce Gusto官方旗舰店-平台流量-每日好店-汇总</t>
  </si>
  <si>
    <t>胶囊咖啡-Dolce Gusto官方旗舰店-平台流量-手淘我的评价-汇总</t>
  </si>
  <si>
    <t>胶囊咖啡-Dolce Gusto官方旗舰店-平台流量-淘宝特价版-淘特互动游戏</t>
  </si>
  <si>
    <t>胶囊咖啡-Dolce Gusto官方旗舰店-平台流量-手淘有好货-汇总</t>
  </si>
  <si>
    <t>胶囊咖啡-Dolce Gusto官方旗舰店-平台流量-手淘充值-汇总</t>
  </si>
  <si>
    <t>胶囊咖啡-Dolce Gusto官方旗舰店-平台流量-手淘推荐-首页推荐-短视频</t>
  </si>
  <si>
    <t>胶囊咖啡-Dolce Gusto官方旗舰店-平台流量-手淘淘金币-汇总</t>
  </si>
  <si>
    <t>胶囊咖啡-Dolce Gusto官方旗舰店-平台流量-淘宝特价版-淘特自主访问</t>
  </si>
  <si>
    <t>胶囊咖啡-Dolce Gusto官方旗舰店-平台流量-淘宝特价版-淘特推荐</t>
  </si>
  <si>
    <t>胶囊咖啡-Dolce Gusto官方旗舰店-平台流量-淘宝特价版-淘特搜索</t>
  </si>
  <si>
    <t>胶囊咖啡-Dolce Gusto官方旗舰店-平台流量-淘宝吃货-汇总</t>
  </si>
  <si>
    <t>胶囊咖啡-Dolce Gusto官方旗舰店-平台流量-飞猪-飞猪行程</t>
  </si>
  <si>
    <t>胶囊咖啡-Dolce Gusto官方旗舰店-平台流量-天猫超级品类日-汇总</t>
  </si>
  <si>
    <t>胶囊咖啡-Dolce Gusto官方旗舰店-平台流量-手淘买家秀-汇总</t>
  </si>
  <si>
    <t>胶囊咖啡-Dolce Gusto官方旗舰店-平台流量-手机天猫-手猫福利雷达</t>
  </si>
  <si>
    <t>胶囊咖啡-Dolce Gusto官方旗舰店-平台流量-手淘摇一摇-汇总</t>
  </si>
  <si>
    <t>胶囊咖啡-Dolce Gusto官方旗舰店-平台流量-手机天猫-手猫新人频道</t>
  </si>
  <si>
    <t>胶囊咖啡-Dolce Gusto官方旗舰店-平台流量-天猫小黑盒-汇总</t>
  </si>
  <si>
    <t>胶囊咖啡-Dolce Gusto官方旗舰店-平台流量-手机天猫-手猫开屏</t>
  </si>
  <si>
    <t>胶囊咖啡-Dolce Gusto官方旗舰店-平台流量-飞猪-飞猪发现</t>
  </si>
  <si>
    <t>胶囊咖啡-Dolce Gusto官方旗舰店-平台流量-手机天猫-手猫天猫好物</t>
  </si>
  <si>
    <t>胶囊咖啡-Dolce Gusto官方旗舰店-平台流量-手机天猫-手猫私房红包</t>
  </si>
  <si>
    <t>胶囊咖啡-Dolce Gusto官方旗舰店-平台流量-手机天猫-手猫天猫快抢购</t>
  </si>
  <si>
    <t>胶囊咖啡-Dolce Gusto官方旗舰店-平台流量-淘宝特价版-淘特官方补贴</t>
  </si>
  <si>
    <t>胶囊咖啡-Dolce Gusto官方旗舰店-平台流量-飞猪-飞猪旅游度假频道</t>
  </si>
  <si>
    <t>胶囊咖啡-Dolce Gusto官方旗舰店-平台流量-淘宝特价版-淘特限时秒杀</t>
  </si>
  <si>
    <t>胶囊咖啡-Dolce Gusto官方旗舰店-平台流量-大促会场-榜单会场-必买榜</t>
  </si>
  <si>
    <t>胶囊咖啡-Dolce Gusto官方旗舰店-平台流量-飞猪-飞猪卡券包</t>
  </si>
  <si>
    <t>胶囊咖啡-Dolce Gusto官方旗舰店-平台流量-飞猪-飞猪特价</t>
  </si>
  <si>
    <t>胶囊咖啡-Dolce Gusto官方旗舰店-平台流量-飞猪-飞猪福利中心</t>
  </si>
  <si>
    <t>胶囊咖啡-Dolce Gusto官方旗舰店-平台流量-飞猪-飞猪订单</t>
  </si>
  <si>
    <t>胶囊咖啡-Dolce Gusto官方旗舰店-平台流量-飞猪-飞猪搜索</t>
  </si>
  <si>
    <t>胶囊咖啡-Dolce Gusto官方旗舰店-平台流量-飞猪-飞猪会员中心</t>
  </si>
  <si>
    <t>胶囊咖啡-Dolce Gusto官方旗舰店-平台流量-飞猪-飞猪频道</t>
  </si>
  <si>
    <t>胶囊咖啡-Dolce Gusto官方旗舰店-平台流量-飞猪-飞猪首页</t>
  </si>
  <si>
    <t>胶囊咖啡-Dolce Gusto官方旗舰店-平台流量-飞猪-汇总</t>
  </si>
  <si>
    <t>胶囊咖啡-Dolce Gusto官方旗舰店-平台流量-红包签到-汇总</t>
  </si>
  <si>
    <t>胶囊咖啡-Dolce Gusto官方旗舰店-平台流量-手机天猫-手猫扫码</t>
  </si>
  <si>
    <t>胶囊咖啡-Dolce Gusto官方旗舰店-平台流量-聚划算会场-汇总</t>
  </si>
  <si>
    <t>胶囊咖啡-Dolce Gusto官方旗舰店-平台流量-电视淘宝-汇总</t>
  </si>
  <si>
    <t>胶囊咖啡-Dolce Gusto官方旗舰店-平台流量-飞猪-飞猪超级新发线</t>
  </si>
  <si>
    <t>胶囊咖啡-Dolce Gusto官方旗舰店-平台流量-领券中心-汇总</t>
  </si>
  <si>
    <t>胶囊咖啡-Dolce Gusto官方旗舰店-平台流量-手机天猫-手猫天猫国际</t>
  </si>
  <si>
    <t>胶囊咖啡-Dolce Gusto官方旗舰店-平台流量-飞猪-飞猪目的地</t>
  </si>
  <si>
    <t>胶囊咖啡-Dolce Gusto官方旗舰店-平台流量-手机天猫-手猫消息中心</t>
  </si>
  <si>
    <t>胶囊咖啡-Dolce Gusto官方旗舰店-平台流量-每平每屋频道-汇总</t>
  </si>
  <si>
    <t>胶囊咖啡-Dolce Gusto官方旗舰店-平台流量-天猫超市-汇总</t>
  </si>
  <si>
    <t>胶囊咖啡-Dolce Gusto官方旗舰店-平台流量-手淘社区-汇总</t>
  </si>
  <si>
    <t>胶囊咖啡-Dolce Gusto官方旗舰店-平台流量-盒马-汇总</t>
  </si>
  <si>
    <t>胶囊咖啡-Dolce Gusto官方旗舰店-平台流量-手淘全球购频道-汇总</t>
  </si>
  <si>
    <t>胶囊咖啡-Dolce Gusto官方旗舰店-平台流量-飞猪-飞猪内容其他</t>
  </si>
  <si>
    <t>胶囊咖啡-Dolce Gusto官方旗舰店-平台流量-手淘天天特卖-汇总</t>
  </si>
  <si>
    <t>胶囊咖啡-Dolce Gusto官方旗舰店-平台流量-大麦-汇总</t>
  </si>
  <si>
    <t>胶囊咖啡-Dolce Gusto官方旗舰店-平台流量-淘工厂直营-汇总</t>
  </si>
  <si>
    <t>胶囊咖啡-Dolce Gusto官方旗舰店-平台流量-天猫热点-汇总</t>
  </si>
  <si>
    <t>胶囊咖啡-Dolce Gusto官方旗舰店-平台流量-手淘每日新品-汇总</t>
  </si>
  <si>
    <t>胶囊咖啡-Dolce Gusto官方旗舰店-平台流量-天猫好房-汇总</t>
  </si>
  <si>
    <t>胶囊咖啡-Dolce Gusto官方旗舰店-平台流量-手淘天猫国际-汇总</t>
  </si>
  <si>
    <t>胶囊咖啡-Dolce Gusto官方旗舰店-平台流量-淘鲜达-汇总</t>
  </si>
  <si>
    <t>胶囊咖啡-Dolce Gusto官方旗舰店-平台流量-手淘发现-汇总</t>
  </si>
  <si>
    <t>胶囊咖啡-Dolce Gusto官方旗舰店-平台流量-分享购物车活动-汇总</t>
  </si>
  <si>
    <t>胶囊咖啡-Dolce Gusto官方旗舰店-平台流量-飞猪-飞猪其他</t>
  </si>
  <si>
    <t>胶囊咖啡-Dolce Gusto官方旗舰店-平台流量-淘宝必逛-汇总</t>
  </si>
  <si>
    <t>胶囊咖啡-Dolce Gusto官方旗舰店-平台流量-手淘我的足迹-汇总</t>
  </si>
  <si>
    <t>胶囊咖啡-Dolce Gusto官方旗舰店-平台流量-全民寻宝-汇总</t>
  </si>
  <si>
    <t>胶囊咖啡-Dolce Gusto官方旗舰店-平台流量-阿里妈妈权益会场-汇总</t>
  </si>
  <si>
    <t>胶囊咖啡-Dolce Gusto官方旗舰店-平台流量-手淘确认订单-汇总</t>
  </si>
  <si>
    <t>胶囊咖啡-Dolce Gusto官方旗舰店-平台流量-有好货短视频-汇总</t>
  </si>
  <si>
    <t>胶囊咖啡-Dolce Gusto官方旗舰店-平台流量-阿里妈妈权益会场-阿里妈妈权益直补</t>
  </si>
  <si>
    <t>胶囊咖啡-Dolce Gusto官方旗舰店-平台流量-有好货图文-汇总</t>
  </si>
  <si>
    <t>胶囊咖啡-Dolce Gusto官方旗舰店-平台流量-手淘红包卡券-汇总</t>
  </si>
  <si>
    <t>胶囊咖啡-Dolce Gusto官方旗舰店-平台流量-阿里妈妈权益会场-阿里妈妈超级惊喜站</t>
  </si>
  <si>
    <t>胶囊咖啡-Dolce Gusto官方旗舰店-平台流量-手淘淘抢购-汇总</t>
  </si>
  <si>
    <t>胶囊咖啡-Dolce Gusto官方旗舰店-平台流量-手淘首页-汇总</t>
  </si>
  <si>
    <t>胶囊咖啡-Dolce Gusto官方旗舰店-平台流量-阿里妈妈权益会场-经营计划流量反哺</t>
  </si>
  <si>
    <t>胶囊咖啡-Dolce Gusto官方旗舰店-平台流量-手淘收藏夹-汇总</t>
  </si>
  <si>
    <t>胶囊咖啡-Dolce Gusto官方旗舰店-平台流量-淘宝神店榜-汇总</t>
  </si>
  <si>
    <t>胶囊咖啡-Dolce Gusto官方旗舰店-平台流量-飞猪-飞猪出境游频道</t>
  </si>
  <si>
    <t>胶囊咖啡-Dolce Gusto官方旗舰店-平台流量-飞猪-飞猪周边游频道</t>
  </si>
  <si>
    <t>胶囊咖啡-Dolce Gusto官方旗舰店-平台流量-飞猪-飞猪酒店频道</t>
  </si>
  <si>
    <t>胶囊咖啡-Dolce Gusto官方旗舰店-平台流量-品牌福利中心-汇总</t>
  </si>
  <si>
    <t>胶囊咖啡-Dolce Gusto官方旗舰店-平台流量-手淘汇吃-汇总</t>
  </si>
  <si>
    <t>胶囊咖啡-Dolce Gusto官方旗舰店-平台流量-每平每屋-汇总</t>
  </si>
  <si>
    <t>胶囊咖啡-Dolce Gusto官方旗舰店-平台流量-飞猪-飞猪消息中心</t>
  </si>
  <si>
    <t>胶囊咖啡-Dolce Gusto官方旗舰店-平台流量-手淘品质穿搭-汇总</t>
  </si>
  <si>
    <t>胶囊咖啡-Dolce Gusto官方旗舰店-平台流量-手淘天猫首页-汇总</t>
  </si>
  <si>
    <t>胶囊咖啡-Dolce Gusto官方旗舰店-平台流量-手淘找相似-汇总</t>
  </si>
  <si>
    <t>胶囊咖啡-Dolce Gusto官方旗舰店-平台流量-飞猪-飞猪活动营销</t>
  </si>
  <si>
    <t>胶囊咖啡-Dolce Gusto官方旗舰店-平台流量-手淘游戏中心-汇总</t>
  </si>
  <si>
    <t>胶囊咖啡-Dolce Gusto官方旗舰店-平台流量-飞猪-飞猪旅行主题</t>
  </si>
  <si>
    <t>胶囊咖啡-Dolce Gusto官方旗舰店-平台流量-手淘发表评价-汇总</t>
  </si>
  <si>
    <t>胶囊咖啡-Dolce Gusto官方旗舰店-平台流量-手淘极有家-汇总</t>
  </si>
  <si>
    <t>胶囊咖啡-Dolce Gusto官方旗舰店-平台流量-手淘潮电街-汇总</t>
  </si>
  <si>
    <t>胶囊咖啡-Dolce Gusto官方旗舰店-平台流量-手淘推荐-推荐云主题</t>
  </si>
  <si>
    <t>胶囊咖啡-Dolce Gusto官方旗舰店-平台流量-手淘必买清单-汇总</t>
  </si>
  <si>
    <t>胶囊咖啡-Dolce Gusto官方旗舰店-平台流量-飞猪-飞猪直播</t>
  </si>
  <si>
    <t>胶囊咖啡-Dolce Gusto官方旗舰店-平台流量-手淘房产-汇总</t>
  </si>
  <si>
    <t>胶囊咖啡-Dolce Gusto官方旗舰店-平台流量-品牌新享频道-汇总</t>
  </si>
  <si>
    <t>胶囊咖啡-Dolce Gusto官方旗舰店-平台流量-阿里拍卖-汇总</t>
  </si>
  <si>
    <t>胶囊咖啡-Dolce Gusto官方旗舰店-平台流量-手淘品牌街-汇总</t>
  </si>
  <si>
    <t>胶囊咖啡-Dolce Gusto官方旗舰店-平台流量-手淘喵鲜生-汇总</t>
  </si>
  <si>
    <t>胶囊咖啡-Dolce Gusto官方旗舰店-平台流量-手淘分类导航-汇总</t>
  </si>
  <si>
    <t>胶囊咖啡-Dolce Gusto官方旗舰店-平台流量-手淘扫一扫-汇总</t>
  </si>
  <si>
    <t>胶囊咖啡-Dolce Gusto官方旗舰店-平台流量-手淘有好价-汇总</t>
  </si>
  <si>
    <t>胶囊咖啡-Dolce Gusto官方旗舰店-平台流量-手淘买手圈-汇总</t>
  </si>
  <si>
    <t>胶囊咖啡-Dolce Gusto官方旗舰店-平台流量-手淘会员俱乐部-汇总</t>
  </si>
  <si>
    <t>胶囊咖啡-Dolce Gusto官方旗舰店-平台流量-天猫U先试用-汇总</t>
  </si>
  <si>
    <t>胶囊咖啡-Dolce Gusto官方旗舰店-广告流量-汇总-汇总</t>
  </si>
  <si>
    <t>胶囊咖啡-Dolce Gusto官方旗舰店-广告流量-效果广告-汇总</t>
  </si>
  <si>
    <t>胶囊咖啡-Dolce Gusto官方旗舰店-广告流量-效果广告-直通车</t>
  </si>
  <si>
    <t>胶囊咖啡-Dolce Gusto官方旗舰店-广告流量-效果广告-万相台</t>
  </si>
  <si>
    <t>胶囊咖啡-Dolce Gusto官方旗舰店-广告流量-效果广告-引力魔方</t>
  </si>
  <si>
    <t>胶囊咖啡-Dolce Gusto官方旗舰店-广告流量-站外广告-汇总</t>
  </si>
  <si>
    <t>胶囊咖啡-Dolce Gusto官方旗舰店-广告流量-站外广告-淘宝客</t>
  </si>
  <si>
    <t>胶囊咖啡-Dolce Gusto官方旗舰店-广告流量-品牌广告-汇总</t>
  </si>
  <si>
    <t>胶囊咖啡-Dolce Gusto官方旗舰店-广告流量-品牌广告-品销宝- 品牌专区</t>
  </si>
  <si>
    <t>胶囊咖啡-Dolce Gusto官方旗舰店-广告流量-内容广告-汇总</t>
  </si>
  <si>
    <t>胶囊咖啡-Dolce Gusto官方旗舰店-广告流量-内容广告-超级直播</t>
  </si>
  <si>
    <t>胶囊咖啡-Dolce Gusto官方旗舰店-广告流量-站外广告-流量宝</t>
  </si>
  <si>
    <t>胶囊咖啡-Dolce Gusto官方旗舰店-广告流量-站外广告-UD效果投放</t>
  </si>
  <si>
    <t>胶囊咖啡-Dolce Gusto官方旗舰店-广告流量-内容广告-超级短视频</t>
  </si>
  <si>
    <t>胶囊咖啡-Dolce Gusto官方旗舰店-广告流量-品牌广告-品牌特秀</t>
  </si>
  <si>
    <t>胶囊咖啡-Dolce Gusto官方旗舰店-广告流量-品牌广告-品牌定制</t>
  </si>
  <si>
    <t>胶囊咖啡-Dolce Gusto官方旗舰店-广告流量-站外广告-UD品牌投放</t>
  </si>
  <si>
    <t>胶囊咖啡-Dolce Gusto官方旗舰店-广告流量-品牌广告-Showmax</t>
  </si>
  <si>
    <t>胶囊咖啡-Dolce Gusto官方旗舰店-广告流量-内容广告-短直联动</t>
  </si>
  <si>
    <t>胶囊咖啡-Dolce Gusto官方旗舰店-广告流量-品牌广告-品销宝- 明星店铺</t>
  </si>
  <si>
    <t>胶囊咖啡-Dolce Gusto官方旗舰店-广告流量-品牌广告-超级全域通</t>
  </si>
  <si>
    <t>胶囊咖啡-Nespresso-平台流量-汇总-汇总</t>
  </si>
  <si>
    <t>胶囊咖啡-Nespresso-平台流量-手淘搜索-汇总</t>
  </si>
  <si>
    <t>胶囊咖啡-Nespresso-平台流量-手淘搜索-手淘搜索-商品及其他</t>
  </si>
  <si>
    <t>胶囊咖啡-Nespresso-平台流量-购物车-汇总</t>
  </si>
  <si>
    <t>胶囊咖啡-Nespresso-平台流量-我的淘宝-汇总</t>
  </si>
  <si>
    <t>胶囊咖啡-Nespresso-平台流量-手淘淘宝直播-汇总</t>
  </si>
  <si>
    <t>胶囊咖啡-Nespresso-平台流量-淘内待分类-汇总</t>
  </si>
  <si>
    <t>胶囊咖啡-Nespresso-平台流量-手淘推荐-汇总</t>
  </si>
  <si>
    <t>胶囊咖啡-Nespresso-平台流量-手淘旺信-汇总</t>
  </si>
  <si>
    <t>胶囊咖啡-Nespresso-平台流量-天猫榜单-汇总</t>
  </si>
  <si>
    <t>胶囊咖啡-Nespresso-平台流量-日常营销活动-汇总</t>
  </si>
  <si>
    <t>胶囊咖啡-Nespresso-平台流量-手淘推荐-首页推荐-微详情</t>
  </si>
  <si>
    <t>胶囊咖啡-Nespresso-平台流量-手淘推荐-其他猜你喜欢</t>
  </si>
  <si>
    <t>胶囊咖啡-Nespresso-平台流量-逛逛-汇总</t>
  </si>
  <si>
    <t>胶囊咖啡-Nespresso-平台流量-手淘其他店铺-汇总</t>
  </si>
  <si>
    <t>胶囊咖啡-Nespresso-平台流量-一淘-汇总</t>
  </si>
  <si>
    <t>胶囊咖啡-Nespresso-平台流量-手淘拍立淘-汇总</t>
  </si>
  <si>
    <t>胶囊咖啡-Nespresso-平台流量-手机天猫-汇总</t>
  </si>
  <si>
    <t>胶囊咖啡-Nespresso-平台流量-手淘其他店铺-商品详情页头图推荐</t>
  </si>
  <si>
    <t>胶囊咖啡-Nespresso-平台流量-天猫榜单-其他入口榜单</t>
  </si>
  <si>
    <t>胶囊咖啡-Nespresso-平台流量-大促会场-汇总</t>
  </si>
  <si>
    <t>胶囊咖啡-Nespresso-平台流量-短视频全屏页上下滑-汇总</t>
  </si>
  <si>
    <t>胶囊咖啡-Nespresso-平台流量-关注-汇总</t>
  </si>
  <si>
    <t>胶囊咖啡-Nespresso-平台流量-手淘推荐-首页推荐-直播</t>
  </si>
  <si>
    <t>胶囊咖啡-Nespresso-平台流量-天猫榜单-商品详情页入口榜单</t>
  </si>
  <si>
    <t>胶囊咖啡-Nespresso-平台流量-天猫榜单-搜索入口榜单</t>
  </si>
  <si>
    <t>胶囊咖啡-Nespresso-平台流量-大促会场-榜单会场</t>
  </si>
  <si>
    <t>胶囊咖啡-Nespresso-平台流量-手淘消息中心-汇总</t>
  </si>
  <si>
    <t>胶囊咖啡-Nespresso-平台流量-芭芭农场-汇总</t>
  </si>
  <si>
    <t>胶囊咖啡-Nespresso-平台流量-淘口令分享-汇总</t>
  </si>
  <si>
    <t>胶囊咖啡-Nespresso-平台流量-手淘其他店铺-店铺超链</t>
  </si>
  <si>
    <t>胶囊咖啡-Nespresso-平台流量-手机天猫-手猫搜索</t>
  </si>
  <si>
    <t>胶囊咖啡-Nespresso-平台流量-直接访问-汇总</t>
  </si>
  <si>
    <t>胶囊咖啡-Nespresso-平台流量-大促会场-主会场</t>
  </si>
  <si>
    <t>胶囊咖啡-Nespresso-平台流量-百亿补贴-汇总</t>
  </si>
  <si>
    <t>胶囊咖啡-Nespresso-平台流量-手淘推荐-购后推荐</t>
  </si>
  <si>
    <t>胶囊咖啡-Nespresso-平台流量-淘外网站-汇总</t>
  </si>
  <si>
    <t>胶囊咖啡-Nespresso-平台流量-手机浏览器访问淘宝-汇总</t>
  </si>
  <si>
    <t>胶囊咖啡-Nespresso-平台流量-手机天猫-手机浏览器访问天猫</t>
  </si>
  <si>
    <t>胶囊咖啡-Nespresso-平台流量-手机天猫-手猫免费其他</t>
  </si>
  <si>
    <t>胶囊咖啡-Nespresso-平台流量-手淘搜索-手淘搜索-直播</t>
  </si>
  <si>
    <t>胶囊咖啡-Nespresso-平台流量-淘宝好价-汇总</t>
  </si>
  <si>
    <t>胶囊咖啡-Nespresso-平台流量-手淘问大家-汇总</t>
  </si>
  <si>
    <t>胶囊咖啡-Nespresso-平台流量-手机天猫-手猫其他店铺</t>
  </si>
  <si>
    <t>胶囊咖啡-Nespresso-平台流量-手机天猫-手猫首页</t>
  </si>
  <si>
    <t>胶囊咖啡-Nespresso-平台流量-裂变券引流-汇总</t>
  </si>
  <si>
    <t>胶囊咖啡-Nespresso-平台流量-手机天猫-手猫商品详情</t>
  </si>
  <si>
    <t>胶囊咖啡-Nespresso-平台流量-聚划算会场-汇总</t>
  </si>
  <si>
    <t>胶囊咖啡-Nespresso-平台流量-阿里妈妈权益会场-汇总</t>
  </si>
  <si>
    <t>胶囊咖啡-Nespresso-平台流量-阿里妈妈权益会场-阿里妈妈超级惊喜站</t>
  </si>
  <si>
    <t>胶囊咖啡-Nespresso-平台流量-手淘推荐-购中推荐</t>
  </si>
  <si>
    <t>胶囊咖啡-Nespresso-平台流量-淘宝特价版-汇总</t>
  </si>
  <si>
    <t>胶囊咖啡-Nespresso-平台流量-红包省钱卡-汇总</t>
  </si>
  <si>
    <t>胶囊咖啡-Nespresso-平台流量-闲鱼-汇总</t>
  </si>
  <si>
    <t>胶囊咖啡-Nespresso-平台流量-手淘搜索-手淘搜索-短视频</t>
  </si>
  <si>
    <t>胶囊咖啡-Nespresso-平台流量-天猫关注-汇总</t>
  </si>
  <si>
    <t>胶囊咖啡-Nespresso-平台流量-88VIP频道-汇总</t>
  </si>
  <si>
    <t>胶囊咖啡-Nespresso-平台流量-淘宝特价版-淘特互动游戏</t>
  </si>
  <si>
    <t>胶囊咖啡-Nespresso-平台流量-手机天猫-手猫旺信聊天</t>
  </si>
  <si>
    <t>胶囊咖啡-Nespresso-平台流量-淘宝特价版-淘特搜索</t>
  </si>
  <si>
    <t>胶囊咖啡-Nespresso-平台流量-手淘我的评价-汇总</t>
  </si>
  <si>
    <t>胶囊咖啡-Nespresso-平台流量-天猫小黑盒-汇总</t>
  </si>
  <si>
    <t>胶囊咖啡-Nespresso-平台流量-大促会场-热点会场</t>
  </si>
  <si>
    <t>胶囊咖啡-Nespresso-平台流量-淘宝特价版-淘特其他渠道</t>
  </si>
  <si>
    <t>胶囊咖啡-Nespresso-平台流量-淘宝跨境站点-汇总</t>
  </si>
  <si>
    <t>胶囊咖啡-Nespresso-平台流量-手淘淘金币-汇总</t>
  </si>
  <si>
    <t>胶囊咖啡-Nespresso-平台流量-手机天猫-手猫消息中心</t>
  </si>
  <si>
    <t>胶囊咖啡-Nespresso-平台流量-手淘推荐-首页推荐-短视频</t>
  </si>
  <si>
    <t>胶囊咖啡-Nespresso-平台流量-淘宝特价版-淘特推荐</t>
  </si>
  <si>
    <t>胶囊咖啡-Nespresso-平台流量-天猫U先试用-汇总</t>
  </si>
  <si>
    <t>胶囊咖啡-Nespresso-平台流量-手淘充值-汇总</t>
  </si>
  <si>
    <t>胶囊咖啡-Nespresso-平台流量-每日好店-汇总</t>
  </si>
  <si>
    <t>胶囊咖啡-Nespresso-平台流量-电视淘宝-汇总</t>
  </si>
  <si>
    <t>胶囊咖啡-Nespresso-平台流量-淘宝特价版-淘特自主访问</t>
  </si>
  <si>
    <t>胶囊咖啡-Nespresso-平台流量-手淘有好货-汇总</t>
  </si>
  <si>
    <t>胶囊咖啡-Nespresso-平台流量-天猫超市-汇总</t>
  </si>
  <si>
    <t>胶囊咖啡-Nespresso-平台流量-手淘有好价-汇总</t>
  </si>
  <si>
    <t>胶囊咖啡-Nespresso-平台流量-阿里拍卖-汇总</t>
  </si>
  <si>
    <t>胶囊咖啡-Nespresso-平台流量-手机天猫-手猫扫码</t>
  </si>
  <si>
    <t>胶囊咖啡-Nespresso-平台流量-飞猪-飞猪超级新发线</t>
  </si>
  <si>
    <t>胶囊咖啡-Nespresso-平台流量-飞猪-飞猪目的地</t>
  </si>
  <si>
    <t>胶囊咖啡-Nespresso-平台流量-飞猪-飞猪行程</t>
  </si>
  <si>
    <t>胶囊咖啡-Nespresso-平台流量-飞猪-飞猪发现</t>
  </si>
  <si>
    <t>胶囊咖啡-Nespresso-平台流量-品牌新享频道-汇总</t>
  </si>
  <si>
    <t>胶囊咖啡-Nespresso-平台流量-手淘我的足迹-汇总</t>
  </si>
  <si>
    <t>胶囊咖啡-Nespresso-平台流量-手淘红包卡券-汇总</t>
  </si>
  <si>
    <t>胶囊咖啡-Nespresso-平台流量-手淘发现-汇总</t>
  </si>
  <si>
    <t>胶囊咖啡-Nespresso-平台流量-手淘淘抢购-汇总</t>
  </si>
  <si>
    <t>胶囊咖啡-Nespresso-平台流量-手淘天猫国际-汇总</t>
  </si>
  <si>
    <t>胶囊咖啡-Nespresso-平台流量-手淘每日新品-汇总</t>
  </si>
  <si>
    <t>胶囊咖啡-Nespresso-平台流量-手淘收藏夹-汇总</t>
  </si>
  <si>
    <t>胶囊咖啡-Nespresso-平台流量-手淘首页-汇总</t>
  </si>
  <si>
    <t>胶囊咖啡-Nespresso-平台流量-手淘天天特卖-汇总</t>
  </si>
  <si>
    <t>胶囊咖啡-Nespresso-平台流量-手淘全球购频道-汇总</t>
  </si>
  <si>
    <t>胶囊咖啡-Nespresso-平台流量-有好货图文-汇总</t>
  </si>
  <si>
    <t>胶囊咖啡-Nespresso-平台流量-飞猪-飞猪订单</t>
  </si>
  <si>
    <t>胶囊咖啡-Nespresso-平台流量-手淘会员俱乐部-汇总</t>
  </si>
  <si>
    <t>胶囊咖啡-Nespresso-平台流量-有好货短视频-汇总</t>
  </si>
  <si>
    <t>胶囊咖啡-Nespresso-平台流量-手淘买手圈-汇总</t>
  </si>
  <si>
    <t>胶囊咖啡-Nespresso-平台流量-全民寻宝-汇总</t>
  </si>
  <si>
    <t>胶囊咖啡-Nespresso-平台流量-手淘扫一扫-汇总</t>
  </si>
  <si>
    <t>胶囊咖啡-Nespresso-平台流量-淘宝必逛-汇总</t>
  </si>
  <si>
    <t>胶囊咖啡-Nespresso-平台流量-分享购物车活动-汇总</t>
  </si>
  <si>
    <t>胶囊咖啡-Nespresso-平台流量-手淘喵鲜生-汇总</t>
  </si>
  <si>
    <t>胶囊咖啡-Nespresso-平台流量-淘鲜达-汇总</t>
  </si>
  <si>
    <t>胶囊咖啡-Nespresso-平台流量-手淘品牌街-汇总</t>
  </si>
  <si>
    <t>胶囊咖啡-Nespresso-平台流量-天猫好房-汇总</t>
  </si>
  <si>
    <t>胶囊咖啡-Nespresso-平台流量-天猫热点-汇总</t>
  </si>
  <si>
    <t>胶囊咖啡-Nespresso-平台流量-手淘房产-汇总</t>
  </si>
  <si>
    <t>胶囊咖啡-Nespresso-平台流量-淘工厂直营-汇总</t>
  </si>
  <si>
    <t>胶囊咖啡-Nespresso-平台流量-手淘必买清单-汇总</t>
  </si>
  <si>
    <t>胶囊咖啡-Nespresso-平台流量-大麦-汇总</t>
  </si>
  <si>
    <t>胶囊咖啡-Nespresso-平台流量-手淘潮电街-汇总</t>
  </si>
  <si>
    <t>胶囊咖啡-Nespresso-平台流量-手淘极有家-汇总</t>
  </si>
  <si>
    <t>胶囊咖啡-Nespresso-平台流量-盒马-汇总</t>
  </si>
  <si>
    <t>胶囊咖啡-Nespresso-平台流量-手淘发表评价-汇总</t>
  </si>
  <si>
    <t>胶囊咖啡-Nespresso-平台流量-手淘游戏中心-汇总</t>
  </si>
  <si>
    <t>胶囊咖啡-Nespresso-平台流量-手淘分类导航-汇总</t>
  </si>
  <si>
    <t>胶囊咖啡-Nespresso-平台流量-手淘找相似-汇总</t>
  </si>
  <si>
    <t>胶囊咖啡-Nespresso-平台流量-手淘天猫首页-汇总</t>
  </si>
  <si>
    <t>胶囊咖啡-Nespresso-平台流量-手淘品质穿搭-汇总</t>
  </si>
  <si>
    <t>胶囊咖啡-Nespresso-平台流量-手淘确认订单-汇总</t>
  </si>
  <si>
    <t>胶囊咖啡-Nespresso-平台流量-手淘汇吃-汇总</t>
  </si>
  <si>
    <t>胶囊咖啡-Nespresso-平台流量-手淘推荐-推荐云主题</t>
  </si>
  <si>
    <t>胶囊咖啡-Nespresso-平台流量-大促会场-榜单会场-必买榜</t>
  </si>
  <si>
    <t>胶囊咖啡-Nespresso-平台流量-每平每屋-汇总</t>
  </si>
  <si>
    <t>胶囊咖啡-Nespresso-平台流量-品牌福利中心-汇总</t>
  </si>
  <si>
    <t>胶囊咖啡-Nespresso-平台流量-手机天猫-手猫天猫快抢购</t>
  </si>
  <si>
    <t>胶囊咖啡-Nespresso-平台流量-手机天猫-手猫私房红包</t>
  </si>
  <si>
    <t>胶囊咖啡-Nespresso-平台流量-手机天猫-手猫天猫好物</t>
  </si>
  <si>
    <t>胶囊咖啡-Nespresso-平台流量-淘宝特价版-淘特限时秒杀</t>
  </si>
  <si>
    <t>胶囊咖啡-Nespresso-平台流量-手机天猫-手猫开屏</t>
  </si>
  <si>
    <t>胶囊咖啡-Nespresso-平台流量-淘宝特价版-淘特官方补贴</t>
  </si>
  <si>
    <t>胶囊咖啡-Nespresso-平台流量-手机天猫-手猫新人频道</t>
  </si>
  <si>
    <t>胶囊咖啡-Nespresso-平台流量-手机天猫-手猫福利雷达</t>
  </si>
  <si>
    <t>胶囊咖啡-Nespresso-平台流量-手机天猫-手猫天猫国际</t>
  </si>
  <si>
    <t>胶囊咖啡-Nespresso-平台流量-手淘摇一摇-汇总</t>
  </si>
  <si>
    <t>胶囊咖啡-Nespresso-平台流量-手淘买家秀-汇总</t>
  </si>
  <si>
    <t>胶囊咖啡-Nespresso-平台流量-天猫超级品类日-汇总</t>
  </si>
  <si>
    <t>胶囊咖啡-Nespresso-平台流量-淘宝吃货-汇总</t>
  </si>
  <si>
    <t>胶囊咖啡-Nespresso-平台流量-飞猪-汇总</t>
  </si>
  <si>
    <t>胶囊咖啡-Nespresso-平台流量-每平每屋频道-汇总</t>
  </si>
  <si>
    <t>胶囊咖啡-Nespresso-平台流量-飞猪-飞猪首页</t>
  </si>
  <si>
    <t>胶囊咖啡-Nespresso-平台流量-飞猪-飞猪频道</t>
  </si>
  <si>
    <t>胶囊咖啡-Nespresso-平台流量-领券中心-汇总</t>
  </si>
  <si>
    <t>胶囊咖啡-Nespresso-平台流量-飞猪-飞猪搜索</t>
  </si>
  <si>
    <t>胶囊咖啡-Nespresso-平台流量-红包签到-汇总</t>
  </si>
  <si>
    <t>胶囊咖啡-Nespresso-平台流量-飞猪-飞猪特价</t>
  </si>
  <si>
    <t>胶囊咖啡-Nespresso-平台流量-飞猪-飞猪卡券包</t>
  </si>
  <si>
    <t>胶囊咖啡-Nespresso-平台流量-飞猪-飞猪福利中心</t>
  </si>
  <si>
    <t>胶囊咖啡-Nespresso-平台流量-飞猪-飞猪会员中心</t>
  </si>
  <si>
    <t>胶囊咖啡-Nespresso-平台流量-飞猪-飞猪旅游度假频道</t>
  </si>
  <si>
    <t>胶囊咖啡-Nespresso-平台流量-飞猪-飞猪出境游频道</t>
  </si>
  <si>
    <t>胶囊咖啡-Nespresso-平台流量-飞猪-飞猪周边游频道</t>
  </si>
  <si>
    <t>胶囊咖啡-Nespresso-平台流量-飞猪-飞猪酒店频道</t>
  </si>
  <si>
    <t>胶囊咖啡-Nespresso-平台流量-飞猪-飞猪消息中心</t>
  </si>
  <si>
    <t>胶囊咖啡-Nespresso-平台流量-飞猪-飞猪活动营销</t>
  </si>
  <si>
    <t>胶囊咖啡-Nespresso-平台流量-飞猪-飞猪旅行主题</t>
  </si>
  <si>
    <t>胶囊咖啡-Nespresso-平台流量-飞猪-飞猪直播</t>
  </si>
  <si>
    <t>胶囊咖啡-Nespresso-平台流量-飞猪-飞猪内容其他</t>
  </si>
  <si>
    <t>胶囊咖啡-Nespresso-平台流量-飞猪-飞猪其他</t>
  </si>
  <si>
    <t>胶囊咖啡-Nespresso-平台流量-阿里妈妈权益会场-阿里妈妈权益直补</t>
  </si>
  <si>
    <t>胶囊咖啡-Nespresso-平台流量-阿里妈妈权益会场-经营计划流量反哺</t>
  </si>
  <si>
    <t>胶囊咖啡-Nespresso-平台流量-淘宝神店榜-汇总</t>
  </si>
  <si>
    <t>胶囊咖啡-Nespresso-平台流量-手淘社区-汇总</t>
  </si>
  <si>
    <t>胶囊咖啡-Nespresso-广告流量-汇总-汇总</t>
  </si>
  <si>
    <t>胶囊咖啡-Nespresso-广告流量-效果广告-汇总</t>
  </si>
  <si>
    <t>胶囊咖啡-Nespresso-广告流量-效果广告-万相台</t>
  </si>
  <si>
    <t>胶囊咖啡-Nespresso-广告流量-效果广告-引力魔方</t>
  </si>
  <si>
    <t>胶囊咖啡-Nespresso-广告流量-效果广告-直通车</t>
  </si>
  <si>
    <t>胶囊咖啡-Nespresso-广告流量-品牌广告-汇总</t>
  </si>
  <si>
    <t>胶囊咖啡-Nespresso-广告流量-品牌广告-品牌特秀</t>
  </si>
  <si>
    <t>胶囊咖啡-Nespresso-广告流量-站外广告-汇总</t>
  </si>
  <si>
    <t>胶囊咖啡-Nespresso-广告流量-内容广告-汇总</t>
  </si>
  <si>
    <t>胶囊咖啡-Nespresso-广告流量-内容广告-超级短视频</t>
  </si>
  <si>
    <t>胶囊咖啡-Nespresso-广告流量-品牌广告-品销宝- 品牌专区</t>
  </si>
  <si>
    <t>胶囊咖啡-Nespresso-广告流量-站外广告-淘宝客</t>
  </si>
  <si>
    <t>胶囊咖啡-Nespresso-广告流量-站外广告-UD效果投放</t>
  </si>
  <si>
    <t>胶囊咖啡-Nespresso-广告流量-品牌广告-超级全域通</t>
  </si>
  <si>
    <t>胶囊咖啡-Nespresso-广告流量-内容广告-超级直播</t>
  </si>
  <si>
    <t>胶囊咖啡-Nespresso-广告流量-品牌广告-品销宝- 明星店铺</t>
  </si>
  <si>
    <t>胶囊咖啡-Nespresso-广告流量-站外广告-流量宝</t>
  </si>
  <si>
    <t>胶囊咖啡-Nespresso-广告流量-品牌广告-品牌定制</t>
  </si>
  <si>
    <t>胶囊咖啡-Nespresso-广告流量-内容广告-短直联动</t>
  </si>
  <si>
    <t>胶囊咖啡-Nespresso-广告流量-站外广告-UD品牌投放</t>
  </si>
  <si>
    <t>胶囊咖啡-Nespresso-广告流量-品牌广告-Showmax</t>
  </si>
  <si>
    <t>胶囊咖啡-PEET’S官方旗舰店-平台流量-汇总-汇总</t>
  </si>
  <si>
    <t>胶囊咖啡-PEET’S官方旗舰店-平台流量-手淘搜索-汇总</t>
  </si>
  <si>
    <t>胶囊咖啡-PEET’S官方旗舰店-平台流量-手淘搜索-手淘搜索-商品及其他</t>
  </si>
  <si>
    <t>胶囊咖啡-PEET’S官方旗舰店-平台流量-购物车-汇总</t>
  </si>
  <si>
    <t>胶囊咖啡-PEET’S官方旗舰店-平台流量-我的淘宝-汇总</t>
  </si>
  <si>
    <t>胶囊咖啡-PEET’S官方旗舰店-平台流量-手淘推荐-汇总</t>
  </si>
  <si>
    <t>胶囊咖啡-PEET’S官方旗舰店-平台流量-淘内待分类-汇总</t>
  </si>
  <si>
    <t>胶囊咖啡-PEET’S官方旗舰店-平台流量-手淘推荐-首页推荐-微详情</t>
  </si>
  <si>
    <t>胶囊咖啡-PEET’S官方旗舰店-平台流量-手淘旺信-汇总</t>
  </si>
  <si>
    <t>胶囊咖啡-PEET’S官方旗舰店-平台流量-手淘淘宝直播-汇总</t>
  </si>
  <si>
    <t>胶囊咖啡-PEET’S官方旗舰店-平台流量-天猫榜单-汇总</t>
  </si>
  <si>
    <t>胶囊咖啡-PEET’S官方旗舰店-平台流量-日常营销活动-汇总</t>
  </si>
  <si>
    <t>胶囊咖啡-PEET’S官方旗舰店-平台流量-一淘-汇总</t>
  </si>
  <si>
    <t>胶囊咖啡-PEET’S官方旗舰店-平台流量-手淘推荐-首页推荐-直播</t>
  </si>
  <si>
    <t>胶囊咖啡-PEET’S官方旗舰店-平台流量-手淘其他店铺-汇总</t>
  </si>
  <si>
    <t>胶囊咖啡-PEET’S官方旗舰店-平台流量-手淘拍立淘-汇总</t>
  </si>
  <si>
    <t>胶囊咖啡-PEET’S官方旗舰店-平台流量-手淘推荐-其他猜你喜欢</t>
  </si>
  <si>
    <t>胶囊咖啡-PEET’S官方旗舰店-平台流量-手淘其他店铺-商品详情页头图推荐</t>
  </si>
  <si>
    <t>胶囊咖啡-PEET’S官方旗舰店-平台流量-天猫榜单-其他入口榜单</t>
  </si>
  <si>
    <t>胶囊咖啡-PEET’S官方旗舰店-平台流量-短视频全屏页上下滑-汇总</t>
  </si>
  <si>
    <t>胶囊咖啡-PEET’S官方旗舰店-平台流量-手机天猫-汇总</t>
  </si>
  <si>
    <t>胶囊咖啡-PEET’S官方旗舰店-平台流量-天猫榜单-商品详情页入口榜单</t>
  </si>
  <si>
    <t>胶囊咖啡-PEET’S官方旗舰店-平台流量-大促会场-汇总</t>
  </si>
  <si>
    <t>胶囊咖啡-PEET’S官方旗舰店-平台流量-天猫榜单-搜索入口榜单</t>
  </si>
  <si>
    <t>胶囊咖啡-PEET’S官方旗舰店-平台流量-手机天猫-手猫搜索</t>
  </si>
  <si>
    <t>胶囊咖啡-PEET’S官方旗舰店-平台流量-手淘消息中心-汇总</t>
  </si>
  <si>
    <t>胶囊咖啡-PEET’S官方旗舰店-平台流量-手淘其他店铺-店铺超链</t>
  </si>
  <si>
    <t>胶囊咖啡-PEET’S官方旗舰店-平台流量-淘口令分享-汇总</t>
  </si>
  <si>
    <t>胶囊咖啡-PEET’S官方旗舰店-平台流量-关注-汇总</t>
  </si>
  <si>
    <t>胶囊咖啡-PEET’S官方旗舰店-平台流量-手淘问大家-汇总</t>
  </si>
  <si>
    <t>胶囊咖啡-PEET’S官方旗舰店-平台流量-大促会场-榜单会场</t>
  </si>
  <si>
    <t>胶囊咖啡-PEET’S官方旗舰店-平台流量-手淘推荐-购后推荐</t>
  </si>
  <si>
    <t>胶囊咖啡-PEET’S官方旗舰店-平台流量-手淘搜索-手淘搜索-直播</t>
  </si>
  <si>
    <t>胶囊咖啡-PEET’S官方旗舰店-平台流量-大促会场-主会场</t>
  </si>
  <si>
    <t>胶囊咖啡-PEET’S官方旗舰店-平台流量-淘外网站-汇总</t>
  </si>
  <si>
    <t>胶囊咖啡-PEET’S官方旗舰店-平台流量-芭芭农场-汇总</t>
  </si>
  <si>
    <t>胶囊咖啡-PEET’S官方旗舰店-平台流量-手机天猫-手猫免费其他</t>
  </si>
  <si>
    <t>胶囊咖啡-PEET’S官方旗舰店-平台流量-手机天猫-手猫首页</t>
  </si>
  <si>
    <t>胶囊咖啡-PEET’S官方旗舰店-平台流量-阿里妈妈权益会场-汇总</t>
  </si>
  <si>
    <t>胶囊咖啡-PEET’S官方旗舰店-平台流量-阿里妈妈权益会场-阿里妈妈超级惊喜站</t>
  </si>
  <si>
    <t>胶囊咖啡-PEET’S官方旗舰店-平台流量-手机天猫-手猫其他店铺</t>
  </si>
  <si>
    <t>胶囊咖啡-PEET’S官方旗舰店-平台流量-淘宝好价-汇总</t>
  </si>
  <si>
    <t>胶囊咖啡-PEET’S官方旗舰店-平台流量-手淘搜索-手淘搜索-短视频</t>
  </si>
  <si>
    <t>胶囊咖啡-PEET’S官方旗舰店-平台流量-手机浏览器访问淘宝-汇总</t>
  </si>
  <si>
    <t>胶囊咖啡-PEET’S官方旗舰店-平台流量-手淘推荐-购中推荐</t>
  </si>
  <si>
    <t>胶囊咖啡-PEET’S官方旗舰店-平台流量-直接访问-汇总</t>
  </si>
  <si>
    <t>胶囊咖啡-PEET’S官方旗舰店-平台流量-逛逛-汇总</t>
  </si>
  <si>
    <t>胶囊咖啡-PEET’S官方旗舰店-平台流量-手机天猫-手猫商品详情</t>
  </si>
  <si>
    <t>胶囊咖啡-PEET’S官方旗舰店-平台流量-红包省钱卡-汇总</t>
  </si>
  <si>
    <t>胶囊咖啡-PEET’S官方旗舰店-平台流量-闲鱼-汇总</t>
  </si>
  <si>
    <t>胶囊咖啡-PEET’S官方旗舰店-平台流量-淘宝特价版-汇总</t>
  </si>
  <si>
    <t>胶囊咖啡-PEET’S官方旗舰店-平台流量-手机天猫-手猫旺信聊天</t>
  </si>
  <si>
    <t>胶囊咖啡-PEET’S官方旗舰店-平台流量-大促会场-热点会场</t>
  </si>
  <si>
    <t>胶囊咖啡-PEET’S官方旗舰店-平台流量-淘宝特价版-淘特搜索</t>
  </si>
  <si>
    <t>胶囊咖啡-PEET’S官方旗舰店-平台流量-手机天猫-手机浏览器访问天猫</t>
  </si>
  <si>
    <t>胶囊咖啡-PEET’S官方旗舰店-平台流量-淘宝特价版-淘特其他渠道</t>
  </si>
  <si>
    <t>胶囊咖啡-PEET’S官方旗舰店-平台流量-手淘淘金币-汇总</t>
  </si>
  <si>
    <t>胶囊咖啡-PEET’S官方旗舰店-平台流量-天猫U先试用-汇总</t>
  </si>
  <si>
    <t>胶囊咖啡-PEET’S官方旗舰店-平台流量-手淘我的评价-汇总</t>
  </si>
  <si>
    <t>胶囊咖啡-PEET’S官方旗舰店-平台流量-88VIP频道-汇总</t>
  </si>
  <si>
    <t>胶囊咖啡-PEET’S官方旗舰店-平台流量-手淘推荐-首页推荐-短视频</t>
  </si>
  <si>
    <t>胶囊咖啡-PEET’S官方旗舰店-平台流量-天猫关注-汇总</t>
  </si>
  <si>
    <t>胶囊咖啡-PEET’S官方旗舰店-平台流量-每日好店-汇总</t>
  </si>
  <si>
    <t>胶囊咖啡-PEET’S官方旗舰店-平台流量-天猫小黑盒-汇总</t>
  </si>
  <si>
    <t>胶囊咖啡-PEET’S官方旗舰店-平台流量-阿里妈妈权益会场-经营计划流量反哺</t>
  </si>
  <si>
    <t>胶囊咖啡-PEET’S官方旗舰店-平台流量-手淘充值-汇总</t>
  </si>
  <si>
    <t>胶囊咖啡-PEET’S官方旗舰店-平台流量-阿里拍卖-汇总</t>
  </si>
  <si>
    <t>胶囊咖啡-PEET’S官方旗舰店-平台流量-淘宝特价版-淘特推荐</t>
  </si>
  <si>
    <t>胶囊咖啡-PEET’S官方旗舰店-平台流量-淘宝跨境站点-汇总</t>
  </si>
  <si>
    <t>胶囊咖啡-PEET’S官方旗舰店-平台流量-百亿补贴-汇总</t>
  </si>
  <si>
    <t>胶囊咖啡-PEET’S官方旗舰店-平台流量-手机天猫-手猫消息中心</t>
  </si>
  <si>
    <t>胶囊咖啡-PEET’S官方旗舰店-平台流量-淘宝吃货-汇总</t>
  </si>
  <si>
    <t>胶囊咖啡-PEET’S官方旗舰店-平台流量-红包签到-汇总</t>
  </si>
  <si>
    <t>胶囊咖啡-PEET’S官方旗舰店-平台流量-聚划算会场-汇总</t>
  </si>
  <si>
    <t>胶囊咖啡-PEET’S官方旗舰店-平台流量-领券中心-汇总</t>
  </si>
  <si>
    <t>胶囊咖啡-PEET’S官方旗舰店-平台流量-每平每屋频道-汇总</t>
  </si>
  <si>
    <t>胶囊咖啡-PEET’S官方旗舰店-平台流量-天猫超级品类日-汇总</t>
  </si>
  <si>
    <t>胶囊咖啡-PEET’S官方旗舰店-平台流量-手淘买家秀-汇总</t>
  </si>
  <si>
    <t>胶囊咖啡-PEET’S官方旗舰店-平台流量-手淘摇一摇-汇总</t>
  </si>
  <si>
    <t>胶囊咖啡-PEET’S官方旗舰店-平台流量-裂变券引流-汇总</t>
  </si>
  <si>
    <t>胶囊咖啡-PEET’S官方旗舰店-平台流量-淘宝特价版-淘特互动游戏</t>
  </si>
  <si>
    <t>胶囊咖啡-PEET’S官方旗舰店-平台流量-淘宝特价版-淘特官方补贴</t>
  </si>
  <si>
    <t>胶囊咖啡-PEET’S官方旗舰店-平台流量-淘宝特价版-淘特限时秒杀</t>
  </si>
  <si>
    <t>胶囊咖啡-PEET’S官方旗舰店-平台流量-淘宝特价版-淘特自主访问</t>
  </si>
  <si>
    <t>胶囊咖啡-PEET’S官方旗舰店-平台流量-品牌福利中心-汇总</t>
  </si>
  <si>
    <t>胶囊咖啡-PEET’S官方旗舰店-平台流量-每平每屋-汇总</t>
  </si>
  <si>
    <t>胶囊咖啡-PEET’S官方旗舰店-平台流量-手淘推荐-推荐云主题</t>
  </si>
  <si>
    <t>胶囊咖啡-PEET’S官方旗舰店-平台流量-品牌新享频道-汇总</t>
  </si>
  <si>
    <t>胶囊咖啡-PEET’S官方旗舰店-平台流量-手淘分类导航-汇总</t>
  </si>
  <si>
    <t>胶囊咖啡-PEET’S官方旗舰店-平台流量-手淘有好价-汇总</t>
  </si>
  <si>
    <t>胶囊咖啡-PEET’S官方旗舰店-平台流量-天猫超市-汇总</t>
  </si>
  <si>
    <t>胶囊咖啡-PEET’S官方旗舰店-平台流量-盒马-汇总</t>
  </si>
  <si>
    <t>胶囊咖啡-PEET’S官方旗舰店-平台流量-大麦-汇总</t>
  </si>
  <si>
    <t>胶囊咖啡-PEET’S官方旗舰店-平台流量-淘工厂直营-汇总</t>
  </si>
  <si>
    <t>胶囊咖啡-PEET’S官方旗舰店-平台流量-天猫热点-汇总</t>
  </si>
  <si>
    <t>胶囊咖啡-PEET’S官方旗舰店-平台流量-天猫好房-汇总</t>
  </si>
  <si>
    <t>胶囊咖啡-PEET’S官方旗舰店-平台流量-淘鲜达-汇总</t>
  </si>
  <si>
    <t>胶囊咖啡-PEET’S官方旗舰店-平台流量-分享购物车活动-汇总</t>
  </si>
  <si>
    <t>胶囊咖啡-PEET’S官方旗舰店-平台流量-淘宝必逛-汇总</t>
  </si>
  <si>
    <t>胶囊咖啡-PEET’S官方旗舰店-平台流量-全民寻宝-汇总</t>
  </si>
  <si>
    <t>胶囊咖啡-PEET’S官方旗舰店-平台流量-有好货短视频-汇总</t>
  </si>
  <si>
    <t>胶囊咖啡-PEET’S官方旗舰店-平台流量-有好货图文-汇总</t>
  </si>
  <si>
    <t>胶囊咖啡-PEET’S官方旗舰店-平台流量-手淘首页-汇总</t>
  </si>
  <si>
    <t>胶囊咖啡-PEET’S官方旗舰店-平台流量-手淘收藏夹-汇总</t>
  </si>
  <si>
    <t>胶囊咖啡-PEET’S官方旗舰店-平台流量-手淘淘抢购-汇总</t>
  </si>
  <si>
    <t>胶囊咖啡-PEET’S官方旗舰店-平台流量-手淘有好货-汇总</t>
  </si>
  <si>
    <t>胶囊咖啡-PEET’S官方旗舰店-平台流量-手淘红包卡券-汇总</t>
  </si>
  <si>
    <t>胶囊咖啡-PEET’S官方旗舰店-平台流量-手淘确认订单-汇总</t>
  </si>
  <si>
    <t>胶囊咖啡-PEET’S官方旗舰店-平台流量-手淘我的足迹-汇总</t>
  </si>
  <si>
    <t>胶囊咖啡-PEET’S官方旗舰店-平台流量-手淘发现-汇总</t>
  </si>
  <si>
    <t>胶囊咖啡-PEET’S官方旗舰店-平台流量-手淘天猫国际-汇总</t>
  </si>
  <si>
    <t>胶囊咖啡-PEET’S官方旗舰店-平台流量-手淘每日新品-汇总</t>
  </si>
  <si>
    <t>胶囊咖啡-PEET’S官方旗舰店-平台流量-手淘天天特卖-汇总</t>
  </si>
  <si>
    <t>胶囊咖啡-PEET’S官方旗舰店-平台流量-手淘全球购频道-汇总</t>
  </si>
  <si>
    <t>胶囊咖啡-PEET’S官方旗舰店-平台流量-手淘社区-汇总</t>
  </si>
  <si>
    <t>胶囊咖啡-PEET’S官方旗舰店-平台流量-手淘会员俱乐部-汇总</t>
  </si>
  <si>
    <t>胶囊咖啡-PEET’S官方旗舰店-平台流量-手淘买手圈-汇总</t>
  </si>
  <si>
    <t>胶囊咖啡-PEET’S官方旗舰店-平台流量-手淘扫一扫-汇总</t>
  </si>
  <si>
    <t>胶囊咖啡-PEET’S官方旗舰店-平台流量-手淘喵鲜生-汇总</t>
  </si>
  <si>
    <t>胶囊咖啡-PEET’S官方旗舰店-平台流量-手淘品牌街-汇总</t>
  </si>
  <si>
    <t>胶囊咖啡-PEET’S官方旗舰店-平台流量-手淘房产-汇总</t>
  </si>
  <si>
    <t>胶囊咖啡-PEET’S官方旗舰店-平台流量-手淘必买清单-汇总</t>
  </si>
  <si>
    <t>胶囊咖啡-PEET’S官方旗舰店-平台流量-手淘潮电街-汇总</t>
  </si>
  <si>
    <t>胶囊咖啡-PEET’S官方旗舰店-平台流量-手淘极有家-汇总</t>
  </si>
  <si>
    <t>胶囊咖啡-PEET’S官方旗舰店-平台流量-手淘发表评价-汇总</t>
  </si>
  <si>
    <t>胶囊咖啡-PEET’S官方旗舰店-平台流量-手淘游戏中心-汇总</t>
  </si>
  <si>
    <t>胶囊咖啡-PEET’S官方旗舰店-平台流量-手淘找相似-汇总</t>
  </si>
  <si>
    <t>胶囊咖啡-PEET’S官方旗舰店-平台流量-手淘天猫首页-汇总</t>
  </si>
  <si>
    <t>胶囊咖啡-PEET’S官方旗舰店-平台流量-手淘品质穿搭-汇总</t>
  </si>
  <si>
    <t>胶囊咖啡-PEET’S官方旗舰店-平台流量-手淘汇吃-汇总</t>
  </si>
  <si>
    <t>胶囊咖啡-PEET’S官方旗舰店-平台流量-大促会场-榜单会场-必买榜</t>
  </si>
  <si>
    <t>胶囊咖啡-PEET’S官方旗舰店-平台流量-手机天猫-手猫天猫快抢购</t>
  </si>
  <si>
    <t>胶囊咖啡-PEET’S官方旗舰店-平台流量-手机天猫-手猫私房红包</t>
  </si>
  <si>
    <t>胶囊咖啡-PEET’S官方旗舰店-平台流量-手机天猫-手猫天猫好物</t>
  </si>
  <si>
    <t>胶囊咖啡-PEET’S官方旗舰店-平台流量-手机天猫-手猫开屏</t>
  </si>
  <si>
    <t>胶囊咖啡-PEET’S官方旗舰店-平台流量-手机天猫-手猫新人频道</t>
  </si>
  <si>
    <t>胶囊咖啡-PEET’S官方旗舰店-平台流量-手机天猫-手猫福利雷达</t>
  </si>
  <si>
    <t>胶囊咖啡-PEET’S官方旗舰店-平台流量-手机天猫-手猫天猫国际</t>
  </si>
  <si>
    <t>胶囊咖啡-PEET’S官方旗舰店-平台流量-手机天猫-手猫扫码</t>
  </si>
  <si>
    <t>胶囊咖啡-PEET’S官方旗舰店-平台流量-飞猪-汇总</t>
  </si>
  <si>
    <t>胶囊咖啡-PEET’S官方旗舰店-平台流量-飞猪-飞猪首页</t>
  </si>
  <si>
    <t>胶囊咖啡-PEET’S官方旗舰店-平台流量-飞猪-飞猪频道</t>
  </si>
  <si>
    <t>胶囊咖啡-PEET’S官方旗舰店-平台流量-飞猪-飞猪搜索</t>
  </si>
  <si>
    <t>胶囊咖啡-PEET’S官方旗舰店-平台流量-飞猪-飞猪订单</t>
  </si>
  <si>
    <t>胶囊咖啡-PEET’S官方旗舰店-平台流量-飞猪-飞猪特价</t>
  </si>
  <si>
    <t>胶囊咖啡-PEET’S官方旗舰店-平台流量-飞猪-飞猪卡券包</t>
  </si>
  <si>
    <t>胶囊咖啡-PEET’S官方旗舰店-平台流量-飞猪-飞猪福利中心</t>
  </si>
  <si>
    <t>胶囊咖啡-PEET’S官方旗舰店-平台流量-飞猪-飞猪会员中心</t>
  </si>
  <si>
    <t>胶囊咖啡-PEET’S官方旗舰店-平台流量-飞猪-飞猪超级新发线</t>
  </si>
  <si>
    <t>胶囊咖啡-PEET’S官方旗舰店-平台流量-飞猪-飞猪目的地</t>
  </si>
  <si>
    <t>胶囊咖啡-PEET’S官方旗舰店-平台流量-飞猪-飞猪行程</t>
  </si>
  <si>
    <t>胶囊咖啡-PEET’S官方旗舰店-平台流量-飞猪-飞猪发现</t>
  </si>
  <si>
    <t>胶囊咖啡-PEET’S官方旗舰店-平台流量-飞猪-飞猪旅游度假频道</t>
  </si>
  <si>
    <t>胶囊咖啡-PEET’S官方旗舰店-平台流量-飞猪-飞猪出境游频道</t>
  </si>
  <si>
    <t>胶囊咖啡-PEET’S官方旗舰店-平台流量-飞猪-飞猪周边游频道</t>
  </si>
  <si>
    <t>胶囊咖啡-PEET’S官方旗舰店-平台流量-飞猪-飞猪酒店频道</t>
  </si>
  <si>
    <t>胶囊咖啡-PEET’S官方旗舰店-平台流量-飞猪-飞猪消息中心</t>
  </si>
  <si>
    <t>胶囊咖啡-PEET’S官方旗舰店-平台流量-飞猪-飞猪活动营销</t>
  </si>
  <si>
    <t>胶囊咖啡-PEET’S官方旗舰店-平台流量-飞猪-飞猪旅行主题</t>
  </si>
  <si>
    <t>胶囊咖啡-PEET’S官方旗舰店-平台流量-飞猪-飞猪直播</t>
  </si>
  <si>
    <t>胶囊咖啡-PEET’S官方旗舰店-平台流量-飞猪-飞猪内容其他</t>
  </si>
  <si>
    <t>胶囊咖啡-PEET’S官方旗舰店-平台流量-飞猪-飞猪其他</t>
  </si>
  <si>
    <t>胶囊咖啡-PEET’S官方旗舰店-平台流量-阿里妈妈权益会场-阿里妈妈权益直补</t>
  </si>
  <si>
    <t>胶囊咖啡-PEET’S官方旗舰店-平台流量-淘宝神店榜-汇总</t>
  </si>
  <si>
    <t>胶囊咖啡-PEET’S官方旗舰店-平台流量-电视淘宝-汇总</t>
  </si>
  <si>
    <t>胶囊咖啡-PEET’S官方旗舰店-广告流量-汇总-汇总</t>
  </si>
  <si>
    <t>胶囊咖啡-PEET’S官方旗舰店-广告流量-效果广告-汇总</t>
  </si>
  <si>
    <t>胶囊咖啡-PEET’S官方旗舰店-广告流量-效果广告-直通车</t>
  </si>
  <si>
    <t>胶囊咖啡-PEET’S官方旗舰店-广告流量-效果广告-万相台</t>
  </si>
  <si>
    <t>胶囊咖啡-PEET’S官方旗舰店-广告流量-效果广告-引力魔方</t>
  </si>
  <si>
    <t>胶囊咖啡-PEET’S官方旗舰店-广告流量-品牌广告-汇总</t>
  </si>
  <si>
    <t>胶囊咖啡-PEET’S官方旗舰店-广告流量-品牌广告-品销宝- 品牌专区</t>
  </si>
  <si>
    <t>胶囊咖啡-PEET’S官方旗舰店-广告流量-站外广告-汇总</t>
  </si>
  <si>
    <t>胶囊咖啡-PEET’S官方旗舰店-广告流量-站外广告-淘宝客</t>
  </si>
  <si>
    <t>胶囊咖啡-PEET’S官方旗舰店-广告流量-内容广告-汇总</t>
  </si>
  <si>
    <t>胶囊咖啡-PEET’S官方旗舰店-广告流量-内容广告-超级短视频</t>
  </si>
  <si>
    <t>胶囊咖啡-PEET’S官方旗舰店-广告流量-品牌广告-品牌特秀</t>
  </si>
  <si>
    <t>胶囊咖啡-PEET’S官方旗舰店-广告流量-站外广告-流量宝</t>
  </si>
  <si>
    <t>胶囊咖啡-PEET’S官方旗舰店-广告流量-站外广告-UD效果投放</t>
  </si>
  <si>
    <t>胶囊咖啡-PEET’S官方旗舰店-广告流量-内容广告-超级直播</t>
  </si>
  <si>
    <t>胶囊咖啡-PEET’S官方旗舰店-广告流量-品牌广告-超级全域通</t>
  </si>
  <si>
    <t>胶囊咖啡-PEET’S官方旗舰店-广告流量-内容广告-短直联动</t>
  </si>
  <si>
    <t>胶囊咖啡-PEET’S官方旗舰店-广告流量-品牌广告-Showmax</t>
  </si>
  <si>
    <t>胶囊咖啡-PEET’S官方旗舰店-广告流量-品牌广告-品牌定制</t>
  </si>
  <si>
    <t>胶囊咖啡-PEET’S官方旗舰店-广告流量-品牌广告-品销宝- 明星店铺</t>
  </si>
  <si>
    <t>胶囊咖啡-PEET’S官方旗舰店-广告流量-站外广告-UD品牌投放</t>
  </si>
  <si>
    <t>胶囊咖啡-illy旗舰店-平台流量-汇总-汇总</t>
  </si>
  <si>
    <t>胶囊咖啡-illy旗舰店-平台流量-手淘搜索-汇总</t>
  </si>
  <si>
    <t>胶囊咖啡-illy旗舰店-平台流量-手淘搜索-手淘搜索-商品及其他</t>
  </si>
  <si>
    <t>胶囊咖啡-illy旗舰店-平台流量-我的淘宝-汇总</t>
  </si>
  <si>
    <t>胶囊咖啡-illy旗舰店-平台流量-购物车-汇总</t>
  </si>
  <si>
    <t>胶囊咖啡-illy旗舰店-平台流量-手淘推荐-汇总</t>
  </si>
  <si>
    <t>胶囊咖啡-illy旗舰店-平台流量-手淘旺信-汇总</t>
  </si>
  <si>
    <t>胶囊咖啡-illy旗舰店-平台流量-淘内待分类-汇总</t>
  </si>
  <si>
    <t>胶囊咖啡-illy旗舰店-平台流量-手淘推荐-首页推荐-直播</t>
  </si>
  <si>
    <t>胶囊咖啡-illy旗舰店-平台流量-手淘推荐-首页推荐-微详情</t>
  </si>
  <si>
    <t>胶囊咖啡-illy旗舰店-平台流量-手淘淘宝直播-汇总</t>
  </si>
  <si>
    <t>胶囊咖啡-illy旗舰店-平台流量-手淘拍立淘-汇总</t>
  </si>
  <si>
    <t>胶囊咖啡-illy旗舰店-平台流量-手机天猫-汇总</t>
  </si>
  <si>
    <t>胶囊咖啡-illy旗舰店-平台流量-一淘-汇总</t>
  </si>
  <si>
    <t>胶囊咖啡-illy旗舰店-平台流量-日常营销活动-汇总</t>
  </si>
  <si>
    <t>胶囊咖啡-illy旗舰店-平台流量-手淘其他店铺-汇总</t>
  </si>
  <si>
    <t>胶囊咖啡-illy旗舰店-平台流量-天猫榜单-汇总</t>
  </si>
  <si>
    <t>胶囊咖啡-illy旗舰店-平台流量-大促会场-汇总</t>
  </si>
  <si>
    <t>胶囊咖啡-illy旗舰店-平台流量-大促会场-主会场</t>
  </si>
  <si>
    <t>胶囊咖啡-illy旗舰店-平台流量-手淘推荐-其他猜你喜欢</t>
  </si>
  <si>
    <t>胶囊咖啡-illy旗舰店-平台流量-百亿补贴-汇总</t>
  </si>
  <si>
    <t>胶囊咖啡-illy旗舰店-平台流量-手淘其他店铺-店铺超链</t>
  </si>
  <si>
    <t>胶囊咖啡-illy旗舰店-平台流量-手机天猫-手猫搜索</t>
  </si>
  <si>
    <t>胶囊咖啡-illy旗舰店-平台流量-关注-汇总</t>
  </si>
  <si>
    <t>胶囊咖啡-illy旗舰店-平台流量-天猫榜单-其他入口榜单</t>
  </si>
  <si>
    <t>胶囊咖啡-illy旗舰店-平台流量-手淘推荐-购后推荐</t>
  </si>
  <si>
    <t>胶囊咖啡-illy旗舰店-平台流量-手淘搜索-手淘搜索-直播</t>
  </si>
  <si>
    <t>胶囊咖啡-illy旗舰店-平台流量-手淘其他店铺-商品详情页头图推荐</t>
  </si>
  <si>
    <t>胶囊咖啡-illy旗舰店-平台流量-手机浏览器访问淘宝-汇总</t>
  </si>
  <si>
    <t>胶囊咖啡-illy旗舰店-平台流量-手机天猫-手猫其他店铺</t>
  </si>
  <si>
    <t>胶囊咖啡-illy旗舰店-平台流量-手淘消息中心-汇总</t>
  </si>
  <si>
    <t>胶囊咖啡-illy旗舰店-平台流量-天猫榜单-商品详情页入口榜单</t>
  </si>
  <si>
    <t>胶囊咖啡-illy旗舰店-平台流量-天猫榜单-搜索入口榜单</t>
  </si>
  <si>
    <t>胶囊咖啡-illy旗舰店-平台流量-手机天猫-手猫免费其他</t>
  </si>
  <si>
    <t>胶囊咖啡-illy旗舰店-平台流量-淘口令分享-汇总</t>
  </si>
  <si>
    <t>胶囊咖啡-illy旗舰店-平台流量-手淘问大家-汇总</t>
  </si>
  <si>
    <t>胶囊咖啡-illy旗舰店-平台流量-短视频全屏页上下滑-汇总</t>
  </si>
  <si>
    <t>胶囊咖啡-illy旗舰店-平台流量-淘宝好价-汇总</t>
  </si>
  <si>
    <t>胶囊咖啡-illy旗舰店-平台流量-淘外网站-汇总</t>
  </si>
  <si>
    <t>胶囊咖啡-illy旗舰店-平台流量-大促会场-榜单会场</t>
  </si>
  <si>
    <t>胶囊咖啡-illy旗舰店-平台流量-手机天猫-手猫首页</t>
  </si>
  <si>
    <t>胶囊咖啡-illy旗舰店-平台流量-手机天猫-手猫商品详情</t>
  </si>
  <si>
    <t>胶囊咖啡-illy旗舰店-平台流量-直接访问-汇总</t>
  </si>
  <si>
    <t>胶囊咖啡-illy旗舰店-平台流量-手机天猫-手猫旺信聊天</t>
  </si>
  <si>
    <t>胶囊咖啡-illy旗舰店-平台流量-芭芭农场-汇总</t>
  </si>
  <si>
    <t>胶囊咖啡-illy旗舰店-平台流量-手淘搜索-手淘搜索-短视频</t>
  </si>
  <si>
    <t>胶囊咖啡-illy旗舰店-平台流量-手机天猫-手机浏览器访问天猫</t>
  </si>
  <si>
    <t>胶囊咖啡-illy旗舰店-平台流量-逛逛-汇总</t>
  </si>
  <si>
    <t>胶囊咖啡-illy旗舰店-平台流量-天猫关注-汇总</t>
  </si>
  <si>
    <t>胶囊咖啡-illy旗舰店-平台流量-手淘推荐-购中推荐</t>
  </si>
  <si>
    <t>胶囊咖啡-illy旗舰店-平台流量-淘宝特价版-汇总</t>
  </si>
  <si>
    <t>胶囊咖啡-illy旗舰店-平台流量-天猫U先试用-汇总</t>
  </si>
  <si>
    <t>胶囊咖啡-illy旗舰店-平台流量-手淘我的评价-汇总</t>
  </si>
  <si>
    <t>胶囊咖啡-illy旗舰店-平台流量-淘宝特价版-淘特推荐</t>
  </si>
  <si>
    <t>胶囊咖啡-illy旗舰店-平台流量-闲鱼-汇总</t>
  </si>
  <si>
    <t>胶囊咖啡-illy旗舰店-平台流量-每日好店-汇总</t>
  </si>
  <si>
    <t>胶囊咖啡-illy旗舰店-平台流量-淘宝特价版-淘特搜索</t>
  </si>
  <si>
    <t>胶囊咖啡-illy旗舰店-平台流量-红包省钱卡-汇总</t>
  </si>
  <si>
    <t>胶囊咖啡-illy旗舰店-平台流量-淘宝特价版-淘特其他渠道</t>
  </si>
  <si>
    <t>胶囊咖啡-illy旗舰店-平台流量-大促会场-热点会场</t>
  </si>
  <si>
    <t>胶囊咖啡-illy旗舰店-平台流量-飞猪-汇总</t>
  </si>
  <si>
    <t>胶囊咖啡-illy旗舰店-平台流量-领券中心-汇总</t>
  </si>
  <si>
    <t>胶囊咖啡-illy旗舰店-平台流量-每平每屋频道-汇总</t>
  </si>
  <si>
    <t>胶囊咖啡-illy旗舰店-平台流量-淘宝吃货-汇总</t>
  </si>
  <si>
    <t>胶囊咖啡-illy旗舰店-平台流量-天猫超级品类日-汇总</t>
  </si>
  <si>
    <t>胶囊咖啡-illy旗舰店-平台流量-手淘买家秀-汇总</t>
  </si>
  <si>
    <t>胶囊咖啡-illy旗舰店-平台流量-手淘摇一摇-汇总</t>
  </si>
  <si>
    <t>胶囊咖啡-illy旗舰店-平台流量-天猫小黑盒-汇总</t>
  </si>
  <si>
    <t>胶囊咖啡-illy旗舰店-平台流量-裂变券引流-汇总</t>
  </si>
  <si>
    <t>胶囊咖啡-illy旗舰店-平台流量-淘宝特价版-淘特互动游戏</t>
  </si>
  <si>
    <t>胶囊咖啡-illy旗舰店-平台流量-淘宝特价版-淘特官方补贴</t>
  </si>
  <si>
    <t>胶囊咖啡-illy旗舰店-平台流量-淘宝特价版-淘特限时秒杀</t>
  </si>
  <si>
    <t>胶囊咖啡-illy旗舰店-平台流量-淘宝特价版-淘特自主访问</t>
  </si>
  <si>
    <t>胶囊咖啡-illy旗舰店-平台流量-品牌福利中心-汇总</t>
  </si>
  <si>
    <t>胶囊咖啡-illy旗舰店-平台流量-每平每屋-汇总</t>
  </si>
  <si>
    <t>胶囊咖啡-illy旗舰店-平台流量-手淘推荐-首页推荐-短视频</t>
  </si>
  <si>
    <t>胶囊咖啡-illy旗舰店-平台流量-手淘推荐-推荐云主题</t>
  </si>
  <si>
    <t>胶囊咖啡-illy旗舰店-平台流量-品牌新享频道-汇总</t>
  </si>
  <si>
    <t>胶囊咖啡-illy旗舰店-平台流量-88VIP频道-汇总</t>
  </si>
  <si>
    <t>胶囊咖啡-illy旗舰店-平台流量-手淘分类导航-汇总</t>
  </si>
  <si>
    <t>胶囊咖啡-illy旗舰店-平台流量-手淘有好价-汇总</t>
  </si>
  <si>
    <t>胶囊咖啡-illy旗舰店-平台流量-淘宝跨境站点-汇总</t>
  </si>
  <si>
    <t>胶囊咖啡-illy旗舰店-平台流量-天猫超市-汇总</t>
  </si>
  <si>
    <t>胶囊咖啡-illy旗舰店-平台流量-盒马-汇总</t>
  </si>
  <si>
    <t>胶囊咖啡-illy旗舰店-平台流量-大麦-汇总</t>
  </si>
  <si>
    <t>胶囊咖啡-illy旗舰店-平台流量-淘工厂直营-汇总</t>
  </si>
  <si>
    <t>胶囊咖啡-illy旗舰店-平台流量-天猫热点-汇总</t>
  </si>
  <si>
    <t>胶囊咖啡-illy旗舰店-平台流量-天猫好房-汇总</t>
  </si>
  <si>
    <t>胶囊咖啡-illy旗舰店-平台流量-淘鲜达-汇总</t>
  </si>
  <si>
    <t>胶囊咖啡-illy旗舰店-平台流量-分享购物车活动-汇总</t>
  </si>
  <si>
    <t>胶囊咖啡-illy旗舰店-平台流量-淘宝必逛-汇总</t>
  </si>
  <si>
    <t>胶囊咖啡-illy旗舰店-平台流量-全民寻宝-汇总</t>
  </si>
  <si>
    <t>胶囊咖啡-illy旗舰店-平台流量-有好货短视频-汇总</t>
  </si>
  <si>
    <t>胶囊咖啡-illy旗舰店-平台流量-有好货图文-汇总</t>
  </si>
  <si>
    <t>胶囊咖啡-illy旗舰店-平台流量-手淘首页-汇总</t>
  </si>
  <si>
    <t>胶囊咖啡-illy旗舰店-平台流量-手淘收藏夹-汇总</t>
  </si>
  <si>
    <t>胶囊咖啡-illy旗舰店-平台流量-手淘淘抢购-汇总</t>
  </si>
  <si>
    <t>胶囊咖啡-illy旗舰店-平台流量-手淘有好货-汇总</t>
  </si>
  <si>
    <t>胶囊咖啡-illy旗舰店-平台流量-手淘红包卡券-汇总</t>
  </si>
  <si>
    <t>胶囊咖啡-illy旗舰店-平台流量-手淘确认订单-汇总</t>
  </si>
  <si>
    <t>胶囊咖啡-illy旗舰店-平台流量-手淘我的足迹-汇总</t>
  </si>
  <si>
    <t>胶囊咖啡-illy旗舰店-平台流量-手淘发现-汇总</t>
  </si>
  <si>
    <t>胶囊咖啡-illy旗舰店-平台流量-手淘天猫国际-汇总</t>
  </si>
  <si>
    <t>胶囊咖啡-illy旗舰店-平台流量-手淘每日新品-汇总</t>
  </si>
  <si>
    <t>胶囊咖啡-illy旗舰店-平台流量-手淘淘金币-汇总</t>
  </si>
  <si>
    <t>胶囊咖啡-illy旗舰店-平台流量-手淘天天特卖-汇总</t>
  </si>
  <si>
    <t>胶囊咖啡-illy旗舰店-平台流量-手淘全球购频道-汇总</t>
  </si>
  <si>
    <t>胶囊咖啡-illy旗舰店-平台流量-手淘社区-汇总</t>
  </si>
  <si>
    <t>胶囊咖啡-illy旗舰店-平台流量-手淘会员俱乐部-汇总</t>
  </si>
  <si>
    <t>胶囊咖啡-illy旗舰店-平台流量-手淘买手圈-汇总</t>
  </si>
  <si>
    <t>胶囊咖啡-illy旗舰店-平台流量-手淘扫一扫-汇总</t>
  </si>
  <si>
    <t>胶囊咖啡-illy旗舰店-平台流量-手淘充值-汇总</t>
  </si>
  <si>
    <t>胶囊咖啡-illy旗舰店-平台流量-手淘喵鲜生-汇总</t>
  </si>
  <si>
    <t>胶囊咖啡-illy旗舰店-平台流量-手淘品牌街-汇总</t>
  </si>
  <si>
    <t>胶囊咖啡-illy旗舰店-平台流量-阿里拍卖-汇总</t>
  </si>
  <si>
    <t>胶囊咖啡-illy旗舰店-平台流量-手淘房产-汇总</t>
  </si>
  <si>
    <t>胶囊咖啡-illy旗舰店-平台流量-手淘必买清单-汇总</t>
  </si>
  <si>
    <t>胶囊咖啡-illy旗舰店-平台流量-手淘潮电街-汇总</t>
  </si>
  <si>
    <t>胶囊咖啡-illy旗舰店-平台流量-手淘极有家-汇总</t>
  </si>
  <si>
    <t>胶囊咖啡-illy旗舰店-平台流量-手淘发表评价-汇总</t>
  </si>
  <si>
    <t>胶囊咖啡-illy旗舰店-平台流量-手淘游戏中心-汇总</t>
  </si>
  <si>
    <t>胶囊咖啡-illy旗舰店-平台流量-手淘找相似-汇总</t>
  </si>
  <si>
    <t>胶囊咖啡-illy旗舰店-平台流量-手淘天猫首页-汇总</t>
  </si>
  <si>
    <t>胶囊咖啡-illy旗舰店-平台流量-手淘品质穿搭-汇总</t>
  </si>
  <si>
    <t>胶囊咖啡-illy旗舰店-平台流量-手淘汇吃-汇总</t>
  </si>
  <si>
    <t>胶囊咖啡-illy旗舰店-平台流量-大促会场-榜单会场-必买榜</t>
  </si>
  <si>
    <t>胶囊咖啡-illy旗舰店-平台流量-手机天猫-手猫天猫快抢购</t>
  </si>
  <si>
    <t>胶囊咖啡-illy旗舰店-平台流量-手机天猫-手猫私房红包</t>
  </si>
  <si>
    <t>胶囊咖啡-illy旗舰店-平台流量-手机天猫-手猫天猫好物</t>
  </si>
  <si>
    <t>胶囊咖啡-illy旗舰店-平台流量-手机天猫-手猫开屏</t>
  </si>
  <si>
    <t>胶囊咖啡-illy旗舰店-平台流量-手机天猫-手猫新人频道</t>
  </si>
  <si>
    <t>胶囊咖啡-illy旗舰店-平台流量-手机天猫-手猫福利雷达</t>
  </si>
  <si>
    <t>胶囊咖啡-illy旗舰店-平台流量-手机天猫-手猫消息中心</t>
  </si>
  <si>
    <t>胶囊咖啡-illy旗舰店-平台流量-手机天猫-手猫天猫国际</t>
  </si>
  <si>
    <t>胶囊咖啡-illy旗舰店-平台流量-手机天猫-手猫扫码</t>
  </si>
  <si>
    <t>胶囊咖啡-illy旗舰店-平台流量-飞猪-飞猪首页</t>
  </si>
  <si>
    <t>胶囊咖啡-illy旗舰店-平台流量-飞猪-飞猪频道</t>
  </si>
  <si>
    <t>胶囊咖啡-illy旗舰店-平台流量-飞猪-飞猪搜索</t>
  </si>
  <si>
    <t>胶囊咖啡-illy旗舰店-平台流量-飞猪-飞猪订单</t>
  </si>
  <si>
    <t>胶囊咖啡-illy旗舰店-平台流量-飞猪-飞猪特价</t>
  </si>
  <si>
    <t>胶囊咖啡-illy旗舰店-平台流量-飞猪-飞猪卡券包</t>
  </si>
  <si>
    <t>胶囊咖啡-illy旗舰店-平台流量-飞猪-飞猪福利中心</t>
  </si>
  <si>
    <t>胶囊咖啡-illy旗舰店-平台流量-飞猪-飞猪会员中心</t>
  </si>
  <si>
    <t>胶囊咖啡-illy旗舰店-平台流量-飞猪-飞猪超级新发线</t>
  </si>
  <si>
    <t>胶囊咖啡-illy旗舰店-平台流量-飞猪-飞猪目的地</t>
  </si>
  <si>
    <t>胶囊咖啡-illy旗舰店-平台流量-飞猪-飞猪行程</t>
  </si>
  <si>
    <t>胶囊咖啡-illy旗舰店-平台流量-飞猪-飞猪发现</t>
  </si>
  <si>
    <t>胶囊咖啡-illy旗舰店-平台流量-飞猪-飞猪旅游度假频道</t>
  </si>
  <si>
    <t>胶囊咖啡-illy旗舰店-平台流量-飞猪-飞猪出境游频道</t>
  </si>
  <si>
    <t>胶囊咖啡-illy旗舰店-平台流量-飞猪-飞猪周边游频道</t>
  </si>
  <si>
    <t>胶囊咖啡-illy旗舰店-平台流量-飞猪-飞猪酒店频道</t>
  </si>
  <si>
    <t>胶囊咖啡-illy旗舰店-平台流量-飞猪-飞猪消息中心</t>
  </si>
  <si>
    <t>胶囊咖啡-illy旗舰店-平台流量-飞猪-飞猪活动营销</t>
  </si>
  <si>
    <t>胶囊咖啡-illy旗舰店-平台流量-飞猪-飞猪旅行主题</t>
  </si>
  <si>
    <t>胶囊咖啡-illy旗舰店-平台流量-飞猪-飞猪直播</t>
  </si>
  <si>
    <t>胶囊咖啡-illy旗舰店-平台流量-飞猪-飞猪内容其他</t>
  </si>
  <si>
    <t>胶囊咖啡-illy旗舰店-平台流量-飞猪-飞猪其他</t>
  </si>
  <si>
    <t>胶囊咖啡-illy旗舰店-平台流量-阿里妈妈权益会场-汇总</t>
  </si>
  <si>
    <t>胶囊咖啡-illy旗舰店-平台流量-阿里妈妈权益会场-阿里妈妈权益直补</t>
  </si>
  <si>
    <t>胶囊咖啡-illy旗舰店-平台流量-阿里妈妈权益会场-阿里妈妈超级惊喜站</t>
  </si>
  <si>
    <t>胶囊咖啡-illy旗舰店-平台流量-阿里妈妈权益会场-经营计划流量反哺</t>
  </si>
  <si>
    <t>胶囊咖啡-illy旗舰店-平台流量-淘宝神店榜-汇总</t>
  </si>
  <si>
    <t>胶囊咖啡-illy旗舰店-平台流量-电视淘宝-汇总</t>
  </si>
  <si>
    <t>胶囊咖啡-illy旗舰店-平台流量-红包签到-汇总</t>
  </si>
  <si>
    <t>胶囊咖啡-illy旗舰店-平台流量-聚划算会场-汇总</t>
  </si>
  <si>
    <t>胶囊咖啡-illy旗舰店-广告流量-汇总-汇总</t>
  </si>
  <si>
    <t>胶囊咖啡-illy旗舰店-广告流量-效果广告-汇总</t>
  </si>
  <si>
    <t>胶囊咖啡-illy旗舰店-广告流量-效果广告-万相台</t>
  </si>
  <si>
    <t>胶囊咖啡-illy旗舰店-广告流量-效果广告-直通车</t>
  </si>
  <si>
    <t>胶囊咖啡-illy旗舰店-广告流量-品牌广告-汇总</t>
  </si>
  <si>
    <t>胶囊咖啡-illy旗舰店-广告流量-品牌广告-品销宝- 明星店铺</t>
  </si>
  <si>
    <t>胶囊咖啡-illy旗舰店-广告流量-站外广告-汇总</t>
  </si>
  <si>
    <t>胶囊咖啡-illy旗舰店-广告流量-站外广告-淘宝客</t>
  </si>
  <si>
    <t>胶囊咖啡-illy旗舰店-广告流量-站外广告-UD效果投放</t>
  </si>
  <si>
    <t>胶囊咖啡-illy旗舰店-广告流量-效果广告-引力魔方</t>
  </si>
  <si>
    <t>胶囊咖啡-illy旗舰店-广告流量-内容广告-超级短视频</t>
  </si>
  <si>
    <t>胶囊咖啡-illy旗舰店-广告流量-内容广告-汇总</t>
  </si>
  <si>
    <t>胶囊咖啡-illy旗舰店-广告流量-站外广告-流量宝</t>
  </si>
  <si>
    <t>胶囊咖啡-illy旗舰店-广告流量-品牌广告-品牌定制</t>
  </si>
  <si>
    <t>胶囊咖啡-illy旗舰店-广告流量-品牌广告-品牌特秀</t>
  </si>
  <si>
    <t>胶囊咖啡-illy旗舰店-广告流量-品牌广告-超级全域通</t>
  </si>
  <si>
    <t>胶囊咖啡-illy旗舰店-广告流量-品牌广告-品销宝- 品牌专区</t>
  </si>
  <si>
    <t>胶囊咖啡-illy旗舰店-广告流量-内容广告-短直联动</t>
  </si>
  <si>
    <t>胶囊咖啡-illy旗舰店-广告流量-内容广告-超级直播</t>
  </si>
  <si>
    <t>胶囊咖啡-illy旗舰店-广告流量-站外广告-UD品牌投放</t>
  </si>
  <si>
    <t>胶囊咖啡-illy旗舰店-广告流量-品牌广告-Showmax</t>
  </si>
  <si>
    <t>胶囊咖啡-星巴克家享咖啡旗舰店-平台流量-汇总-汇总</t>
  </si>
  <si>
    <t>胶囊咖啡-星巴克家享咖啡旗舰店-平台流量-手淘搜索-汇总</t>
  </si>
  <si>
    <t>胶囊咖啡-星巴克家享咖啡旗舰店-平台流量-手淘搜索-手淘搜索-商品及其他</t>
  </si>
  <si>
    <t>胶囊咖啡-星巴克家享咖啡旗舰店-平台流量-购物车-汇总</t>
  </si>
  <si>
    <t>胶囊咖啡-星巴克家享咖啡旗舰店-平台流量-我的淘宝-汇总</t>
  </si>
  <si>
    <t>胶囊咖啡-星巴克家享咖啡旗舰店-平台流量-淘内待分类-汇总</t>
  </si>
  <si>
    <t>胶囊咖啡-星巴克家享咖啡旗舰店-平台流量-手淘旺信-汇总</t>
  </si>
  <si>
    <t>胶囊咖啡-星巴克家享咖啡旗舰店-平台流量-手淘推荐-汇总</t>
  </si>
  <si>
    <t>胶囊咖啡-星巴克家享咖啡旗舰店-平台流量-手淘淘宝直播-汇总</t>
  </si>
  <si>
    <t>胶囊咖啡-星巴克家享咖啡旗舰店-平台流量-手淘推荐-首页推荐-微详情</t>
  </si>
  <si>
    <t>胶囊咖啡-星巴克家享咖啡旗舰店-平台流量-一淘-汇总</t>
  </si>
  <si>
    <t>胶囊咖啡-星巴克家享咖啡旗舰店-平台流量-天猫榜单-汇总</t>
  </si>
  <si>
    <t>胶囊咖啡-星巴克家享咖啡旗舰店-平台流量-手淘推荐-首页推荐-直播</t>
  </si>
  <si>
    <t>胶囊咖啡-星巴克家享咖啡旗舰店-平台流量-日常营销活动-汇总</t>
  </si>
  <si>
    <t>胶囊咖啡-星巴克家享咖啡旗舰店-平台流量-手淘推荐-其他猜你喜欢</t>
  </si>
  <si>
    <t>胶囊咖啡-星巴克家享咖啡旗舰店-平台流量-手机天猫-汇总</t>
  </si>
  <si>
    <t>胶囊咖啡-星巴克家享咖啡旗舰店-平台流量-手淘其他店铺-汇总</t>
  </si>
  <si>
    <t>胶囊咖啡-星巴克家享咖啡旗舰店-平台流量-天猫榜单-其他入口榜单</t>
  </si>
  <si>
    <t>胶囊咖啡-星巴克家享咖啡旗舰店-平台流量-手机天猫-手猫搜索</t>
  </si>
  <si>
    <t>胶囊咖啡-星巴克家享咖啡旗舰店-平台流量-大促会场-汇总</t>
  </si>
  <si>
    <t>胶囊咖啡-星巴克家享咖啡旗舰店-平台流量-手淘其他店铺-店铺超链</t>
  </si>
  <si>
    <t>胶囊咖啡-星巴克家享咖啡旗舰店-平台流量-手淘拍立淘-汇总</t>
  </si>
  <si>
    <t>胶囊咖啡-星巴克家享咖啡旗舰店-平台流量-大促会场-主会场</t>
  </si>
  <si>
    <t>胶囊咖啡-星巴克家享咖啡旗舰店-平台流量-手淘搜索-手淘搜索-直播</t>
  </si>
  <si>
    <t>胶囊咖啡-星巴克家享咖啡旗舰店-平台流量-手淘其他店铺-商品详情页头图推荐</t>
  </si>
  <si>
    <t>胶囊咖啡-星巴克家享咖啡旗舰店-平台流量-天猫榜单-搜索入口榜单</t>
  </si>
  <si>
    <t>胶囊咖啡-星巴克家享咖啡旗舰店-平台流量-天猫榜单-商品详情页入口榜单</t>
  </si>
  <si>
    <t>胶囊咖啡-星巴克家享咖啡旗舰店-平台流量-关注-汇总</t>
  </si>
  <si>
    <t>胶囊咖啡-星巴克家享咖啡旗舰店-平台流量-手淘问大家-汇总</t>
  </si>
  <si>
    <t>胶囊咖啡-星巴克家享咖啡旗舰店-平台流量-百亿补贴-汇总</t>
  </si>
  <si>
    <t>胶囊咖啡-星巴克家享咖啡旗舰店-平台流量-淘口令分享-汇总</t>
  </si>
  <si>
    <t>胶囊咖啡-星巴克家享咖啡旗舰店-平台流量-手淘消息中心-汇总</t>
  </si>
  <si>
    <t>胶囊咖啡-星巴克家享咖啡旗舰店-平台流量-短视频全屏页上下滑-汇总</t>
  </si>
  <si>
    <t>胶囊咖啡-星巴克家享咖啡旗舰店-平台流量-聚划算会场-汇总</t>
  </si>
  <si>
    <t>胶囊咖啡-星巴克家享咖啡旗舰店-平台流量-手机浏览器访问淘宝-汇总</t>
  </si>
  <si>
    <t>胶囊咖啡-星巴克家享咖啡旗舰店-平台流量-淘外网站-汇总</t>
  </si>
  <si>
    <t>胶囊咖啡-星巴克家享咖啡旗舰店-平台流量-芭芭农场-汇总</t>
  </si>
  <si>
    <t>胶囊咖啡-星巴克家享咖啡旗舰店-平台流量-手淘推荐-购后推荐</t>
  </si>
  <si>
    <t>胶囊咖啡-星巴克家享咖啡旗舰店-平台流量-手机天猫-手猫免费其他</t>
  </si>
  <si>
    <t>胶囊咖啡-星巴克家享咖啡旗舰店-平台流量-大促会场-榜单会场</t>
  </si>
  <si>
    <t>胶囊咖啡-星巴克家享咖啡旗舰店-平台流量-手机天猫-手猫首页</t>
  </si>
  <si>
    <t>胶囊咖啡-星巴克家享咖啡旗舰店-平台流量-手机天猫-手猫其他店铺</t>
  </si>
  <si>
    <t>胶囊咖啡-星巴克家享咖啡旗舰店-平台流量-淘宝好价-汇总</t>
  </si>
  <si>
    <t>胶囊咖啡-星巴克家享咖啡旗舰店-平台流量-手机天猫-手猫商品详情</t>
  </si>
  <si>
    <t>胶囊咖啡-星巴克家享咖啡旗舰店-平台流量-直接访问-汇总</t>
  </si>
  <si>
    <t>胶囊咖啡-星巴克家享咖啡旗舰店-平台流量-大促会场-热点会场</t>
  </si>
  <si>
    <t>胶囊咖啡-星巴克家享咖啡旗舰店-平台流量-红包省钱卡-汇总</t>
  </si>
  <si>
    <t>胶囊咖啡-星巴克家享咖啡旗舰店-平台流量-手机天猫-手猫旺信聊天</t>
  </si>
  <si>
    <t>胶囊咖啡-星巴克家享咖啡旗舰店-平台流量-闲鱼-汇总</t>
  </si>
  <si>
    <t>胶囊咖啡-星巴克家享咖啡旗舰店-平台流量-淘宝特价版-汇总</t>
  </si>
  <si>
    <t>胶囊咖啡-星巴克家享咖啡旗舰店-平台流量-阿里妈妈权益会场-汇总</t>
  </si>
  <si>
    <t>胶囊咖啡-星巴克家享咖啡旗舰店-平台流量-阿里妈妈权益会场-阿里妈妈超级惊喜站</t>
  </si>
  <si>
    <t>胶囊咖啡-星巴克家享咖啡旗舰店-平台流量-手淘推荐-购中推荐</t>
  </si>
  <si>
    <t>胶囊咖啡-星巴克家享咖啡旗舰店-平台流量-逛逛-汇总</t>
  </si>
  <si>
    <t>胶囊咖啡-星巴克家享咖啡旗舰店-平台流量-手淘搜索-手淘搜索-短视频</t>
  </si>
  <si>
    <t>胶囊咖啡-星巴克家享咖啡旗舰店-平台流量-裂变券引流-汇总</t>
  </si>
  <si>
    <t>胶囊咖啡-星巴克家享咖啡旗舰店-平台流量-手机天猫-手机浏览器访问天猫</t>
  </si>
  <si>
    <t>胶囊咖啡-星巴克家享咖啡旗舰店-平台流量-淘宝特价版-淘特搜索</t>
  </si>
  <si>
    <t>胶囊咖啡-星巴克家享咖啡旗舰店-平台流量-天猫关注-汇总</t>
  </si>
  <si>
    <t>胶囊咖啡-星巴克家享咖啡旗舰店-平台流量-88VIP频道-汇总</t>
  </si>
  <si>
    <t>胶囊咖啡-星巴克家享咖啡旗舰店-平台流量-淘宝特价版-淘特其他渠道</t>
  </si>
  <si>
    <t>胶囊咖啡-星巴克家享咖啡旗舰店-平台流量-淘宝特价版-淘特互动游戏</t>
  </si>
  <si>
    <t>胶囊咖啡-星巴克家享咖啡旗舰店-平台流量-手淘我的评价-汇总</t>
  </si>
  <si>
    <t>胶囊咖啡-星巴克家享咖啡旗舰店-平台流量-手淘淘金币-汇总</t>
  </si>
  <si>
    <t>胶囊咖啡-星巴克家享咖啡旗舰店-平台流量-每日好店-汇总</t>
  </si>
  <si>
    <t>胶囊咖啡-星巴克家享咖啡旗舰店-平台流量-淘宝特价版-淘特推荐</t>
  </si>
  <si>
    <t>胶囊咖啡-星巴克家享咖啡旗舰店-平台流量-淘宝跨境站点-汇总</t>
  </si>
  <si>
    <t>胶囊咖啡-星巴克家享咖啡旗舰店-平台流量-电视淘宝-汇总</t>
  </si>
  <si>
    <t>胶囊咖啡-星巴克家享咖啡旗舰店-平台流量-天猫U先试用-汇总</t>
  </si>
  <si>
    <t>胶囊咖啡-星巴克家享咖啡旗舰店-平台流量-手淘充值-汇总</t>
  </si>
  <si>
    <t>胶囊咖啡-星巴克家享咖啡旗舰店-平台流量-手淘推荐-首页推荐-短视频</t>
  </si>
  <si>
    <t>胶囊咖啡-星巴克家享咖啡旗舰店-平台流量-手淘有好货-汇总</t>
  </si>
  <si>
    <t>胶囊咖啡-星巴克家享咖啡旗舰店-平台流量-阿里拍卖-汇总</t>
  </si>
  <si>
    <t>胶囊咖啡-星巴克家享咖啡旗舰店-平台流量-淘宝特价版-淘特自主访问</t>
  </si>
  <si>
    <t>胶囊咖啡-星巴克家享咖啡旗舰店-平台流量-手淘推荐-推荐云主题</t>
  </si>
  <si>
    <t>胶囊咖啡-星巴克家享咖啡旗舰店-平台流量-手机天猫-手猫消息中心</t>
  </si>
  <si>
    <t>胶囊咖啡-星巴克家享咖啡旗舰店-平台流量-手淘发表评价-汇总</t>
  </si>
  <si>
    <t>胶囊咖啡-星巴克家享咖啡旗舰店-平台流量-手淘每日新品-汇总</t>
  </si>
  <si>
    <t>胶囊咖啡-星巴克家享咖啡旗舰店-平台流量-淘宝神店榜-汇总</t>
  </si>
  <si>
    <t>胶囊咖啡-星巴克家享咖啡旗舰店-平台流量-阿里妈妈权益会场-经营计划流量反哺</t>
  </si>
  <si>
    <t>胶囊咖啡-星巴克家享咖啡旗舰店-平台流量-阿里妈妈权益会场-阿里妈妈权益直补</t>
  </si>
  <si>
    <t>胶囊咖啡-星巴克家享咖啡旗舰店-平台流量-飞猪-飞猪其他</t>
  </si>
  <si>
    <t>胶囊咖啡-星巴克家享咖啡旗舰店-平台流量-飞猪-飞猪内容其他</t>
  </si>
  <si>
    <t>胶囊咖啡-星巴克家享咖啡旗舰店-平台流量-飞猪-飞猪直播</t>
  </si>
  <si>
    <t>胶囊咖啡-星巴克家享咖啡旗舰店-平台流量-飞猪-飞猪旅行主题</t>
  </si>
  <si>
    <t>胶囊咖啡-星巴克家享咖啡旗舰店-平台流量-飞猪-飞猪活动营销</t>
  </si>
  <si>
    <t>胶囊咖啡-星巴克家享咖啡旗舰店-平台流量-飞猪-飞猪消息中心</t>
  </si>
  <si>
    <t>胶囊咖啡-星巴克家享咖啡旗舰店-平台流量-飞猪-飞猪酒店频道</t>
  </si>
  <si>
    <t>胶囊咖啡-星巴克家享咖啡旗舰店-平台流量-飞猪-飞猪周边游频道</t>
  </si>
  <si>
    <t>胶囊咖啡-星巴克家享咖啡旗舰店-平台流量-飞猪-飞猪出境游频道</t>
  </si>
  <si>
    <t>胶囊咖啡-星巴克家享咖啡旗舰店-平台流量-飞猪-飞猪旅游度假频道</t>
  </si>
  <si>
    <t>胶囊咖啡-星巴克家享咖啡旗舰店-平台流量-飞猪-飞猪发现</t>
  </si>
  <si>
    <t>胶囊咖啡-星巴克家享咖啡旗舰店-平台流量-飞猪-飞猪行程</t>
  </si>
  <si>
    <t>胶囊咖啡-星巴克家享咖啡旗舰店-平台流量-飞猪-飞猪目的地</t>
  </si>
  <si>
    <t>胶囊咖啡-星巴克家享咖啡旗舰店-平台流量-飞猪-飞猪超级新发线</t>
  </si>
  <si>
    <t>胶囊咖啡-星巴克家享咖啡旗舰店-平台流量-飞猪-飞猪会员中心</t>
  </si>
  <si>
    <t>胶囊咖啡-星巴克家享咖啡旗舰店-平台流量-飞猪-飞猪福利中心</t>
  </si>
  <si>
    <t>胶囊咖啡-星巴克家享咖啡旗舰店-平台流量-飞猪-飞猪卡券包</t>
  </si>
  <si>
    <t>胶囊咖啡-星巴克家享咖啡旗舰店-平台流量-飞猪-飞猪特价</t>
  </si>
  <si>
    <t>胶囊咖啡-星巴克家享咖啡旗舰店-平台流量-飞猪-飞猪订单</t>
  </si>
  <si>
    <t>胶囊咖啡-星巴克家享咖啡旗舰店-平台流量-飞猪-飞猪搜索</t>
  </si>
  <si>
    <t>胶囊咖啡-星巴克家享咖啡旗舰店-平台流量-飞猪-飞猪频道</t>
  </si>
  <si>
    <t>胶囊咖啡-星巴克家享咖啡旗舰店-平台流量-飞猪-飞猪首页</t>
  </si>
  <si>
    <t>胶囊咖啡-星巴克家享咖啡旗舰店-平台流量-飞猪-汇总</t>
  </si>
  <si>
    <t>胶囊咖啡-星巴克家享咖啡旗舰店-平台流量-手机天猫-手猫扫码</t>
  </si>
  <si>
    <t>胶囊咖啡-星巴克家享咖啡旗舰店-平台流量-手机天猫-手猫天猫国际</t>
  </si>
  <si>
    <t>胶囊咖啡-星巴克家享咖啡旗舰店-平台流量-手机天猫-手猫福利雷达</t>
  </si>
  <si>
    <t>胶囊咖啡-星巴克家享咖啡旗舰店-平台流量-手机天猫-手猫新人频道</t>
  </si>
  <si>
    <t>胶囊咖啡-星巴克家享咖啡旗舰店-平台流量-手机天猫-手猫开屏</t>
  </si>
  <si>
    <t>胶囊咖啡-星巴克家享咖啡旗舰店-平台流量-手机天猫-手猫天猫好物</t>
  </si>
  <si>
    <t>胶囊咖啡-星巴克家享咖啡旗舰店-平台流量-手机天猫-手猫私房红包</t>
  </si>
  <si>
    <t>胶囊咖啡-星巴克家享咖啡旗舰店-平台流量-手机天猫-手猫天猫快抢购</t>
  </si>
  <si>
    <t>胶囊咖啡-星巴克家享咖啡旗舰店-平台流量-大促会场-榜单会场-必买榜</t>
  </si>
  <si>
    <t>胶囊咖啡-星巴克家享咖啡旗舰店-平台流量-手淘汇吃-汇总</t>
  </si>
  <si>
    <t>胶囊咖啡-星巴克家享咖啡旗舰店-平台流量-手淘品质穿搭-汇总</t>
  </si>
  <si>
    <t>胶囊咖啡-星巴克家享咖啡旗舰店-平台流量-手淘天猫首页-汇总</t>
  </si>
  <si>
    <t>胶囊咖啡-星巴克家享咖啡旗舰店-平台流量-手淘找相似-汇总</t>
  </si>
  <si>
    <t>胶囊咖啡-星巴克家享咖啡旗舰店-平台流量-手淘游戏中心-汇总</t>
  </si>
  <si>
    <t>胶囊咖啡-星巴克家享咖啡旗舰店-平台流量-手淘极有家-汇总</t>
  </si>
  <si>
    <t>胶囊咖啡-星巴克家享咖啡旗舰店-平台流量-手淘潮电街-汇总</t>
  </si>
  <si>
    <t>胶囊咖啡-星巴克家享咖啡旗舰店-平台流量-手淘必买清单-汇总</t>
  </si>
  <si>
    <t>胶囊咖啡-星巴克家享咖啡旗舰店-平台流量-手淘房产-汇总</t>
  </si>
  <si>
    <t>胶囊咖啡-星巴克家享咖啡旗舰店-平台流量-手淘品牌街-汇总</t>
  </si>
  <si>
    <t>胶囊咖啡-星巴克家享咖啡旗舰店-平台流量-手淘喵鲜生-汇总</t>
  </si>
  <si>
    <t>胶囊咖啡-星巴克家享咖啡旗舰店-平台流量-手淘扫一扫-汇总</t>
  </si>
  <si>
    <t>胶囊咖啡-星巴克家享咖啡旗舰店-平台流量-手淘买手圈-汇总</t>
  </si>
  <si>
    <t>胶囊咖啡-星巴克家享咖啡旗舰店-平台流量-手淘会员俱乐部-汇总</t>
  </si>
  <si>
    <t>胶囊咖啡-星巴克家享咖啡旗舰店-平台流量-手淘社区-汇总</t>
  </si>
  <si>
    <t>胶囊咖啡-星巴克家享咖啡旗舰店-平台流量-手淘全球购频道-汇总</t>
  </si>
  <si>
    <t>胶囊咖啡-星巴克家享咖啡旗舰店-平台流量-手淘天天特卖-汇总</t>
  </si>
  <si>
    <t>胶囊咖啡-星巴克家享咖啡旗舰店-平台流量-手淘天猫国际-汇总</t>
  </si>
  <si>
    <t>胶囊咖啡-星巴克家享咖啡旗舰店-平台流量-手淘发现-汇总</t>
  </si>
  <si>
    <t>胶囊咖啡-星巴克家享咖啡旗舰店-平台流量-手淘我的足迹-汇总</t>
  </si>
  <si>
    <t>胶囊咖啡-星巴克家享咖啡旗舰店-平台流量-手淘确认订单-汇总</t>
  </si>
  <si>
    <t>胶囊咖啡-星巴克家享咖啡旗舰店-平台流量-手淘红包卡券-汇总</t>
  </si>
  <si>
    <t>胶囊咖啡-星巴克家享咖啡旗舰店-平台流量-手淘淘抢购-汇总</t>
  </si>
  <si>
    <t>胶囊咖啡-星巴克家享咖啡旗舰店-平台流量-手淘收藏夹-汇总</t>
  </si>
  <si>
    <t>胶囊咖啡-星巴克家享咖啡旗舰店-平台流量-手淘首页-汇总</t>
  </si>
  <si>
    <t>胶囊咖啡-星巴克家享咖啡旗舰店-平台流量-有好货图文-汇总</t>
  </si>
  <si>
    <t>胶囊咖啡-星巴克家享咖啡旗舰店-平台流量-有好货短视频-汇总</t>
  </si>
  <si>
    <t>胶囊咖啡-星巴克家享咖啡旗舰店-平台流量-全民寻宝-汇总</t>
  </si>
  <si>
    <t>胶囊咖啡-星巴克家享咖啡旗舰店-平台流量-淘宝必逛-汇总</t>
  </si>
  <si>
    <t>胶囊咖啡-星巴克家享咖啡旗舰店-平台流量-分享购物车活动-汇总</t>
  </si>
  <si>
    <t>胶囊咖啡-星巴克家享咖啡旗舰店-平台流量-淘鲜达-汇总</t>
  </si>
  <si>
    <t>胶囊咖啡-星巴克家享咖啡旗舰店-平台流量-天猫好房-汇总</t>
  </si>
  <si>
    <t>胶囊咖啡-星巴克家享咖啡旗舰店-平台流量-天猫热点-汇总</t>
  </si>
  <si>
    <t>胶囊咖啡-星巴克家享咖啡旗舰店-平台流量-淘工厂直营-汇总</t>
  </si>
  <si>
    <t>胶囊咖啡-星巴克家享咖啡旗舰店-平台流量-大麦-汇总</t>
  </si>
  <si>
    <t>胶囊咖啡-星巴克家享咖啡旗舰店-平台流量-盒马-汇总</t>
  </si>
  <si>
    <t>胶囊咖啡-星巴克家享咖啡旗舰店-平台流量-天猫超市-汇总</t>
  </si>
  <si>
    <t>胶囊咖啡-星巴克家享咖啡旗舰店-平台流量-手淘有好价-汇总</t>
  </si>
  <si>
    <t>胶囊咖啡-星巴克家享咖啡旗舰店-平台流量-手淘分类导航-汇总</t>
  </si>
  <si>
    <t>胶囊咖啡-星巴克家享咖啡旗舰店-平台流量-品牌新享频道-汇总</t>
  </si>
  <si>
    <t>胶囊咖啡-星巴克家享咖啡旗舰店-平台流量-每平每屋-汇总</t>
  </si>
  <si>
    <t>胶囊咖啡-星巴克家享咖啡旗舰店-平台流量-品牌福利中心-汇总</t>
  </si>
  <si>
    <t>胶囊咖啡-星巴克家享咖啡旗舰店-平台流量-淘宝特价版-淘特限时秒杀</t>
  </si>
  <si>
    <t>胶囊咖啡-星巴克家享咖啡旗舰店-平台流量-淘宝特价版-淘特官方补贴</t>
  </si>
  <si>
    <t>胶囊咖啡-星巴克家享咖啡旗舰店-平台流量-天猫小黑盒-汇总</t>
  </si>
  <si>
    <t>胶囊咖啡-星巴克家享咖啡旗舰店-平台流量-手淘摇一摇-汇总</t>
  </si>
  <si>
    <t>胶囊咖啡-星巴克家享咖啡旗舰店-平台流量-手淘买家秀-汇总</t>
  </si>
  <si>
    <t>胶囊咖啡-星巴克家享咖啡旗舰店-平台流量-天猫超级品类日-汇总</t>
  </si>
  <si>
    <t>胶囊咖啡-星巴克家享咖啡旗舰店-平台流量-淘宝吃货-汇总</t>
  </si>
  <si>
    <t>胶囊咖啡-星巴克家享咖啡旗舰店-平台流量-每平每屋频道-汇总</t>
  </si>
  <si>
    <t>胶囊咖啡-星巴克家享咖啡旗舰店-平台流量-领券中心-汇总</t>
  </si>
  <si>
    <t>胶囊咖啡-星巴克家享咖啡旗舰店-平台流量-红包签到-汇总</t>
  </si>
  <si>
    <t>胶囊咖啡-星巴克家享咖啡旗舰店-广告流量-汇总-汇总</t>
  </si>
  <si>
    <t>胶囊咖啡-星巴克家享咖啡旗舰店-广告流量-效果广告-汇总</t>
  </si>
  <si>
    <t>胶囊咖啡-星巴克家享咖啡旗舰店-广告流量-效果广告-万相台</t>
  </si>
  <si>
    <t>胶囊咖啡-星巴克家享咖啡旗舰店-广告流量-效果广告-直通车</t>
  </si>
  <si>
    <t>胶囊咖啡-星巴克家享咖啡旗舰店-广告流量-效果广告-引力魔方</t>
  </si>
  <si>
    <t>胶囊咖啡-星巴克家享咖啡旗舰店-广告流量-站外广告-汇总</t>
  </si>
  <si>
    <t>胶囊咖啡-星巴克家享咖啡旗舰店-广告流量-站外广告-淘宝客</t>
  </si>
  <si>
    <t>胶囊咖啡-星巴克家享咖啡旗舰店-广告流量-品牌广告-汇总</t>
  </si>
  <si>
    <t>胶囊咖啡-星巴克家享咖啡旗舰店-广告流量-品牌广告-品销宝- 品牌专区</t>
  </si>
  <si>
    <t>胶囊咖啡-星巴克家享咖啡旗舰店-广告流量-内容广告-汇总</t>
  </si>
  <si>
    <t>胶囊咖啡-星巴克家享咖啡旗舰店-广告流量-内容广告-超级直播</t>
  </si>
  <si>
    <t>胶囊咖啡-星巴克家享咖啡旗舰店-广告流量-站外广告-流量宝</t>
  </si>
  <si>
    <t>胶囊咖啡-星巴克家享咖啡旗舰店-广告流量-内容广告-超级短视频</t>
  </si>
  <si>
    <t>胶囊咖啡-星巴克家享咖啡旗舰店-广告流量-品牌广告-品牌定制</t>
  </si>
  <si>
    <t>胶囊咖啡-星巴克家享咖啡旗舰店-广告流量-站外广告-UD效果投放</t>
  </si>
  <si>
    <t>胶囊咖啡-星巴克家享咖啡旗舰店-广告流量-品牌广告-品牌特秀</t>
  </si>
  <si>
    <t>胶囊咖啡-星巴克家享咖啡旗舰店-广告流量-品牌广告-超级全域通</t>
  </si>
  <si>
    <t>胶囊咖啡-星巴克家享咖啡旗舰店-广告流量-品牌广告-Showmax</t>
  </si>
  <si>
    <t>胶囊咖啡-星巴克家享咖啡旗舰店-广告流量-内容广告-短直联动</t>
  </si>
  <si>
    <t>胶囊咖啡-星巴克家享咖啡旗舰店-广告流量-站外广告-UD品牌投放</t>
  </si>
  <si>
    <t>胶囊咖啡-星巴克家享咖啡旗舰店-广告流量-品牌广告-品销宝- 明星店铺</t>
  </si>
  <si>
    <t>胶囊咖啡-隅田川旗舰店-平台流量-汇总-汇总</t>
  </si>
  <si>
    <t>胶囊咖啡-隅田川旗舰店-平台流量-手淘淘宝直播-汇总</t>
  </si>
  <si>
    <t>胶囊咖啡-隅田川旗舰店-平台流量-手淘搜索-汇总</t>
  </si>
  <si>
    <t>胶囊咖啡-隅田川旗舰店-平台流量-手淘搜索-手淘搜索-商品及其他</t>
  </si>
  <si>
    <t>胶囊咖啡-隅田川旗舰店-平台流量-购物车-汇总</t>
  </si>
  <si>
    <t>胶囊咖啡-隅田川旗舰店-平台流量-我的淘宝-汇总</t>
  </si>
  <si>
    <t>胶囊咖啡-隅田川旗舰店-平台流量-手淘旺信-汇总</t>
  </si>
  <si>
    <t>胶囊咖啡-隅田川旗舰店-平台流量-淘内待分类-汇总</t>
  </si>
  <si>
    <t>胶囊咖啡-隅田川旗舰店-平台流量-手淘推荐-汇总</t>
  </si>
  <si>
    <t>胶囊咖啡-隅田川旗舰店-平台流量-手淘其他店铺-汇总</t>
  </si>
  <si>
    <t>胶囊咖啡-隅田川旗舰店-平台流量-手淘其他店铺-商品详情页头图推荐</t>
  </si>
  <si>
    <t>胶囊咖啡-隅田川旗舰店-平台流量-手淘推荐-其他猜你喜欢</t>
  </si>
  <si>
    <t>胶囊咖啡-隅田川旗舰店-平台流量-手淘推荐-首页推荐-直播</t>
  </si>
  <si>
    <t>胶囊咖啡-隅田川旗舰店-平台流量-一淘-汇总</t>
  </si>
  <si>
    <t>胶囊咖啡-隅田川旗舰店-平台流量-手淘推荐-首页推荐-微详情</t>
  </si>
  <si>
    <t>胶囊咖啡-隅田川旗舰店-平台流量-天猫榜单-汇总</t>
  </si>
  <si>
    <t>胶囊咖啡-隅田川旗舰店-平台流量-日常营销活动-汇总</t>
  </si>
  <si>
    <t>胶囊咖啡-隅田川旗舰店-平台流量-淘口令分享-汇总</t>
  </si>
  <si>
    <t>胶囊咖啡-隅田川旗舰店-平台流量-手淘搜索-手淘搜索-直播</t>
  </si>
  <si>
    <t>胶囊咖啡-隅田川旗舰店-平台流量-手淘拍立淘-汇总</t>
  </si>
  <si>
    <t>胶囊咖啡-隅田川旗舰店-平台流量-手淘消息中心-汇总</t>
  </si>
  <si>
    <t>胶囊咖啡-隅田川旗舰店-平台流量-手淘问大家-汇总</t>
  </si>
  <si>
    <t>胶囊咖啡-隅田川旗舰店-平台流量-天猫榜单-其他入口榜单</t>
  </si>
  <si>
    <t>胶囊咖啡-隅田川旗舰店-平台流量-芭芭农场-汇总</t>
  </si>
  <si>
    <t>胶囊咖啡-隅田川旗舰店-平台流量-关注-汇总</t>
  </si>
  <si>
    <t>胶囊咖啡-隅田川旗舰店-平台流量-手机天猫-汇总</t>
  </si>
  <si>
    <t>胶囊咖啡-隅田川旗舰店-平台流量-手淘推荐-购后推荐</t>
  </si>
  <si>
    <t>胶囊咖啡-隅田川旗舰店-平台流量-手淘其他店铺-店铺超链</t>
  </si>
  <si>
    <t>胶囊咖啡-隅田川旗舰店-平台流量-大促会场-汇总</t>
  </si>
  <si>
    <t>胶囊咖啡-隅田川旗舰店-平台流量-淘外网站-汇总</t>
  </si>
  <si>
    <t>胶囊咖啡-隅田川旗舰店-平台流量-天猫榜单-商品详情页入口榜单</t>
  </si>
  <si>
    <t>胶囊咖啡-隅田川旗舰店-平台流量-短视频全屏页上下滑-汇总</t>
  </si>
  <si>
    <t>胶囊咖啡-隅田川旗舰店-平台流量-大促会场-主会场</t>
  </si>
  <si>
    <t>胶囊咖啡-隅田川旗舰店-平台流量-天猫榜单-搜索入口榜单</t>
  </si>
  <si>
    <t>胶囊咖啡-隅田川旗舰店-平台流量-手机天猫-手猫搜索</t>
  </si>
  <si>
    <t>胶囊咖啡-隅田川旗舰店-平台流量-天猫小黑盒-汇总</t>
  </si>
  <si>
    <t>胶囊咖啡-隅田川旗舰店-平台流量-手机浏览器访问淘宝-汇总</t>
  </si>
  <si>
    <t>胶囊咖啡-隅田川旗舰店-平台流量-百亿补贴-汇总</t>
  </si>
  <si>
    <t>胶囊咖啡-隅田川旗舰店-平台流量-大促会场-榜单会场</t>
  </si>
  <si>
    <t>胶囊咖啡-隅田川旗舰店-平台流量-手机天猫-手猫首页</t>
  </si>
  <si>
    <t>胶囊咖啡-隅田川旗舰店-平台流量-手机天猫-手猫免费其他</t>
  </si>
  <si>
    <t>胶囊咖啡-隅田川旗舰店-平台流量-淘宝好价-汇总</t>
  </si>
  <si>
    <t>胶囊咖啡-隅田川旗舰店-平台流量-逛逛-汇总</t>
  </si>
  <si>
    <t>胶囊咖啡-隅田川旗舰店-平台流量-闲鱼-汇总</t>
  </si>
  <si>
    <t>胶囊咖啡-隅田川旗舰店-平台流量-手机天猫-手猫商品详情</t>
  </si>
  <si>
    <t>胶囊咖啡-隅田川旗舰店-平台流量-阿里妈妈权益会场-汇总</t>
  </si>
  <si>
    <t>胶囊咖啡-隅田川旗舰店-平台流量-阿里妈妈权益会场-阿里妈妈超级惊喜站</t>
  </si>
  <si>
    <t>胶囊咖啡-隅田川旗舰店-平台流量-直接访问-汇总</t>
  </si>
  <si>
    <t>胶囊咖啡-隅田川旗舰店-平台流量-手机天猫-手机浏览器访问天猫</t>
  </si>
  <si>
    <t>胶囊咖啡-隅田川旗舰店-平台流量-手淘我的评价-汇总</t>
  </si>
  <si>
    <t>胶囊咖啡-隅田川旗舰店-平台流量-红包省钱卡-汇总</t>
  </si>
  <si>
    <t>胶囊咖啡-隅田川旗舰店-平台流量-手机天猫-手猫旺信聊天</t>
  </si>
  <si>
    <t>胶囊咖啡-隅田川旗舰店-平台流量-每日好店-汇总</t>
  </si>
  <si>
    <t>胶囊咖啡-隅田川旗舰店-平台流量-手机天猫-手猫其他店铺</t>
  </si>
  <si>
    <t>胶囊咖啡-隅田川旗舰店-平台流量-手淘搜索-手淘搜索-短视频</t>
  </si>
  <si>
    <t>胶囊咖啡-隅田川旗舰店-平台流量-电视淘宝-汇总</t>
  </si>
  <si>
    <t>胶囊咖啡-隅田川旗舰店-平台流量-手淘推荐-购中推荐</t>
  </si>
  <si>
    <t>胶囊咖啡-隅田川旗舰店-平台流量-淘宝特价版-汇总</t>
  </si>
  <si>
    <t>胶囊咖啡-隅田川旗舰店-平台流量-聚划算会场-汇总</t>
  </si>
  <si>
    <t>胶囊咖啡-隅田川旗舰店-平台流量-88VIP频道-汇总</t>
  </si>
  <si>
    <t>胶囊咖啡-隅田川旗舰店-平台流量-淘宝特价版-淘特搜索</t>
  </si>
  <si>
    <t>胶囊咖啡-隅田川旗舰店-平台流量-淘宝特价版-淘特其他渠道</t>
  </si>
  <si>
    <t>胶囊咖啡-隅田川旗舰店-平台流量-天猫U先试用-汇总</t>
  </si>
  <si>
    <t>胶囊咖啡-隅田川旗舰店-平台流量-手淘淘金币-汇总</t>
  </si>
  <si>
    <t>胶囊咖啡-隅田川旗舰店-平台流量-淘宝跨境站点-汇总</t>
  </si>
  <si>
    <t>胶囊咖啡-隅田川旗舰店-平台流量-飞猪-汇总</t>
  </si>
  <si>
    <t>胶囊咖啡-隅田川旗舰店-平台流量-淘宝特价版-淘特自主访问</t>
  </si>
  <si>
    <t>胶囊咖啡-隅田川旗舰店-平台流量-手淘推荐-首页推荐-短视频</t>
  </si>
  <si>
    <t>胶囊咖啡-隅田川旗舰店-平台流量-阿里妈妈权益会场-经营计划流量反哺</t>
  </si>
  <si>
    <t>胶囊咖啡-隅田川旗舰店-平台流量-手淘充值-汇总</t>
  </si>
  <si>
    <t>胶囊咖啡-隅田川旗舰店-平台流量-飞猪-飞猪其他</t>
  </si>
  <si>
    <t>胶囊咖啡-隅田川旗舰店-平台流量-手淘有好价-汇总</t>
  </si>
  <si>
    <t>胶囊咖啡-隅田川旗舰店-平台流量-阿里拍卖-汇总</t>
  </si>
  <si>
    <t>胶囊咖啡-隅田川旗舰店-平台流量-飞猪-飞猪发现</t>
  </si>
  <si>
    <t>胶囊咖啡-隅田川旗舰店-平台流量-红包签到-汇总</t>
  </si>
  <si>
    <t>胶囊咖啡-隅田川旗舰店-平台流量-领券中心-汇总</t>
  </si>
  <si>
    <t>胶囊咖啡-隅田川旗舰店-平台流量-每平每屋频道-汇总</t>
  </si>
  <si>
    <t>胶囊咖啡-隅田川旗舰店-平台流量-淘宝吃货-汇总</t>
  </si>
  <si>
    <t>胶囊咖啡-隅田川旗舰店-平台流量-天猫超级品类日-汇总</t>
  </si>
  <si>
    <t>胶囊咖啡-隅田川旗舰店-平台流量-手淘买家秀-汇总</t>
  </si>
  <si>
    <t>胶囊咖啡-隅田川旗舰店-平台流量-手淘摇一摇-汇总</t>
  </si>
  <si>
    <t>胶囊咖啡-隅田川旗舰店-平台流量-裂变券引流-汇总</t>
  </si>
  <si>
    <t>胶囊咖啡-隅田川旗舰店-平台流量-淘宝特价版-淘特推荐</t>
  </si>
  <si>
    <t>胶囊咖啡-隅田川旗舰店-平台流量-淘宝特价版-淘特互动游戏</t>
  </si>
  <si>
    <t>胶囊咖啡-隅田川旗舰店-平台流量-淘宝特价版-淘特官方补贴</t>
  </si>
  <si>
    <t>胶囊咖啡-隅田川旗舰店-平台流量-淘宝特价版-淘特限时秒杀</t>
  </si>
  <si>
    <t>胶囊咖啡-隅田川旗舰店-平台流量-品牌福利中心-汇总</t>
  </si>
  <si>
    <t>胶囊咖啡-隅田川旗舰店-平台流量-每平每屋-汇总</t>
  </si>
  <si>
    <t>胶囊咖啡-隅田川旗舰店-平台流量-手淘推荐-推荐云主题</t>
  </si>
  <si>
    <t>胶囊咖啡-隅田川旗舰店-平台流量-品牌新享频道-汇总</t>
  </si>
  <si>
    <t>胶囊咖啡-隅田川旗舰店-平台流量-手淘分类导航-汇总</t>
  </si>
  <si>
    <t>胶囊咖啡-隅田川旗舰店-平台流量-天猫超市-汇总</t>
  </si>
  <si>
    <t>胶囊咖啡-隅田川旗舰店-平台流量-盒马-汇总</t>
  </si>
  <si>
    <t>胶囊咖啡-隅田川旗舰店-平台流量-大麦-汇总</t>
  </si>
  <si>
    <t>胶囊咖啡-隅田川旗舰店-平台流量-淘工厂直营-汇总</t>
  </si>
  <si>
    <t>胶囊咖啡-隅田川旗舰店-平台流量-天猫热点-汇总</t>
  </si>
  <si>
    <t>胶囊咖啡-隅田川旗舰店-平台流量-天猫好房-汇总</t>
  </si>
  <si>
    <t>胶囊咖啡-隅田川旗舰店-平台流量-淘鲜达-汇总</t>
  </si>
  <si>
    <t>胶囊咖啡-隅田川旗舰店-平台流量-分享购物车活动-汇总</t>
  </si>
  <si>
    <t>胶囊咖啡-隅田川旗舰店-平台流量-淘宝必逛-汇总</t>
  </si>
  <si>
    <t>胶囊咖啡-隅田川旗舰店-平台流量-全民寻宝-汇总</t>
  </si>
  <si>
    <t>胶囊咖啡-隅田川旗舰店-平台流量-有好货短视频-汇总</t>
  </si>
  <si>
    <t>胶囊咖啡-隅田川旗舰店-平台流量-有好货图文-汇总</t>
  </si>
  <si>
    <t>胶囊咖啡-隅田川旗舰店-平台流量-天猫关注-汇总</t>
  </si>
  <si>
    <t>胶囊咖啡-隅田川旗舰店-平台流量-手淘首页-汇总</t>
  </si>
  <si>
    <t>胶囊咖啡-隅田川旗舰店-平台流量-手淘收藏夹-汇总</t>
  </si>
  <si>
    <t>胶囊咖啡-隅田川旗舰店-平台流量-手淘淘抢购-汇总</t>
  </si>
  <si>
    <t>胶囊咖啡-隅田川旗舰店-平台流量-手淘有好货-汇总</t>
  </si>
  <si>
    <t>胶囊咖啡-隅田川旗舰店-平台流量-手淘红包卡券-汇总</t>
  </si>
  <si>
    <t>胶囊咖啡-隅田川旗舰店-平台流量-手淘确认订单-汇总</t>
  </si>
  <si>
    <t>胶囊咖啡-隅田川旗舰店-平台流量-手淘我的足迹-汇总</t>
  </si>
  <si>
    <t>胶囊咖啡-隅田川旗舰店-平台流量-手淘发现-汇总</t>
  </si>
  <si>
    <t>胶囊咖啡-隅田川旗舰店-平台流量-手淘天猫国际-汇总</t>
  </si>
  <si>
    <t>胶囊咖啡-隅田川旗舰店-平台流量-手淘每日新品-汇总</t>
  </si>
  <si>
    <t>胶囊咖啡-隅田川旗舰店-平台流量-手淘天天特卖-汇总</t>
  </si>
  <si>
    <t>胶囊咖啡-隅田川旗舰店-平台流量-手淘全球购频道-汇总</t>
  </si>
  <si>
    <t>胶囊咖啡-隅田川旗舰店-平台流量-手淘社区-汇总</t>
  </si>
  <si>
    <t>胶囊咖啡-隅田川旗舰店-平台流量-手淘会员俱乐部-汇总</t>
  </si>
  <si>
    <t>胶囊咖啡-隅田川旗舰店-平台流量-手淘买手圈-汇总</t>
  </si>
  <si>
    <t>胶囊咖啡-隅田川旗舰店-平台流量-手淘扫一扫-汇总</t>
  </si>
  <si>
    <t>胶囊咖啡-隅田川旗舰店-平台流量-手淘喵鲜生-汇总</t>
  </si>
  <si>
    <t>胶囊咖啡-隅田川旗舰店-平台流量-手淘品牌街-汇总</t>
  </si>
  <si>
    <t>胶囊咖啡-隅田川旗舰店-平台流量-手淘房产-汇总</t>
  </si>
  <si>
    <t>胶囊咖啡-隅田川旗舰店-平台流量-手淘必买清单-汇总</t>
  </si>
  <si>
    <t>胶囊咖啡-隅田川旗舰店-平台流量-手淘潮电街-汇总</t>
  </si>
  <si>
    <t>胶囊咖啡-隅田川旗舰店-平台流量-手淘极有家-汇总</t>
  </si>
  <si>
    <t>胶囊咖啡-隅田川旗舰店-平台流量-手淘发表评价-汇总</t>
  </si>
  <si>
    <t>胶囊咖啡-隅田川旗舰店-平台流量-手淘游戏中心-汇总</t>
  </si>
  <si>
    <t>胶囊咖啡-隅田川旗舰店-平台流量-手淘找相似-汇总</t>
  </si>
  <si>
    <t>胶囊咖啡-隅田川旗舰店-平台流量-手淘天猫首页-汇总</t>
  </si>
  <si>
    <t>胶囊咖啡-隅田川旗舰店-平台流量-手淘品质穿搭-汇总</t>
  </si>
  <si>
    <t>胶囊咖啡-隅田川旗舰店-平台流量-手淘汇吃-汇总</t>
  </si>
  <si>
    <t>胶囊咖啡-隅田川旗舰店-平台流量-飞猪-飞猪内容其他</t>
  </si>
  <si>
    <t>胶囊咖啡-隅田川旗舰店-平台流量-手机天猫-手猫天猫国际</t>
  </si>
  <si>
    <t>胶囊咖啡-隅田川旗舰店-平台流量-飞猪-飞猪直播</t>
  </si>
  <si>
    <t>胶囊咖啡-隅田川旗舰店-平台流量-手机天猫-手猫扫码</t>
  </si>
  <si>
    <t>胶囊咖啡-隅田川旗舰店-平台流量-飞猪-飞猪首页</t>
  </si>
  <si>
    <t>胶囊咖啡-隅田川旗舰店-平台流量-飞猪-飞猪旅行主题</t>
  </si>
  <si>
    <t>胶囊咖啡-隅田川旗舰店-平台流量-飞猪-飞猪活动营销</t>
  </si>
  <si>
    <t>胶囊咖啡-隅田川旗舰店-平台流量-飞猪-飞猪消息中心</t>
  </si>
  <si>
    <t>胶囊咖啡-隅田川旗舰店-平台流量-飞猪-飞猪酒店频道</t>
  </si>
  <si>
    <t>胶囊咖啡-隅田川旗舰店-平台流量-飞猪-飞猪频道</t>
  </si>
  <si>
    <t>胶囊咖啡-隅田川旗舰店-平台流量-飞猪-飞猪周边游频道</t>
  </si>
  <si>
    <t>胶囊咖啡-隅田川旗舰店-平台流量-飞猪-飞猪出境游频道</t>
  </si>
  <si>
    <t>胶囊咖啡-隅田川旗舰店-平台流量-飞猪-飞猪搜索</t>
  </si>
  <si>
    <t>胶囊咖啡-隅田川旗舰店-平台流量-飞猪-飞猪订单</t>
  </si>
  <si>
    <t>胶囊咖啡-隅田川旗舰店-平台流量-飞猪-飞猪特价</t>
  </si>
  <si>
    <t>胶囊咖啡-隅田川旗舰店-平台流量-飞猪-飞猪卡券包</t>
  </si>
  <si>
    <t>胶囊咖啡-隅田川旗舰店-平台流量-飞猪-飞猪福利中心</t>
  </si>
  <si>
    <t>胶囊咖啡-隅田川旗舰店-平台流量-飞猪-飞猪会员中心</t>
  </si>
  <si>
    <t>胶囊咖啡-隅田川旗舰店-平台流量-飞猪-飞猪超级新发线</t>
  </si>
  <si>
    <t>胶囊咖啡-隅田川旗舰店-平台流量-飞猪-飞猪目的地</t>
  </si>
  <si>
    <t>胶囊咖啡-隅田川旗舰店-平台流量-飞猪-飞猪行程</t>
  </si>
  <si>
    <t>胶囊咖啡-隅田川旗舰店-平台流量-大促会场-热点会场</t>
  </si>
  <si>
    <t>胶囊咖啡-隅田川旗舰店-平台流量-大促会场-榜单会场-必买榜</t>
  </si>
  <si>
    <t>胶囊咖啡-隅田川旗舰店-平台流量-手机天猫-手猫天猫快抢购</t>
  </si>
  <si>
    <t>胶囊咖啡-隅田川旗舰店-平台流量-手机天猫-手猫私房红包</t>
  </si>
  <si>
    <t>胶囊咖啡-隅田川旗舰店-平台流量-手机天猫-手猫天猫好物</t>
  </si>
  <si>
    <t>胶囊咖啡-隅田川旗舰店-平台流量-手机天猫-手猫开屏</t>
  </si>
  <si>
    <t>胶囊咖啡-隅田川旗舰店-平台流量-手机天猫-手猫新人频道</t>
  </si>
  <si>
    <t>胶囊咖啡-隅田川旗舰店-平台流量-手机天猫-手猫福利雷达</t>
  </si>
  <si>
    <t>胶囊咖啡-隅田川旗舰店-平台流量-飞猪-飞猪旅游度假频道</t>
  </si>
  <si>
    <t>胶囊咖啡-隅田川旗舰店-平台流量-淘宝神店榜-汇总</t>
  </si>
  <si>
    <t>胶囊咖啡-隅田川旗舰店-平台流量-手机天猫-手猫消息中心</t>
  </si>
  <si>
    <t>胶囊咖啡-隅田川旗舰店-平台流量-阿里妈妈权益会场-阿里妈妈权益直补</t>
  </si>
  <si>
    <t>胶囊咖啡-隅田川旗舰店-广告流量-汇总-汇总</t>
  </si>
  <si>
    <t>胶囊咖啡-隅田川旗舰店-广告流量-效果广告-汇总</t>
  </si>
  <si>
    <t>胶囊咖啡-隅田川旗舰店-广告流量-效果广告-直通车</t>
  </si>
  <si>
    <t>胶囊咖啡-隅田川旗舰店-广告流量-效果广告-引力魔方</t>
  </si>
  <si>
    <t>胶囊咖啡-隅田川旗舰店-广告流量-效果广告-万相台</t>
  </si>
  <si>
    <t>胶囊咖啡-隅田川旗舰店-广告流量-品牌广告-汇总</t>
  </si>
  <si>
    <t>胶囊咖啡-隅田川旗舰店-广告流量-品牌广告-品销宝- 品牌专区</t>
  </si>
  <si>
    <t>胶囊咖啡-隅田川旗舰店-广告流量-站外广告-汇总</t>
  </si>
  <si>
    <t>胶囊咖啡-隅田川旗舰店-广告流量-站外广告-淘宝客</t>
  </si>
  <si>
    <t>胶囊咖啡-隅田川旗舰店-广告流量-内容广告-汇总</t>
  </si>
  <si>
    <t>胶囊咖啡-隅田川旗舰店-广告流量-内容广告-超级直播</t>
  </si>
  <si>
    <t>胶囊咖啡-隅田川旗舰店-广告流量-品牌广告-Showmax</t>
  </si>
  <si>
    <t>胶囊咖啡-隅田川旗舰店-广告流量-站外广告-流量宝</t>
  </si>
  <si>
    <t>胶囊咖啡-隅田川旗舰店-广告流量-站外广告-UD效果投放</t>
  </si>
  <si>
    <t>胶囊咖啡-隅田川旗舰店-广告流量-内容广告-超级短视频</t>
  </si>
  <si>
    <t>胶囊咖啡-隅田川旗舰店-广告流量-品牌广告-超级全域通</t>
  </si>
  <si>
    <t>胶囊咖啡-隅田川旗舰店-广告流量-品牌广告-品牌特秀</t>
  </si>
  <si>
    <t>胶囊咖啡-隅田川旗舰店-广告流量-品牌广告-品销宝- 明星店铺</t>
  </si>
  <si>
    <t>胶囊咖啡-隅田川旗舰店-广告流量-站外广告-UD品牌投放</t>
  </si>
  <si>
    <t>胶囊咖啡-隅田川旗舰店-广告流量-品牌广告-品牌定制</t>
  </si>
  <si>
    <t>胶囊咖啡-隅田川旗舰店-广告流量-内容广告-短直联动</t>
  </si>
  <si>
    <t>23.11</t>
    <phoneticPr fontId="22" type="noConversion"/>
  </si>
  <si>
    <t>胶囊咖啡/速溶咖啡</t>
    <phoneticPr fontId="22" type="noConversion"/>
  </si>
  <si>
    <t>奈斯派索、星巴克、Peet's、太古、OATLY</t>
    <phoneticPr fontId="22" type="noConversion"/>
  </si>
  <si>
    <t>角几/边几</t>
    <phoneticPr fontId="22" type="noConversion"/>
  </si>
  <si>
    <t>源氏木语、宜家、SAMEDREAM、林氏家居、#0 工厂</t>
    <phoneticPr fontId="22" type="noConversion"/>
  </si>
  <si>
    <t>家居饰品</t>
    <phoneticPr fontId="22" type="noConversion"/>
  </si>
  <si>
    <t>花瓶</t>
    <phoneticPr fontId="22" type="noConversion"/>
  </si>
  <si>
    <t>野兽派</t>
    <phoneticPr fontId="22" type="noConversion"/>
  </si>
  <si>
    <t>暖风机/取暖器</t>
    <phoneticPr fontId="22" type="noConversion"/>
  </si>
  <si>
    <t>米家、戴森、小米、松下、科沃斯</t>
    <phoneticPr fontId="22" type="noConversion"/>
  </si>
  <si>
    <t>潮玩盲盒</t>
    <phoneticPr fontId="22" type="noConversion"/>
  </si>
  <si>
    <t>280-300</t>
    <phoneticPr fontId="22" type="noConversion"/>
  </si>
  <si>
    <t>转换插头/接线板</t>
    <phoneticPr fontId="22" type="noConversion"/>
  </si>
  <si>
    <t>小米、公牛、德力西</t>
    <phoneticPr fontId="22" type="noConversion"/>
  </si>
  <si>
    <t>家装灯饰光源</t>
    <phoneticPr fontId="22" type="noConversion"/>
  </si>
  <si>
    <t>260-280</t>
    <phoneticPr fontId="22" type="noConversion"/>
  </si>
  <si>
    <t>阅读台灯</t>
    <phoneticPr fontId="22" type="noConversion"/>
  </si>
  <si>
    <t>飞利浦、万火、公牛、普利照明、雷士</t>
    <phoneticPr fontId="22" type="noConversion"/>
  </si>
  <si>
    <t>自用闲置转让</t>
    <phoneticPr fontId="22" type="noConversion"/>
  </si>
  <si>
    <t>实体卡/券</t>
    <phoneticPr fontId="22" type="noConversion"/>
  </si>
  <si>
    <t>餐饮具</t>
    <phoneticPr fontId="22" type="noConversion"/>
  </si>
  <si>
    <t>咖啡杯</t>
    <phoneticPr fontId="22" type="noConversion"/>
  </si>
  <si>
    <t>收纳整理</t>
    <phoneticPr fontId="22" type="noConversion"/>
  </si>
  <si>
    <t>脏衣篮</t>
    <phoneticPr fontId="22" type="noConversion"/>
  </si>
  <si>
    <t>懒角落、霜山、宜家、收纳总动员、天纵</t>
    <phoneticPr fontId="22" type="noConversion"/>
  </si>
  <si>
    <t>starbucks/星巴克</t>
    <phoneticPr fontId="22" type="noConversion"/>
  </si>
  <si>
    <t>Nescafe/雀巢咖啡</t>
    <phoneticPr fontId="22" type="noConversion"/>
  </si>
  <si>
    <t>LAVAZZA/拉瓦萨</t>
    <phoneticPr fontId="22" type="noConversion"/>
  </si>
  <si>
    <t>COFFEESSO</t>
    <phoneticPr fontId="22" type="noConversion"/>
  </si>
  <si>
    <t>&lt;2000</t>
    <phoneticPr fontId="22" type="noConversion"/>
  </si>
  <si>
    <t>2312市场胶囊咖啡机老客复购胶囊咖啡品牌流向</t>
    <phoneticPr fontId="22" type="noConversion"/>
  </si>
  <si>
    <t>11月购买人数占比*</t>
    <phoneticPr fontId="22" type="noConversion"/>
  </si>
  <si>
    <t>12月购买人数占比</t>
    <phoneticPr fontId="22" type="noConversion"/>
  </si>
  <si>
    <t>SMEG</t>
    <phoneticPr fontId="22" type="noConversion"/>
  </si>
  <si>
    <t>Derlla</t>
    <phoneticPr fontId="22" type="noConversion"/>
  </si>
  <si>
    <t>Philips/飞利浦</t>
    <phoneticPr fontId="22" type="noConversion"/>
  </si>
  <si>
    <t>MILESTO/迈拓</t>
    <phoneticPr fontId="22" type="noConversion"/>
  </si>
  <si>
    <t>THERMOS/膳魔师</t>
    <phoneticPr fontId="22" type="noConversion"/>
  </si>
  <si>
    <t>MOAIQO/摩巧</t>
    <phoneticPr fontId="22" type="noConversion"/>
  </si>
  <si>
    <t>格米莱</t>
    <phoneticPr fontId="22" type="noConversion"/>
  </si>
  <si>
    <t>23012品牌转换净变化</t>
    <phoneticPr fontId="22" type="noConversion"/>
  </si>
  <si>
    <t>11.30前1年</t>
    <phoneticPr fontId="22" type="noConversion"/>
  </si>
  <si>
    <t>12.31前1年</t>
    <phoneticPr fontId="22" type="noConversion"/>
  </si>
  <si>
    <r>
      <t>格米莱</t>
    </r>
    <r>
      <rPr>
        <sz val="11"/>
        <color theme="1"/>
        <rFont val="Arial"/>
        <family val="2"/>
      </rPr>
      <t xml:space="preserve"> CRM3028</t>
    </r>
    <phoneticPr fontId="22" type="noConversion"/>
  </si>
  <si>
    <t>-</t>
    <phoneticPr fontId="22" type="noConversion"/>
  </si>
  <si>
    <t>格米莱 CRM3145</t>
    <phoneticPr fontId="22" type="noConversion"/>
  </si>
  <si>
    <t>全自动</t>
    <phoneticPr fontId="22" type="noConversion"/>
  </si>
  <si>
    <t>Delonghi/德龙 S3 PRO</t>
  </si>
  <si>
    <t>Delonghi/德龙 ECAM22.110.SB</t>
  </si>
  <si>
    <t>格米莱 CRM3028</t>
  </si>
  <si>
    <t>半自动</t>
    <phoneticPr fontId="22" type="noConversion"/>
  </si>
  <si>
    <t>23年12月咖啡机TOP10单品</t>
    <phoneticPr fontId="22" type="noConversion"/>
  </si>
  <si>
    <t>22年12月咖啡机TOP10单品</t>
    <phoneticPr fontId="22" type="noConversion"/>
  </si>
  <si>
    <t>Vertuo Pop胶囊咖啡机</t>
  </si>
  <si>
    <t>Vertuo Plus</t>
  </si>
  <si>
    <t>23年12月 店铺Top10单品</t>
    <phoneticPr fontId="22" type="noConversion"/>
  </si>
  <si>
    <t>直通车</t>
    <phoneticPr fontId="22" type="noConversion"/>
  </si>
  <si>
    <t>淘宝客</t>
    <phoneticPr fontId="22" type="noConversion"/>
  </si>
  <si>
    <t>品牌广告</t>
    <phoneticPr fontId="22" type="noConversion"/>
  </si>
  <si>
    <t>品销宝- 品牌专区</t>
    <phoneticPr fontId="22" type="noConversion"/>
  </si>
  <si>
    <t>超级短视频</t>
    <phoneticPr fontId="22" type="noConversion"/>
  </si>
  <si>
    <t>天猫榜单</t>
    <phoneticPr fontId="22" type="noConversion"/>
  </si>
  <si>
    <t>手淘其他店铺</t>
    <phoneticPr fontId="22" type="noConversion"/>
  </si>
  <si>
    <t>手机天猫</t>
    <phoneticPr fontId="22" type="noConversion"/>
  </si>
  <si>
    <t>大促会场</t>
    <phoneticPr fontId="22" type="noConversion"/>
  </si>
  <si>
    <t>淘宝特价版</t>
    <phoneticPr fontId="22" type="noConversion"/>
  </si>
  <si>
    <t>23.12 TOP 10搜索词搜索人数</t>
    <phoneticPr fontId="22" type="noConversion"/>
  </si>
  <si>
    <t>咖啡机研磨一体</t>
    <phoneticPr fontId="22" type="noConversion"/>
  </si>
  <si>
    <t>全自动咖啡机家用</t>
    <phoneticPr fontId="22" type="noConversion"/>
  </si>
  <si>
    <t>咖啡机 全自动</t>
    <phoneticPr fontId="22" type="noConversion"/>
  </si>
  <si>
    <t>咖啡机家用 小型</t>
    <phoneticPr fontId="22" type="noConversion"/>
  </si>
  <si>
    <t>23.11 TOP 10搜索词搜索人数</t>
    <phoneticPr fontId="22" type="noConversion"/>
  </si>
  <si>
    <t>22年12月 店铺Top10单品</t>
    <phoneticPr fontId="22" type="noConversion"/>
  </si>
  <si>
    <t>手淘淘花岛</t>
  </si>
  <si>
    <t>平台流量-手淘淘花岛-汇总</t>
  </si>
  <si>
    <t>咖啡机-Dolce Gusto官方旗舰店-平台流量-手淘淘花岛-汇总</t>
  </si>
  <si>
    <t>咖啡机-Nespresso-平台流量-手淘淘花岛-汇总</t>
  </si>
  <si>
    <t>咖啡机-barsetto电器旗舰店-平台流量-手淘淘花岛-汇总</t>
  </si>
  <si>
    <t>咖啡机-delonghi德龙旗舰店-平台流量-手淘淘花岛-汇总</t>
  </si>
  <si>
    <t>咖啡机-柏翠旗舰店-平台流量-手淘淘花岛-汇总</t>
  </si>
  <si>
    <t>咖啡机-格米莱旗舰店-平台流量-手淘淘花岛-汇总</t>
  </si>
  <si>
    <t>咖啡机-飞利浦电器旗舰店-平台流量-手淘淘花岛-汇总</t>
  </si>
  <si>
    <t>胶囊咖啡-Dolce Gusto官方旗舰店-平台流量-手淘淘花岛-汇总</t>
  </si>
  <si>
    <t>胶囊咖啡-Nespresso-平台流量-手淘淘花岛-汇总</t>
  </si>
  <si>
    <t>胶囊咖啡-PEET’S官方旗舰店-平台流量-手淘淘花岛-汇总</t>
  </si>
  <si>
    <t>胶囊咖啡-illy旗舰店-平台流量-手淘淘花岛-汇总</t>
  </si>
  <si>
    <t>胶囊咖啡-星巴克家享咖啡旗舰店-平台流量-手淘淘花岛-汇总</t>
  </si>
  <si>
    <t>胶囊咖啡-隅田川旗舰店-平台流量-手淘淘花岛-汇总</t>
  </si>
  <si>
    <t>23年12月胶囊咖啡品牌新客来源</t>
    <phoneticPr fontId="22" type="noConversion"/>
  </si>
  <si>
    <t>300-350</t>
    <phoneticPr fontId="22" type="noConversion"/>
  </si>
  <si>
    <t>咖啡机</t>
    <phoneticPr fontId="22" type="noConversion"/>
  </si>
  <si>
    <t>Nespresso、摩飞电器、米家、碧然德、飞利浦</t>
    <phoneticPr fontId="22" type="noConversion"/>
  </si>
  <si>
    <t>宝可梦、泡泡玛特、迪士尼、DIY、万代</t>
    <phoneticPr fontId="22" type="noConversion"/>
  </si>
  <si>
    <t>ZARA HOME、点意、宜家、野兽派、朗格</t>
    <phoneticPr fontId="22" type="noConversion"/>
  </si>
  <si>
    <t>生活电器</t>
    <phoneticPr fontId="22" type="noConversion"/>
  </si>
  <si>
    <t>吸尘器</t>
    <phoneticPr fontId="22" type="noConversion"/>
  </si>
  <si>
    <t>米家、小米、戴森、松下、飞利浦</t>
    <phoneticPr fontId="22" type="noConversion"/>
  </si>
  <si>
    <t>住宅家具</t>
    <phoneticPr fontId="22" type="noConversion"/>
  </si>
  <si>
    <t>宜家、源氏木语、林氏家居、SAMEDREAM、木马人</t>
    <phoneticPr fontId="22" type="noConversion"/>
  </si>
  <si>
    <t>运动/瑜伽/健身/球迷用品</t>
    <phoneticPr fontId="22" type="noConversion"/>
  </si>
  <si>
    <t>240-260</t>
    <phoneticPr fontId="22" type="noConversion"/>
  </si>
  <si>
    <t>瑜伽长裤</t>
    <phoneticPr fontId="22" type="noConversion"/>
  </si>
  <si>
    <t>lululemon、速比涛、威尔胜、pgm、阿瑞娜</t>
    <phoneticPr fontId="22" type="noConversion"/>
  </si>
  <si>
    <t>宠物/宠物食品</t>
    <phoneticPr fontId="22" type="noConversion"/>
  </si>
  <si>
    <t>饮水器</t>
    <phoneticPr fontId="22" type="noConversion"/>
  </si>
  <si>
    <t>小佩、原始猎食渴望、POPOCOLA、ZIWI、ZEZE</t>
    <phoneticPr fontId="22" type="noConversion"/>
  </si>
  <si>
    <t>FANCL、天维美、Myprotein、奥普帝蒙、健安喜</t>
    <phoneticPr fontId="22" type="noConversion"/>
  </si>
  <si>
    <t>家居日用</t>
    <phoneticPr fontId="22" type="noConversion"/>
  </si>
  <si>
    <t>220-240</t>
    <phoneticPr fontId="22" type="noConversion"/>
  </si>
  <si>
    <t>川鸟屋、nespresso、Bin Coo、宜家、Cliton</t>
    <phoneticPr fontId="22" type="noConversion"/>
  </si>
  <si>
    <t>agf</t>
    <phoneticPr fontId="22" type="noConversion"/>
  </si>
  <si>
    <t>多趣酷思</t>
    <phoneticPr fontId="22" type="noConversion"/>
  </si>
  <si>
    <t>TASOGARE/隅田川</t>
    <phoneticPr fontId="22" type="noConversion"/>
  </si>
  <si>
    <t>11月购买人数占比</t>
    <phoneticPr fontId="22" type="noConversion"/>
  </si>
  <si>
    <t>23年12月胶囊咖啡TOP10单品</t>
    <phoneticPr fontId="22" type="noConversion"/>
  </si>
  <si>
    <t>TOP 单品（SPU）</t>
    <phoneticPr fontId="22" type="noConversion"/>
  </si>
  <si>
    <t>NESPRESSO/奈斯派索 温和淡雅套装</t>
    <phoneticPr fontId="22" type="noConversion"/>
  </si>
  <si>
    <r>
      <t xml:space="preserve">Peet's </t>
    </r>
    <r>
      <rPr>
        <sz val="11"/>
        <color rgb="FF333333"/>
        <rFont val="微软雅黑"/>
        <family val="2"/>
        <charset val="134"/>
      </rPr>
      <t>胶囊装</t>
    </r>
    <phoneticPr fontId="22" type="noConversion"/>
  </si>
  <si>
    <t>TASOGARE/隅田川 胶囊组合</t>
    <phoneticPr fontId="22" type="noConversion"/>
  </si>
  <si>
    <r>
      <t>NESPRESSO/</t>
    </r>
    <r>
      <rPr>
        <sz val="11"/>
        <color rgb="FF333333"/>
        <rFont val="微软雅黑"/>
        <family val="2"/>
        <charset val="134"/>
      </rPr>
      <t>奈斯派索</t>
    </r>
    <r>
      <rPr>
        <sz val="11"/>
        <color rgb="FF333333"/>
        <rFont val="Arial"/>
        <family val="2"/>
      </rPr>
      <t xml:space="preserve"> </t>
    </r>
    <r>
      <rPr>
        <sz val="11"/>
        <color rgb="FF333333"/>
        <rFont val="微软雅黑"/>
        <family val="2"/>
        <charset val="134"/>
      </rPr>
      <t>遇意悠长</t>
    </r>
    <r>
      <rPr>
        <sz val="11"/>
        <color rgb="FF333333"/>
        <rFont val="Arial"/>
        <family val="2"/>
      </rPr>
      <t>10</t>
    </r>
    <r>
      <rPr>
        <sz val="11"/>
        <color rgb="FF333333"/>
        <rFont val="微软雅黑"/>
        <family val="2"/>
        <charset val="134"/>
      </rPr>
      <t>条</t>
    </r>
    <phoneticPr fontId="22" type="noConversion"/>
  </si>
  <si>
    <t>Peet's 胶囊装2</t>
    <phoneticPr fontId="22" type="noConversion"/>
  </si>
  <si>
    <t>NESPRESSO/奈斯派索 浓醇一刻15条套装</t>
    <phoneticPr fontId="22" type="noConversion"/>
  </si>
  <si>
    <t>Peet's 胶囊装1</t>
    <phoneticPr fontId="22" type="noConversion"/>
  </si>
  <si>
    <t>starbucks/星巴克 胶囊咖啡10条组合</t>
    <phoneticPr fontId="22" type="noConversion"/>
  </si>
  <si>
    <t>starbucks/星巴克 216任选6条</t>
    <phoneticPr fontId="22" type="noConversion"/>
  </si>
  <si>
    <t>22年12月胶囊咖啡TOP10单品</t>
    <phoneticPr fontId="22" type="noConversion"/>
  </si>
  <si>
    <t>NESPRESSO/奈斯派索 大师匠心5条+意式浓烈5条</t>
  </si>
  <si>
    <t>NESPRESSO/奈斯派索 环球之旅10条</t>
  </si>
  <si>
    <t>NESPRESSO/奈斯派索 浓遇啡凡15条</t>
  </si>
  <si>
    <t>Illy illy</t>
  </si>
  <si>
    <t>23年11月胶囊咖啡TOP10单品</t>
    <phoneticPr fontId="22" type="noConversion"/>
  </si>
  <si>
    <t>NESPRESSO/奈斯派索 浓遇啡凡15条装+温和淡雅5条装</t>
  </si>
  <si>
    <t>Peet's 胶囊装1</t>
  </si>
  <si>
    <t>starbucks/星巴克 nespresso胶囊咖啡10盒装</t>
  </si>
  <si>
    <t>starbucks/星巴克 星巴克nespresso20盒装</t>
  </si>
  <si>
    <t>内容广告</t>
    <phoneticPr fontId="22" type="noConversion"/>
  </si>
  <si>
    <t>品销宝-品牌专区</t>
    <phoneticPr fontId="22" type="noConversion"/>
  </si>
  <si>
    <t>手淘推荐</t>
    <phoneticPr fontId="22" type="noConversion"/>
  </si>
  <si>
    <t>vertuo 胶囊</t>
  </si>
  <si>
    <t>tassimo</t>
  </si>
  <si>
    <t>dolce gust...</t>
  </si>
  <si>
    <t>胶囊奶茶</t>
  </si>
  <si>
    <t>星巴克胶囊</t>
  </si>
  <si>
    <t>雀巢胶囊</t>
  </si>
  <si>
    <t>豆浆胶囊</t>
  </si>
  <si>
    <t>咖啡 胶囊</t>
  </si>
  <si>
    <t>牛奶胶囊</t>
  </si>
  <si>
    <t>manner胶囊</t>
  </si>
  <si>
    <t>ec685</t>
  </si>
  <si>
    <t>severin咖啡机</t>
  </si>
  <si>
    <t>nuova咖啡机</t>
  </si>
  <si>
    <t>卡法一代</t>
  </si>
  <si>
    <t>rocker咖啡机</t>
  </si>
  <si>
    <t>康佳咖啡机</t>
  </si>
  <si>
    <t>自助奶茶机</t>
  </si>
  <si>
    <t>magnifica咖...</t>
  </si>
  <si>
    <t>柏翠3366</t>
  </si>
  <si>
    <t>雀巢官方旗舰店</t>
  </si>
  <si>
    <t>-</t>
    <phoneticPr fontId="22" type="noConversion"/>
  </si>
  <si>
    <t>nespresso咖啡机</t>
    <phoneticPr fontId="22" type="noConversion"/>
  </si>
  <si>
    <t>nespresso咖啡</t>
    <phoneticPr fontId="22" type="noConversion"/>
  </si>
  <si>
    <t>nespresso咖啡胶囊</t>
    <phoneticPr fontId="22" type="noConversion"/>
  </si>
  <si>
    <t>nespresso vertuo</t>
    <phoneticPr fontId="22" type="noConversion"/>
  </si>
  <si>
    <t>nespresso胶囊咖啡</t>
    <phoneticPr fontId="22" type="noConversion"/>
  </si>
  <si>
    <t>胶囊咖啡nespresso</t>
    <phoneticPr fontId="22" type="noConversion"/>
  </si>
  <si>
    <t>23.12月</t>
    <phoneticPr fontId="22" type="noConversion"/>
  </si>
  <si>
    <t>22.12月</t>
    <phoneticPr fontId="22" type="noConversion"/>
  </si>
  <si>
    <t>23.12搜索词</t>
    <phoneticPr fontId="22" type="noConversion"/>
  </si>
  <si>
    <t>销量</t>
  </si>
  <si>
    <t>购买频次</t>
  </si>
  <si>
    <t>平均价格</t>
  </si>
  <si>
    <t>销量_同比值</t>
  </si>
  <si>
    <t>单次购买量_同比值</t>
  </si>
  <si>
    <t>平均价格_同比值</t>
  </si>
  <si>
    <t>销量_同比</t>
  </si>
  <si>
    <t>购买频次_同比</t>
  </si>
  <si>
    <t>单次购买量_同比</t>
  </si>
  <si>
    <t>平均价格_同比</t>
  </si>
  <si>
    <t>122678211</t>
  </si>
  <si>
    <t>2254232</t>
  </si>
  <si>
    <t>4732961</t>
  </si>
  <si>
    <t>1.43</t>
  </si>
  <si>
    <t>0.33</t>
  </si>
  <si>
    <t>54.42</t>
  </si>
  <si>
    <t>132828665</t>
  </si>
  <si>
    <t>2469549</t>
  </si>
  <si>
    <t>4750476</t>
  </si>
  <si>
    <t>1.44</t>
  </si>
  <si>
    <t>0.36</t>
  </si>
  <si>
    <t>53.79</t>
  </si>
  <si>
    <t>-0.0764</t>
  </si>
  <si>
    <t>-0.0872</t>
  </si>
  <si>
    <t>-0.0037</t>
  </si>
  <si>
    <t>-0.0069</t>
  </si>
  <si>
    <t>-0.0833</t>
  </si>
  <si>
    <t>0.0117</t>
  </si>
  <si>
    <t>62988086</t>
  </si>
  <si>
    <t>20582914</t>
  </si>
  <si>
    <t>8555236</t>
  </si>
  <si>
    <t>7403760</t>
  </si>
  <si>
    <t>8341773</t>
  </si>
  <si>
    <t>7607568</t>
  </si>
  <si>
    <t>7198874</t>
  </si>
  <si>
    <t>72077933</t>
  </si>
  <si>
    <t>17625748</t>
  </si>
  <si>
    <t>7470372.0</t>
  </si>
  <si>
    <t>3289972.0</t>
  </si>
  <si>
    <t>9601073.0</t>
  </si>
  <si>
    <t>7560444.0</t>
  </si>
  <si>
    <t>-0.12611137170096151342</t>
  </si>
  <si>
    <t>0.1677753477469438</t>
  </si>
  <si>
    <t>0.1452222191880137</t>
  </si>
  <si>
    <t>1.2504021310819667</t>
  </si>
  <si>
    <t>-0.13116242319999025109</t>
  </si>
  <si>
    <t>0.0062329672701762</t>
  </si>
  <si>
    <t>-0.02919687977572711894</t>
  </si>
  <si>
    <t>0.03508434097018360950</t>
  </si>
  <si>
    <t>0.01349654706468912631</t>
  </si>
  <si>
    <t>0.03558252017636078242</t>
  </si>
  <si>
    <t>-0.00428444946171150461</t>
  </si>
  <si>
    <t>0.00509361306916404062</t>
  </si>
  <si>
    <t>28051665</t>
  </si>
  <si>
    <t>31314</t>
  </si>
  <si>
    <t>78667</t>
  </si>
  <si>
    <t>1.14</t>
  </si>
  <si>
    <t>0.35</t>
  </si>
  <si>
    <t>895.82</t>
  </si>
  <si>
    <t>25198746</t>
  </si>
  <si>
    <t>34546</t>
  </si>
  <si>
    <t>84154</t>
  </si>
  <si>
    <t>729.43</t>
  </si>
  <si>
    <t>0.1132</t>
  </si>
  <si>
    <t>-0.0936</t>
  </si>
  <si>
    <t>-0.0652</t>
  </si>
  <si>
    <t>-0.0278</t>
  </si>
  <si>
    <t>0.2281</t>
  </si>
  <si>
    <t>106470</t>
  </si>
  <si>
    <t>134976</t>
  </si>
  <si>
    <t>1.72</t>
  </si>
  <si>
    <t>0.46</t>
  </si>
  <si>
    <t>78.35</t>
  </si>
  <si>
    <t>9601073</t>
  </si>
  <si>
    <t>121417</t>
  </si>
  <si>
    <t>150221</t>
  </si>
  <si>
    <t>1.84</t>
  </si>
  <si>
    <t>0.44</t>
  </si>
  <si>
    <t>79.08</t>
  </si>
  <si>
    <t>-0.1312</t>
  </si>
  <si>
    <t>-0.1231</t>
  </si>
  <si>
    <t>-0.1015</t>
  </si>
  <si>
    <t>0.0455</t>
  </si>
  <si>
    <t>-0.0092</t>
  </si>
  <si>
    <t>99041368</t>
  </si>
  <si>
    <t>1949879</t>
  </si>
  <si>
    <t>4664613</t>
  </si>
  <si>
    <t>1.36</t>
  </si>
  <si>
    <t>0.31</t>
  </si>
  <si>
    <t>50.79</t>
  </si>
  <si>
    <t>68395786</t>
  </si>
  <si>
    <t>1330241</t>
  </si>
  <si>
    <t>2826343</t>
  </si>
  <si>
    <t>1.33</t>
  </si>
  <si>
    <t>51.42</t>
  </si>
  <si>
    <t>0.4481</t>
  </si>
  <si>
    <t>0.4658</t>
  </si>
  <si>
    <t>0.6504</t>
  </si>
  <si>
    <t>0.0226</t>
  </si>
  <si>
    <t>-0.1143</t>
  </si>
  <si>
    <t>-0.0123</t>
  </si>
  <si>
    <t>54257585</t>
  </si>
  <si>
    <t>15960497</t>
  </si>
  <si>
    <t>7181960</t>
  </si>
  <si>
    <t>6323764</t>
  </si>
  <si>
    <t>6514979</t>
  </si>
  <si>
    <t>6656291</t>
  </si>
  <si>
    <t>2146292</t>
  </si>
  <si>
    <t>38307378</t>
  </si>
  <si>
    <t>10175394</t>
  </si>
  <si>
    <t>4414008.0</t>
  </si>
  <si>
    <t>2190648.0</t>
  </si>
  <si>
    <t>5360168.0</t>
  </si>
  <si>
    <t>4384086.0</t>
  </si>
  <si>
    <t>0.4163742817375807</t>
  </si>
  <si>
    <t>0.5685384762496666</t>
  </si>
  <si>
    <t>0.6270835938675236</t>
  </si>
  <si>
    <t>1.8867093207124102</t>
  </si>
  <si>
    <t>0.2154430607398873</t>
  </si>
  <si>
    <t>0.5182847690487823</t>
  </si>
  <si>
    <t>-0.01225639200103635736</t>
  </si>
  <si>
    <t>0.01237756782192404086</t>
  </si>
  <si>
    <t>0.00797849293079925523</t>
  </si>
  <si>
    <t>0.03182073309315587535</t>
  </si>
  <si>
    <t>-0.01258947567505360115</t>
  </si>
  <si>
    <t>0.00310840595862424256</t>
  </si>
  <si>
    <t>21426763</t>
  </si>
  <si>
    <t>25113</t>
  </si>
  <si>
    <t>63380</t>
  </si>
  <si>
    <t>1.12</t>
  </si>
  <si>
    <t>853.21</t>
  </si>
  <si>
    <t>15715574</t>
  </si>
  <si>
    <t>21064</t>
  </si>
  <si>
    <t>51321</t>
  </si>
  <si>
    <t>0.37</t>
  </si>
  <si>
    <t>746.09</t>
  </si>
  <si>
    <t>0.3634</t>
  </si>
  <si>
    <t>0.1922</t>
  </si>
  <si>
    <t>0.235</t>
  </si>
  <si>
    <t>-0.0541</t>
  </si>
  <si>
    <t>0.1436</t>
  </si>
  <si>
    <t>89646</t>
  </si>
  <si>
    <t>115654</t>
  </si>
  <si>
    <t>1.69</t>
  </si>
  <si>
    <t>72.67</t>
  </si>
  <si>
    <t>5360168</t>
  </si>
  <si>
    <t>71388</t>
  </si>
  <si>
    <t>87135</t>
  </si>
  <si>
    <t>1.78</t>
  </si>
  <si>
    <t>75.09</t>
  </si>
  <si>
    <t>0.2154</t>
  </si>
  <si>
    <t>0.2558</t>
  </si>
  <si>
    <t>0.3273</t>
  </si>
  <si>
    <t>-0.0506</t>
  </si>
  <si>
    <t>-0.0322</t>
  </si>
  <si>
    <t>150446312</t>
  </si>
  <si>
    <t>2742393</t>
  </si>
  <si>
    <t>6527106</t>
  </si>
  <si>
    <t>0.29</t>
  </si>
  <si>
    <t>54.86</t>
  </si>
  <si>
    <t>126930982</t>
  </si>
  <si>
    <t>2439933</t>
  </si>
  <si>
    <t>5530726</t>
  </si>
  <si>
    <t>1.37</t>
  </si>
  <si>
    <t>0.32</t>
  </si>
  <si>
    <t>52.02</t>
  </si>
  <si>
    <t>0.1853</t>
  </si>
  <si>
    <t>0.124</t>
  </si>
  <si>
    <t>0.1802</t>
  </si>
  <si>
    <t>0.0438</t>
  </si>
  <si>
    <t>-0.0938</t>
  </si>
  <si>
    <t>0.0546</t>
  </si>
  <si>
    <t>77956583</t>
  </si>
  <si>
    <t>23884203</t>
  </si>
  <si>
    <t>11798159</t>
  </si>
  <si>
    <t>12993748</t>
  </si>
  <si>
    <t>12090293</t>
  </si>
  <si>
    <t>9387165</t>
  </si>
  <si>
    <t>2336161</t>
  </si>
  <si>
    <t>73360380.0</t>
  </si>
  <si>
    <t>16106537</t>
  </si>
  <si>
    <t>8751587.0</t>
  </si>
  <si>
    <t>5162440.0</t>
  </si>
  <si>
    <t>9271462.0</t>
  </si>
  <si>
    <t>7330999.0</t>
  </si>
  <si>
    <t>0.0626523881146744</t>
  </si>
  <si>
    <t>0.4828887798786294</t>
  </si>
  <si>
    <t>0.3481165187525417</t>
  </si>
  <si>
    <t>1.5169780181464579</t>
  </si>
  <si>
    <t>0.3040330640410326</t>
  </si>
  <si>
    <t>0.2804755531954103</t>
  </si>
  <si>
    <t>-0.05978608928094408777</t>
  </si>
  <si>
    <t>0.03186357096533605647</t>
  </si>
  <si>
    <t>0.00947345491906475269</t>
  </si>
  <si>
    <t>0.04569676955583804362</t>
  </si>
  <si>
    <t>0.00731950755733034425</t>
  </si>
  <si>
    <t>0.00463965886275701103</t>
  </si>
  <si>
    <t>32751729</t>
  </si>
  <si>
    <t>34314</t>
  </si>
  <si>
    <t>85118</t>
  </si>
  <si>
    <t>1.13</t>
  </si>
  <si>
    <t>954.47</t>
  </si>
  <si>
    <t>25798073</t>
  </si>
  <si>
    <t>42772</t>
  </si>
  <si>
    <t>73869</t>
  </si>
  <si>
    <t>0.52</t>
  </si>
  <si>
    <t>603.15</t>
  </si>
  <si>
    <t>0.2695</t>
  </si>
  <si>
    <t>-0.1977</t>
  </si>
  <si>
    <t>0.1523</t>
  </si>
  <si>
    <t>0.0089</t>
  </si>
  <si>
    <t>-0.3077</t>
  </si>
  <si>
    <t>0.5825</t>
  </si>
  <si>
    <t>12090294</t>
  </si>
  <si>
    <t>154983</t>
  </si>
  <si>
    <t>209893</t>
  </si>
  <si>
    <t>1.7</t>
  </si>
  <si>
    <t>0.43</t>
  </si>
  <si>
    <t>78.01</t>
  </si>
  <si>
    <t>9271462</t>
  </si>
  <si>
    <t>113931</t>
  </si>
  <si>
    <t>151367</t>
  </si>
  <si>
    <t>1.75</t>
  </si>
  <si>
    <t>81.38</t>
  </si>
  <si>
    <t>0.304</t>
  </si>
  <si>
    <t>0.3603</t>
  </si>
  <si>
    <t>0.3866</t>
  </si>
  <si>
    <t>-0.0286</t>
  </si>
  <si>
    <t>-0.0414</t>
  </si>
  <si>
    <t>153758499</t>
  </si>
  <si>
    <t>2714963</t>
  </si>
  <si>
    <t>6325233</t>
  </si>
  <si>
    <t>1.5</t>
  </si>
  <si>
    <t>56.63</t>
  </si>
  <si>
    <t>108287794</t>
  </si>
  <si>
    <t>2140542</t>
  </si>
  <si>
    <t>4750744</t>
  </si>
  <si>
    <t>1.35</t>
  </si>
  <si>
    <t>50.59</t>
  </si>
  <si>
    <t>0.4199</t>
  </si>
  <si>
    <t>0.2684</t>
  </si>
  <si>
    <t>0.3314</t>
  </si>
  <si>
    <t>0.1111</t>
  </si>
  <si>
    <t>-0.1212</t>
  </si>
  <si>
    <t>0.1194</t>
  </si>
  <si>
    <t>83345655</t>
  </si>
  <si>
    <t>25134034</t>
  </si>
  <si>
    <t>11309247</t>
  </si>
  <si>
    <t>12375647</t>
  </si>
  <si>
    <t>9510599</t>
  </si>
  <si>
    <t>8369642</t>
  </si>
  <si>
    <t>3713675</t>
  </si>
  <si>
    <t>61552033</t>
  </si>
  <si>
    <t>14438916</t>
  </si>
  <si>
    <t>6992418.0</t>
  </si>
  <si>
    <t>2338169.0</t>
  </si>
  <si>
    <t>7064227.0</t>
  </si>
  <si>
    <t>6699827.0</t>
  </si>
  <si>
    <t>0.3540682726109144</t>
  </si>
  <si>
    <t>0.7407147461762365</t>
  </si>
  <si>
    <t>0.6173585446407809</t>
  </si>
  <si>
    <t>4.2928795993788302</t>
  </si>
  <si>
    <t>0.3463042736310710</t>
  </si>
  <si>
    <t>0.2492325548107436</t>
  </si>
  <si>
    <t>-0.02635595433658878648</t>
  </si>
  <si>
    <t>0.03012600382087587137</t>
  </si>
  <si>
    <t>0.00897947140203306847</t>
  </si>
  <si>
    <t>0.05889538879798633519</t>
  </si>
  <si>
    <t>-0.00338153660289707431</t>
  </si>
  <si>
    <t>-0.00743687807720445499</t>
  </si>
  <si>
    <t>27721764</t>
  </si>
  <si>
    <t>29236</t>
  </si>
  <si>
    <t>72486</t>
  </si>
  <si>
    <t>1.15</t>
  </si>
  <si>
    <t>948.21</t>
  </si>
  <si>
    <t>19716257</t>
  </si>
  <si>
    <t>25165</t>
  </si>
  <si>
    <t>61176</t>
  </si>
  <si>
    <t>783.48</t>
  </si>
  <si>
    <t>0.406</t>
  </si>
  <si>
    <t>0.1618</t>
  </si>
  <si>
    <t>0.1849</t>
  </si>
  <si>
    <t>0.0177</t>
  </si>
  <si>
    <t>0.2103</t>
  </si>
  <si>
    <t>127485</t>
  </si>
  <si>
    <t>194007</t>
  </si>
  <si>
    <t>1.67</t>
  </si>
  <si>
    <t>0.39</t>
  </si>
  <si>
    <t>74.6</t>
  </si>
  <si>
    <t>7064227</t>
  </si>
  <si>
    <t>100849</t>
  </si>
  <si>
    <t>124978</t>
  </si>
  <si>
    <t>1.76</t>
  </si>
  <si>
    <t>70.05</t>
  </si>
  <si>
    <t>0.3463</t>
  </si>
  <si>
    <t>0.2641</t>
  </si>
  <si>
    <t>0.5523</t>
  </si>
  <si>
    <t>-0.0511</t>
  </si>
  <si>
    <t>-0.1522</t>
  </si>
  <si>
    <t>0.065</t>
  </si>
  <si>
    <t>182569208</t>
  </si>
  <si>
    <t>2970671</t>
  </si>
  <si>
    <t>7033500</t>
  </si>
  <si>
    <t>1.49</t>
  </si>
  <si>
    <t>0.28</t>
  </si>
  <si>
    <t>61.46</t>
  </si>
  <si>
    <t>108770098</t>
  </si>
  <si>
    <t>2160478</t>
  </si>
  <si>
    <t>4708430</t>
  </si>
  <si>
    <t>0.34</t>
  </si>
  <si>
    <t>50.35</t>
  </si>
  <si>
    <t>0.6785</t>
  </si>
  <si>
    <t>0.375</t>
  </si>
  <si>
    <t>0.4938</t>
  </si>
  <si>
    <t>0.0956</t>
  </si>
  <si>
    <t>-0.1765</t>
  </si>
  <si>
    <t>0.2207</t>
  </si>
  <si>
    <t>97902536</t>
  </si>
  <si>
    <t>27613322</t>
  </si>
  <si>
    <t>13638880</t>
  </si>
  <si>
    <t>15894928</t>
  </si>
  <si>
    <t>15644720</t>
  </si>
  <si>
    <t>9341166</t>
  </si>
  <si>
    <t>2533656</t>
  </si>
  <si>
    <t>58712437</t>
  </si>
  <si>
    <t>14506929</t>
  </si>
  <si>
    <t>6519308.0</t>
  </si>
  <si>
    <t>6695038.0</t>
  </si>
  <si>
    <t>6794935.0</t>
  </si>
  <si>
    <t>7065412.0</t>
  </si>
  <si>
    <t>0.6674922895808260</t>
  </si>
  <si>
    <t>0.9034574443702041</t>
  </si>
  <si>
    <t>1.0920748030312420</t>
  </si>
  <si>
    <t>1.3741355911646805</t>
  </si>
  <si>
    <t>1.3024090738174832</t>
  </si>
  <si>
    <t>0.3220978479386623</t>
  </si>
  <si>
    <t>-0.00353582626042852886</t>
  </si>
  <si>
    <t>0.01787611738987636344</t>
  </si>
  <si>
    <t>0.01476867623099636907</t>
  </si>
  <si>
    <t>0.02551028748487965273</t>
  </si>
  <si>
    <t>0.02322138109198959102</t>
  </si>
  <si>
    <t>-0.01379223272304107671</t>
  </si>
  <si>
    <t>47273596</t>
  </si>
  <si>
    <t>45830</t>
  </si>
  <si>
    <t>118324</t>
  </si>
  <si>
    <t>1031.5</t>
  </si>
  <si>
    <t>19189457</t>
  </si>
  <si>
    <t>24746</t>
  </si>
  <si>
    <t>61614</t>
  </si>
  <si>
    <t>775.46</t>
  </si>
  <si>
    <t>1.4635</t>
  </si>
  <si>
    <t>0.852</t>
  </si>
  <si>
    <t>0.9204</t>
  </si>
  <si>
    <t>0.0179</t>
  </si>
  <si>
    <t>-0.0556</t>
  </si>
  <si>
    <t>0.3302</t>
  </si>
  <si>
    <t>171161</t>
  </si>
  <si>
    <t>242219</t>
  </si>
  <si>
    <t>0.42</t>
  </si>
  <si>
    <t>91.4</t>
  </si>
  <si>
    <t>6794935</t>
  </si>
  <si>
    <t>97643</t>
  </si>
  <si>
    <t>134934</t>
  </si>
  <si>
    <t>69.59</t>
  </si>
  <si>
    <t>1.3024</t>
  </si>
  <si>
    <t>0.7529</t>
  </si>
  <si>
    <t>0.7951</t>
  </si>
  <si>
    <t>0.012</t>
  </si>
  <si>
    <t>-0.0233</t>
  </si>
  <si>
    <t>0.3134</t>
  </si>
  <si>
    <t>185355195</t>
  </si>
  <si>
    <t>3106103</t>
  </si>
  <si>
    <t>7048441</t>
  </si>
  <si>
    <t>1.48</t>
  </si>
  <si>
    <t>0.3</t>
  </si>
  <si>
    <t>59.67</t>
  </si>
  <si>
    <t>173568052</t>
  </si>
  <si>
    <t>2904392</t>
  </si>
  <si>
    <t>6175285</t>
  </si>
  <si>
    <t>59.76</t>
  </si>
  <si>
    <t>0.0679</t>
  </si>
  <si>
    <t>0.0695</t>
  </si>
  <si>
    <t>0.1414</t>
  </si>
  <si>
    <t>-0.0067</t>
  </si>
  <si>
    <t>-0.0625</t>
  </si>
  <si>
    <t>-0.0015</t>
  </si>
  <si>
    <t>94261428</t>
  </si>
  <si>
    <t>29406991</t>
  </si>
  <si>
    <t>13130603</t>
  </si>
  <si>
    <t>17989133</t>
  </si>
  <si>
    <t>16279175</t>
  </si>
  <si>
    <t>9635621</t>
  </si>
  <si>
    <t>4652244</t>
  </si>
  <si>
    <t>88197602</t>
  </si>
  <si>
    <t>21279372</t>
  </si>
  <si>
    <t>12197650.0</t>
  </si>
  <si>
    <t>17359065</t>
  </si>
  <si>
    <t>16775935</t>
  </si>
  <si>
    <t>10157734</t>
  </si>
  <si>
    <t>0.0687527309415963</t>
  </si>
  <si>
    <t>0.3819482548639123</t>
  </si>
  <si>
    <t>0.0764862903920017</t>
  </si>
  <si>
    <t>0.0362961945243019</t>
  </si>
  <si>
    <t>-0.02961146427904018465</t>
  </si>
  <si>
    <t>-0.05140053874220372378</t>
  </si>
  <si>
    <t>0.00040062239114504296</t>
  </si>
  <si>
    <t>0.03605251043416313763</t>
  </si>
  <si>
    <t>0.00056432726155002948</t>
  </si>
  <si>
    <t>-0.00296080055806550507</t>
  </si>
  <si>
    <t>-0.00882644237516263739</t>
  </si>
  <si>
    <t>-0.00653843400249931861</t>
  </si>
  <si>
    <t>53820861</t>
  </si>
  <si>
    <t>50207</t>
  </si>
  <si>
    <t>125984</t>
  </si>
  <si>
    <t>1.16</t>
  </si>
  <si>
    <t>1071.98</t>
  </si>
  <si>
    <t>36967086</t>
  </si>
  <si>
    <t>43128</t>
  </si>
  <si>
    <t>107161</t>
  </si>
  <si>
    <t>857.15</t>
  </si>
  <si>
    <t>0.4559</t>
  </si>
  <si>
    <t>0.1641</t>
  </si>
  <si>
    <t>0.1757</t>
  </si>
  <si>
    <t>0.0265</t>
  </si>
  <si>
    <t>0.2506</t>
  </si>
  <si>
    <t>184058</t>
  </si>
  <si>
    <t>252257</t>
  </si>
  <si>
    <t>1.71</t>
  </si>
  <si>
    <t>88.45</t>
  </si>
  <si>
    <t>16775934</t>
  </si>
  <si>
    <t>204251</t>
  </si>
  <si>
    <t>267101</t>
  </si>
  <si>
    <t>1.73</t>
  </si>
  <si>
    <t>82.13</t>
  </si>
  <si>
    <t>-0.0296</t>
  </si>
  <si>
    <t>-0.0989</t>
  </si>
  <si>
    <t>-0.0116</t>
  </si>
  <si>
    <t>-0.0227</t>
  </si>
  <si>
    <t>0.077</t>
  </si>
  <si>
    <t>126801181</t>
  </si>
  <si>
    <t>2581867</t>
  </si>
  <si>
    <t>5871672</t>
  </si>
  <si>
    <t>1.4</t>
  </si>
  <si>
    <t>49.11</t>
  </si>
  <si>
    <t>110296252</t>
  </si>
  <si>
    <t>2184384</t>
  </si>
  <si>
    <t>4806817</t>
  </si>
  <si>
    <t>1.38</t>
  </si>
  <si>
    <t>50.49</t>
  </si>
  <si>
    <t>0.1496</t>
  </si>
  <si>
    <t>0.182</t>
  </si>
  <si>
    <t>0.2215</t>
  </si>
  <si>
    <t>0.0145</t>
  </si>
  <si>
    <t>-0.0606</t>
  </si>
  <si>
    <t>-0.0273</t>
  </si>
  <si>
    <t>64614233</t>
  </si>
  <si>
    <t>21176802</t>
  </si>
  <si>
    <t>7998702</t>
  </si>
  <si>
    <t>10750652</t>
  </si>
  <si>
    <t>6957083</t>
  </si>
  <si>
    <t>7632387</t>
  </si>
  <si>
    <t>7671322</t>
  </si>
  <si>
    <t>58294494</t>
  </si>
  <si>
    <t>14677411</t>
  </si>
  <si>
    <t>6719577.0</t>
  </si>
  <si>
    <t>7552746.0</t>
  </si>
  <si>
    <t>6259634.0</t>
  </si>
  <si>
    <t>7134791.0</t>
  </si>
  <si>
    <t>0.1084105644694334</t>
  </si>
  <si>
    <t>0.4428159026138874</t>
  </si>
  <si>
    <t>0.1903579644968723</t>
  </si>
  <si>
    <t>0.4234097108521854</t>
  </si>
  <si>
    <t>0.1114200926124435</t>
  </si>
  <si>
    <t>0.0697421970734672</t>
  </si>
  <si>
    <t>-0.01895529389045747993</t>
  </si>
  <si>
    <t>0.03393530608714703507</t>
  </si>
  <si>
    <t>0.00215767268022042205</t>
  </si>
  <si>
    <t>0.01630662683145663030</t>
  </si>
  <si>
    <t>-0.00188684252369406139</t>
  </si>
  <si>
    <t>-0.00449575405541683515</t>
  </si>
  <si>
    <t>23963271</t>
  </si>
  <si>
    <t>27978</t>
  </si>
  <si>
    <t>66535</t>
  </si>
  <si>
    <t>856.5</t>
  </si>
  <si>
    <t>18262671</t>
  </si>
  <si>
    <t>25174</t>
  </si>
  <si>
    <t>58241</t>
  </si>
  <si>
    <t>0.38</t>
  </si>
  <si>
    <t>725.46</t>
  </si>
  <si>
    <t>0.3121</t>
  </si>
  <si>
    <t>0.1114</t>
  </si>
  <si>
    <t>0.1424</t>
  </si>
  <si>
    <t>0.0088</t>
  </si>
  <si>
    <t>-0.0263</t>
  </si>
  <si>
    <t>0.1806</t>
  </si>
  <si>
    <t>94401</t>
  </si>
  <si>
    <t>140147</t>
  </si>
  <si>
    <t>1.58</t>
  </si>
  <si>
    <t>73.7</t>
  </si>
  <si>
    <t>6259634</t>
  </si>
  <si>
    <t>95001</t>
  </si>
  <si>
    <t>123972</t>
  </si>
  <si>
    <t>1.65</t>
  </si>
  <si>
    <t>65.89</t>
  </si>
  <si>
    <t>-0.0063</t>
  </si>
  <si>
    <t>0.1305</t>
  </si>
  <si>
    <t>-0.0424</t>
  </si>
  <si>
    <t>0.1185</t>
  </si>
  <si>
    <t>145750867</t>
  </si>
  <si>
    <t>2769104</t>
  </si>
  <si>
    <t>6315450</t>
  </si>
  <si>
    <t>1.41</t>
  </si>
  <si>
    <t>52.63</t>
  </si>
  <si>
    <t>129448569</t>
  </si>
  <si>
    <t>2523350</t>
  </si>
  <si>
    <t>5584514</t>
  </si>
  <si>
    <t>51.3</t>
  </si>
  <si>
    <t>0.1259</t>
  </si>
  <si>
    <t>0.0974</t>
  </si>
  <si>
    <t>0.1309</t>
  </si>
  <si>
    <t>-0.0313</t>
  </si>
  <si>
    <t>0.0259</t>
  </si>
  <si>
    <t>76951792</t>
  </si>
  <si>
    <t>23703661</t>
  </si>
  <si>
    <t>9153113</t>
  </si>
  <si>
    <t>12152081</t>
  </si>
  <si>
    <t>8014866</t>
  </si>
  <si>
    <t>7612897</t>
  </si>
  <si>
    <t>8162457</t>
  </si>
  <si>
    <t>64797110.0</t>
  </si>
  <si>
    <t>17391526</t>
  </si>
  <si>
    <t>8189718.0</t>
  </si>
  <si>
    <t>12339945</t>
  </si>
  <si>
    <t>8422983.0</t>
  </si>
  <si>
    <t>9336419.0</t>
  </si>
  <si>
    <t>0.1875806189504439</t>
  </si>
  <si>
    <t>0.3629431367897216</t>
  </si>
  <si>
    <t>0.1176346975561307</t>
  </si>
  <si>
    <t>-0.01522405488841319795</t>
  </si>
  <si>
    <t>-0.04845278685710276276</t>
  </si>
  <si>
    <t>-0.18460204067533815695</t>
  </si>
  <si>
    <t>0.02740540550184989363</t>
  </si>
  <si>
    <t>0.02828049946092805006</t>
  </si>
  <si>
    <t>-0.00046647621471871900</t>
  </si>
  <si>
    <t>-0.01195130674931661860</t>
  </si>
  <si>
    <t>-0.01007800445757530808</t>
  </si>
  <si>
    <t>-0.01989228515580640955</t>
  </si>
  <si>
    <t>29967562</t>
  </si>
  <si>
    <t>32916</t>
  </si>
  <si>
    <t>81112</t>
  </si>
  <si>
    <t>910.43</t>
  </si>
  <si>
    <t>25042971</t>
  </si>
  <si>
    <t>33500</t>
  </si>
  <si>
    <t>80714</t>
  </si>
  <si>
    <t>747.55</t>
  </si>
  <si>
    <t>0.1966</t>
  </si>
  <si>
    <t>-0.0174</t>
  </si>
  <si>
    <t>0.0049</t>
  </si>
  <si>
    <t>-0.027</t>
  </si>
  <si>
    <t>0.2179</t>
  </si>
  <si>
    <t>111571</t>
  </si>
  <si>
    <t>148415</t>
  </si>
  <si>
    <t>1.6</t>
  </si>
  <si>
    <t>0.47</t>
  </si>
  <si>
    <t>71.84</t>
  </si>
  <si>
    <t>8422983</t>
  </si>
  <si>
    <t>116548</t>
  </si>
  <si>
    <t>150110</t>
  </si>
  <si>
    <t>0.45</t>
  </si>
  <si>
    <t>72.27</t>
  </si>
  <si>
    <t>-0.0485</t>
  </si>
  <si>
    <t>-0.0427</t>
  </si>
  <si>
    <t>-0.0113</t>
  </si>
  <si>
    <t>-0.0698</t>
  </si>
  <si>
    <t>0.0444</t>
  </si>
  <si>
    <t>-0.0059</t>
  </si>
  <si>
    <t>158297870</t>
  </si>
  <si>
    <t>2829042</t>
  </si>
  <si>
    <t>6672935</t>
  </si>
  <si>
    <t>55.95</t>
  </si>
  <si>
    <t>131459519</t>
  </si>
  <si>
    <t>2590786</t>
  </si>
  <si>
    <t>5867931</t>
  </si>
  <si>
    <t>50.74</t>
  </si>
  <si>
    <t>0.2042</t>
  </si>
  <si>
    <t>0.092</t>
  </si>
  <si>
    <t>0.1372</t>
  </si>
  <si>
    <t>-0.0323</t>
  </si>
  <si>
    <t>0.1027</t>
  </si>
  <si>
    <t>87571828</t>
  </si>
  <si>
    <t>24745545</t>
  </si>
  <si>
    <t>10187457</t>
  </si>
  <si>
    <t>13551355</t>
  </si>
  <si>
    <t>9535095</t>
  </si>
  <si>
    <t>7148527</t>
  </si>
  <si>
    <t>5558063</t>
  </si>
  <si>
    <t>67889819</t>
  </si>
  <si>
    <t>17765334</t>
  </si>
  <si>
    <t>8471597.0</t>
  </si>
  <si>
    <t>12423735</t>
  </si>
  <si>
    <t>8256422.0</t>
  </si>
  <si>
    <t>8479606.0</t>
  </si>
  <si>
    <t>0.2899110542627901</t>
  </si>
  <si>
    <t>0.3929118923404423</t>
  </si>
  <si>
    <t>0.2025426846909739</t>
  </si>
  <si>
    <t>0.0907633654452546</t>
  </si>
  <si>
    <t>0.1548701120170456</t>
  </si>
  <si>
    <t>-0.15697415658227516703</t>
  </si>
  <si>
    <t>0.03677777045222434339</t>
  </si>
  <si>
    <t>0.02118346736760263231</t>
  </si>
  <si>
    <t>-0.00008638078408859350</t>
  </si>
  <si>
    <t>-0.00889948569285410298</t>
  </si>
  <si>
    <t>-0.00257066921237254225</t>
  </si>
  <si>
    <t>-0.01934484643232530804</t>
  </si>
  <si>
    <t>32405186</t>
  </si>
  <si>
    <t>35310</t>
  </si>
  <si>
    <t>89196</t>
  </si>
  <si>
    <t>917.73</t>
  </si>
  <si>
    <t>25307655</t>
  </si>
  <si>
    <t>31104</t>
  </si>
  <si>
    <t>76856</t>
  </si>
  <si>
    <t>813.65</t>
  </si>
  <si>
    <t>0.2804</t>
  </si>
  <si>
    <t>0.1352</t>
  </si>
  <si>
    <t>0.1606</t>
  </si>
  <si>
    <t>0.1279</t>
  </si>
  <si>
    <t>115699</t>
  </si>
  <si>
    <t>167843</t>
  </si>
  <si>
    <t>82.41</t>
  </si>
  <si>
    <t>8256422</t>
  </si>
  <si>
    <t>121657</t>
  </si>
  <si>
    <t>149548</t>
  </si>
  <si>
    <t>1.66</t>
  </si>
  <si>
    <t>0.49</t>
  </si>
  <si>
    <t>67.87</t>
  </si>
  <si>
    <t>0.1549</t>
  </si>
  <si>
    <t>-0.049</t>
  </si>
  <si>
    <t>0.1223</t>
  </si>
  <si>
    <t>-0.0361</t>
  </si>
  <si>
    <t>-0.1224</t>
  </si>
  <si>
    <t>0.2142</t>
  </si>
  <si>
    <t>211628554</t>
  </si>
  <si>
    <t>3434211</t>
  </si>
  <si>
    <t>7462515</t>
  </si>
  <si>
    <t>1.46</t>
  </si>
  <si>
    <t>61.62</t>
  </si>
  <si>
    <t>110462572</t>
  </si>
  <si>
    <t>2389994</t>
  </si>
  <si>
    <t>5459721</t>
  </si>
  <si>
    <t>46.22</t>
  </si>
  <si>
    <t>0.9158</t>
  </si>
  <si>
    <t>0.4369</t>
  </si>
  <si>
    <t>0.3668</t>
  </si>
  <si>
    <t>0.0735</t>
  </si>
  <si>
    <t>0.3332</t>
  </si>
  <si>
    <t>118041571</t>
  </si>
  <si>
    <t>31791146</t>
  </si>
  <si>
    <t>13091945</t>
  </si>
  <si>
    <t>18872866</t>
  </si>
  <si>
    <t>18309836</t>
  </si>
  <si>
    <t>8675375</t>
  </si>
  <si>
    <t>2845815</t>
  </si>
  <si>
    <t>61471889</t>
  </si>
  <si>
    <t>15933251</t>
  </si>
  <si>
    <t>6320948.0</t>
  </si>
  <si>
    <t>5914988.0</t>
  </si>
  <si>
    <t>6446503.0</t>
  </si>
  <si>
    <t>7461514.0</t>
  </si>
  <si>
    <t>0.9202528655008471</t>
  </si>
  <si>
    <t>0.9952705194941070</t>
  </si>
  <si>
    <t>1.0711996048693962</t>
  </si>
  <si>
    <t>2.1906854248901266</t>
  </si>
  <si>
    <t>1.8402741765574297</t>
  </si>
  <si>
    <t>0.1626829353935408</t>
  </si>
  <si>
    <t>0.00128196564074367508</t>
  </si>
  <si>
    <t>0.00598026601856934788</t>
  </si>
  <si>
    <t>0.00464031622890548954</t>
  </si>
  <si>
    <t>0.03563176356503993052</t>
  </si>
  <si>
    <t>0.02815957997121744644</t>
  </si>
  <si>
    <t>-0.02655448816659621137</t>
  </si>
  <si>
    <t>60857969</t>
  </si>
  <si>
    <t>53907</t>
  </si>
  <si>
    <t>144898</t>
  </si>
  <si>
    <t>1.11</t>
  </si>
  <si>
    <t>1128.94</t>
  </si>
  <si>
    <t>20512369</t>
  </si>
  <si>
    <t>25976</t>
  </si>
  <si>
    <t>63751</t>
  </si>
  <si>
    <t>789.67</t>
  </si>
  <si>
    <t>1.9669</t>
  </si>
  <si>
    <t>1.0753</t>
  </si>
  <si>
    <t>1.2729</t>
  </si>
  <si>
    <t>-0.0177</t>
  </si>
  <si>
    <t>0.4296</t>
  </si>
  <si>
    <t>173331</t>
  </si>
  <si>
    <t>240994</t>
  </si>
  <si>
    <t>105.64</t>
  </si>
  <si>
    <t>6446503</t>
  </si>
  <si>
    <t>104680</t>
  </si>
  <si>
    <t>126226</t>
  </si>
  <si>
    <t>1.62</t>
  </si>
  <si>
    <t>0.51</t>
  </si>
  <si>
    <t>61.58</t>
  </si>
  <si>
    <t>1.8403</t>
  </si>
  <si>
    <t>0.6558</t>
  </si>
  <si>
    <t>0.9092</t>
  </si>
  <si>
    <t>0.0309</t>
  </si>
  <si>
    <t>-0.1569</t>
  </si>
  <si>
    <t>0.7155</t>
  </si>
  <si>
    <t>217113767</t>
  </si>
  <si>
    <t>3343644</t>
  </si>
  <si>
    <t>7828798</t>
  </si>
  <si>
    <t>1.47</t>
  </si>
  <si>
    <t>64.93</t>
  </si>
  <si>
    <t>239091612</t>
  </si>
  <si>
    <t>3748361</t>
  </si>
  <si>
    <t>8435653</t>
  </si>
  <si>
    <t>63.79</t>
  </si>
  <si>
    <t>-0.0919</t>
  </si>
  <si>
    <t>-0.108</t>
  </si>
  <si>
    <t>-0.0719</t>
  </si>
  <si>
    <t>-0.0134</t>
  </si>
  <si>
    <t>-0.0333</t>
  </si>
  <si>
    <t>122984152</t>
  </si>
  <si>
    <t>34019018</t>
  </si>
  <si>
    <t>14580583</t>
  </si>
  <si>
    <t>16279314</t>
  </si>
  <si>
    <t>17629371</t>
  </si>
  <si>
    <t>9117775</t>
  </si>
  <si>
    <t>2503554</t>
  </si>
  <si>
    <t>126131599</t>
  </si>
  <si>
    <t>30131113</t>
  </si>
  <si>
    <t>17075074</t>
  </si>
  <si>
    <t>23436650.0</t>
  </si>
  <si>
    <t>25351756</t>
  </si>
  <si>
    <t>12539072</t>
  </si>
  <si>
    <t>-0.02495367556547031486</t>
  </si>
  <si>
    <t>0.1290329036302111</t>
  </si>
  <si>
    <t>-0.14608961577560366649</t>
  </si>
  <si>
    <t>-0.30539074483767944651</t>
  </si>
  <si>
    <t>-0.30460947162792194750</t>
  </si>
  <si>
    <t>-0.27285089359084946637</t>
  </si>
  <si>
    <t>0.03890520944146588475</t>
  </si>
  <si>
    <t>0.03066422529888944253</t>
  </si>
  <si>
    <t>-0.00426003085096393450</t>
  </si>
  <si>
    <t>-0.02304315324531167898</t>
  </si>
  <si>
    <t>-0.02483487794455933098</t>
  </si>
  <si>
    <t>-0.01044925433296119188</t>
  </si>
  <si>
    <t>71190103</t>
  </si>
  <si>
    <t>61562</t>
  </si>
  <si>
    <t>157250</t>
  </si>
  <si>
    <t>1156.4</t>
  </si>
  <si>
    <t>66902348</t>
  </si>
  <si>
    <t>62205</t>
  </si>
  <si>
    <t>163179</t>
  </si>
  <si>
    <t>1075.51</t>
  </si>
  <si>
    <t>0.0641</t>
  </si>
  <si>
    <t>-0.0103</t>
  </si>
  <si>
    <t>-0.0363</t>
  </si>
  <si>
    <t>0.0752</t>
  </si>
  <si>
    <t>192904</t>
  </si>
  <si>
    <t>255845</t>
  </si>
  <si>
    <t>91.39</t>
  </si>
  <si>
    <t>273211</t>
  </si>
  <si>
    <t>346262</t>
  </si>
  <si>
    <t>92.79</t>
  </si>
  <si>
    <t>-0.3046</t>
  </si>
  <si>
    <t>-0.2939</t>
  </si>
  <si>
    <t>-0.2611</t>
  </si>
  <si>
    <t>-0.0234</t>
  </si>
  <si>
    <t>-0.0217</t>
  </si>
  <si>
    <t>-0.0151</t>
  </si>
  <si>
    <t>140979480</t>
  </si>
  <si>
    <t>2468884</t>
  </si>
  <si>
    <t>5362042</t>
  </si>
  <si>
    <t>57.1</t>
  </si>
  <si>
    <t>139516591</t>
  </si>
  <si>
    <t>2647230</t>
  </si>
  <si>
    <t>5747924</t>
  </si>
  <si>
    <t>52.7</t>
  </si>
  <si>
    <t>0.0105</t>
  </si>
  <si>
    <t>-0.0674</t>
  </si>
  <si>
    <t>-0.0671</t>
  </si>
  <si>
    <t>0.0835</t>
  </si>
  <si>
    <t>75526510</t>
  </si>
  <si>
    <t>26530852</t>
  </si>
  <si>
    <t>9428278</t>
  </si>
  <si>
    <t>9981690</t>
  </si>
  <si>
    <t>9644682</t>
  </si>
  <si>
    <t>6270005</t>
  </si>
  <si>
    <t>3597463</t>
  </si>
  <si>
    <t>73357947</t>
  </si>
  <si>
    <t>21385656</t>
  </si>
  <si>
    <t>9987001.0</t>
  </si>
  <si>
    <t>9824234.0</t>
  </si>
  <si>
    <t>9690758.0</t>
  </si>
  <si>
    <t>8569526.0</t>
  </si>
  <si>
    <t>0.0295613916240050</t>
  </si>
  <si>
    <t>0.2405909830402210</t>
  </si>
  <si>
    <t>-0.05594502293531361417</t>
  </si>
  <si>
    <t>0.0160273055385285</t>
  </si>
  <si>
    <t>-0.00475463322889705841</t>
  </si>
  <si>
    <t>-0.26833701187206853681</t>
  </si>
  <si>
    <t>0.00992608760759200817</t>
  </si>
  <si>
    <t>0.03490549529878360452</t>
  </si>
  <si>
    <t>-0.00470593893952123379</t>
  </si>
  <si>
    <t>0.00038618992297672716</t>
  </si>
  <si>
    <t>-0.00104758220533631390</t>
  </si>
  <si>
    <t>-0.01694839571401072885</t>
  </si>
  <si>
    <t>38417875</t>
  </si>
  <si>
    <t>37516</t>
  </si>
  <si>
    <t>89816</t>
  </si>
  <si>
    <t>1024.04</t>
  </si>
  <si>
    <t>34709969</t>
  </si>
  <si>
    <t>39608</t>
  </si>
  <si>
    <t>97912</t>
  </si>
  <si>
    <t>876.34</t>
  </si>
  <si>
    <t>0.1068</t>
  </si>
  <si>
    <t>-0.0528</t>
  </si>
  <si>
    <t>-0.0827</t>
  </si>
  <si>
    <t>0.0278</t>
  </si>
  <si>
    <t>0.1685</t>
  </si>
  <si>
    <t>118155</t>
  </si>
  <si>
    <t>152793</t>
  </si>
  <si>
    <t>81.63</t>
  </si>
  <si>
    <t>9690758</t>
  </si>
  <si>
    <t>127647</t>
  </si>
  <si>
    <t>162108</t>
  </si>
  <si>
    <t>75.92</t>
  </si>
  <si>
    <t>-0.0048</t>
  </si>
  <si>
    <t>-0.0744</t>
  </si>
  <si>
    <t>-0.0575</t>
  </si>
  <si>
    <t>83885347</t>
  </si>
  <si>
    <t>1496499</t>
  </si>
  <si>
    <t>3209550</t>
  </si>
  <si>
    <t>56.05</t>
  </si>
  <si>
    <t>-0.3162</t>
  </si>
  <si>
    <t>-0.3361</t>
  </si>
  <si>
    <t>-0.3219</t>
  </si>
  <si>
    <t>-0.021</t>
  </si>
  <si>
    <t>0.03</t>
  </si>
  <si>
    <t>44480637</t>
  </si>
  <si>
    <t>17190128</t>
  </si>
  <si>
    <t>5619401</t>
  </si>
  <si>
    <t>4326413</t>
  </si>
  <si>
    <t>5090588</t>
  </si>
  <si>
    <t>3744529</t>
  </si>
  <si>
    <t>3433651</t>
  </si>
  <si>
    <t>8555236.0</t>
  </si>
  <si>
    <t>7403760.0</t>
  </si>
  <si>
    <t>8341773.0</t>
  </si>
  <si>
    <t>7607568.0</t>
  </si>
  <si>
    <t>-0.29382459724208797200</t>
  </si>
  <si>
    <t>-0.16483506659941347469</t>
  </si>
  <si>
    <t>-0.34316236279162842498</t>
  </si>
  <si>
    <t>-0.41564650934119960669</t>
  </si>
  <si>
    <t>-0.38974747934282076484</t>
  </si>
  <si>
    <t>-0.50778895436754558093</t>
  </si>
  <si>
    <t>0.01681363612915249619</t>
  </si>
  <si>
    <t>0.03714438067160313950</t>
  </si>
  <si>
    <t>-0.00274814322759032792</t>
  </si>
  <si>
    <t>-0.00877574673643612030</t>
  </si>
  <si>
    <t>-0.00731211677179161344</t>
  </si>
  <si>
    <t>-0.01737372708485505022</t>
  </si>
  <si>
    <t>22958817</t>
  </si>
  <si>
    <t>23060</t>
  </si>
  <si>
    <t>57477</t>
  </si>
  <si>
    <t>995.61</t>
  </si>
  <si>
    <t>-0.1816</t>
  </si>
  <si>
    <t>-0.2636</t>
  </si>
  <si>
    <t>-0.2694</t>
  </si>
  <si>
    <t>-0.0175</t>
  </si>
  <si>
    <t>0.0286</t>
  </si>
  <si>
    <t>63346</t>
  </si>
  <si>
    <t>89313</t>
  </si>
  <si>
    <t>80.36</t>
  </si>
  <si>
    <t>-0.3897</t>
  </si>
  <si>
    <t>-0.405</t>
  </si>
  <si>
    <t>-0.3383</t>
  </si>
  <si>
    <t>-0.0814</t>
  </si>
  <si>
    <t>0.0257</t>
  </si>
  <si>
    <t>134391303</t>
  </si>
  <si>
    <t>2469253</t>
  </si>
  <si>
    <t>6009432</t>
  </si>
  <si>
    <t>54.43</t>
  </si>
  <si>
    <t>0.3569</t>
  </si>
  <si>
    <t>0.2664</t>
  </si>
  <si>
    <t>0.2883</t>
  </si>
  <si>
    <t>0.0717</t>
  </si>
  <si>
    <t>78711074</t>
  </si>
  <si>
    <t>22725161</t>
  </si>
  <si>
    <t>8431200</t>
  </si>
  <si>
    <t>7538248</t>
  </si>
  <si>
    <t>7709718</t>
  </si>
  <si>
    <t>6315849</t>
  </si>
  <si>
    <t>2960053</t>
  </si>
  <si>
    <t>7181960.0</t>
  </si>
  <si>
    <t>6323764.0</t>
  </si>
  <si>
    <t>6514979.0</t>
  </si>
  <si>
    <t>6656291.0</t>
  </si>
  <si>
    <t>0.4506925437245318</t>
  </si>
  <si>
    <t>0.4238379293577136</t>
  </si>
  <si>
    <t>0.1739413753348668</t>
  </si>
  <si>
    <t>0.1920508102452906</t>
  </si>
  <si>
    <t>0.1833834000078895</t>
  </si>
  <si>
    <t>-0.05114590092290135753</t>
  </si>
  <si>
    <t>0.03785827192841804535</t>
  </si>
  <si>
    <t>0.00794715799432206017</t>
  </si>
  <si>
    <t>-0.00977854708872702690</t>
  </si>
  <si>
    <t>-0.00775793943381374936</t>
  </si>
  <si>
    <t>-0.00841269632258881252</t>
  </si>
  <si>
    <t>-0.02021121432160567537</t>
  </si>
  <si>
    <t>29935482</t>
  </si>
  <si>
    <t>32378</t>
  </si>
  <si>
    <t>81164</t>
  </si>
  <si>
    <t>924.56</t>
  </si>
  <si>
    <t>0.3971</t>
  </si>
  <si>
    <t>0.2893</t>
  </si>
  <si>
    <t>0.2806</t>
  </si>
  <si>
    <t>0.0836</t>
  </si>
  <si>
    <t>97041</t>
  </si>
  <si>
    <t>164076</t>
  </si>
  <si>
    <t>0.4</t>
  </si>
  <si>
    <t>79.45</t>
  </si>
  <si>
    <t>0.1834</t>
  </si>
  <si>
    <t>0.0825</t>
  </si>
  <si>
    <t>0.4187</t>
  </si>
  <si>
    <t>-0.1302</t>
  </si>
  <si>
    <t>-0.1304</t>
  </si>
  <si>
    <t>0.0933</t>
  </si>
  <si>
    <t>172267089</t>
  </si>
  <si>
    <t>3066002</t>
  </si>
  <si>
    <t>7477638</t>
  </si>
  <si>
    <t>56.19</t>
  </si>
  <si>
    <t>0.145</t>
  </si>
  <si>
    <t>0.118</t>
  </si>
  <si>
    <t>0.1456</t>
  </si>
  <si>
    <t>-0.035</t>
  </si>
  <si>
    <t>0.0345</t>
  </si>
  <si>
    <t>0.0242</t>
  </si>
  <si>
    <t>103608905</t>
  </si>
  <si>
    <t>28226912</t>
  </si>
  <si>
    <t>9465915</t>
  </si>
  <si>
    <t>10353091</t>
  </si>
  <si>
    <t>9960039</t>
  </si>
  <si>
    <t>6315640</t>
  </si>
  <si>
    <t>4336587</t>
  </si>
  <si>
    <t>9387165.0</t>
  </si>
  <si>
    <t>0.3290590866457038</t>
  </si>
  <si>
    <t>0.1818234839152891</t>
  </si>
  <si>
    <t>-0.19767863782815607079</t>
  </si>
  <si>
    <t>-0.20322519722561958259</t>
  </si>
  <si>
    <t>-0.17619539906931949457</t>
  </si>
  <si>
    <t>-0.32720475244655867879</t>
  </si>
  <si>
    <t>0.08327462043648755649</t>
  </si>
  <si>
    <t>0.00509985529686895528</t>
  </si>
  <si>
    <t>-0.02347199600403176519</t>
  </si>
  <si>
    <t>-0.02626894102868921976</t>
  </si>
  <si>
    <t>-0.02254541855788271773</t>
  </si>
  <si>
    <t>-0.02573354073005418995</t>
  </si>
  <si>
    <t>38073362</t>
  </si>
  <si>
    <t>36049</t>
  </si>
  <si>
    <t>93394</t>
  </si>
  <si>
    <t>1056.16</t>
  </si>
  <si>
    <t>0.1625</t>
  </si>
  <si>
    <t>0.0506</t>
  </si>
  <si>
    <t>0.0972</t>
  </si>
  <si>
    <t>-0.0088</t>
  </si>
  <si>
    <t>0.1065</t>
  </si>
  <si>
    <t>121203</t>
  </si>
  <si>
    <t>194643</t>
  </si>
  <si>
    <t>1.55</t>
  </si>
  <si>
    <t>82.18</t>
  </si>
  <si>
    <t>-0.1762</t>
  </si>
  <si>
    <t>-0.218</t>
  </si>
  <si>
    <t>-0.0727</t>
  </si>
  <si>
    <t>-0.0882</t>
  </si>
  <si>
    <t>0.0535</t>
  </si>
  <si>
    <t>153656967</t>
  </si>
  <si>
    <t>2997909</t>
  </si>
  <si>
    <t>6676713</t>
  </si>
  <si>
    <t>51.25</t>
  </si>
  <si>
    <t>-0.0007</t>
  </si>
  <si>
    <t>0.1042</t>
  </si>
  <si>
    <t>0.0556</t>
  </si>
  <si>
    <t>-0.08</t>
  </si>
  <si>
    <t>0.1379</t>
  </si>
  <si>
    <t>-0.095</t>
  </si>
  <si>
    <t>88671686</t>
  </si>
  <si>
    <t>27652828</t>
  </si>
  <si>
    <t>8784966</t>
  </si>
  <si>
    <t>9191608</t>
  </si>
  <si>
    <t>7663604</t>
  </si>
  <si>
    <t>5872857</t>
  </si>
  <si>
    <t>5819418</t>
  </si>
  <si>
    <t>9510599.0</t>
  </si>
  <si>
    <t>8369642.0</t>
  </si>
  <si>
    <t>0.0639029233137588</t>
  </si>
  <si>
    <t>0.1002144741269945</t>
  </si>
  <si>
    <t>-0.22320504627761689173</t>
  </si>
  <si>
    <t>-0.25728262934455063238</t>
  </si>
  <si>
    <t>-0.19420385613987089562</t>
  </si>
  <si>
    <t>-0.29831443208682043987</t>
  </si>
  <si>
    <t>0.03502000002964328194</t>
  </si>
  <si>
    <t>0.01650033130603921859</t>
  </si>
  <si>
    <t>-0.01637942728033637947</t>
  </si>
  <si>
    <t>-0.02066855150584206101</t>
  </si>
  <si>
    <t>-0.01197937758289322103</t>
  </si>
  <si>
    <t>-0.01621311605673501002</t>
  </si>
  <si>
    <t>32732856</t>
  </si>
  <si>
    <t>79432</t>
  </si>
  <si>
    <t>82412</t>
  </si>
  <si>
    <t>0.86</t>
  </si>
  <si>
    <t>412.09</t>
  </si>
  <si>
    <t>0.1808</t>
  </si>
  <si>
    <t>1.7169</t>
  </si>
  <si>
    <t>0.1369</t>
  </si>
  <si>
    <t>-0.0261</t>
  </si>
  <si>
    <t>1.4571</t>
  </si>
  <si>
    <t>-0.5654</t>
  </si>
  <si>
    <t>111282</t>
  </si>
  <si>
    <t>178099</t>
  </si>
  <si>
    <t>1.56</t>
  </si>
  <si>
    <t>68.87</t>
  </si>
  <si>
    <t>-0.1942</t>
  </si>
  <si>
    <t>-0.1271</t>
  </si>
  <si>
    <t>-0.082</t>
  </si>
  <si>
    <t>-0.0659</t>
  </si>
  <si>
    <t>0.0256</t>
  </si>
  <si>
    <t>-0.0768</t>
  </si>
  <si>
    <t>170693111</t>
  </si>
  <si>
    <t>3780475</t>
  </si>
  <si>
    <t>6995537</t>
  </si>
  <si>
    <t>45.15</t>
  </si>
  <si>
    <t>-0.065</t>
  </si>
  <si>
    <t>0.2726</t>
  </si>
  <si>
    <t>-0.0054</t>
  </si>
  <si>
    <t>-0.0604</t>
  </si>
  <si>
    <t>0.3929</t>
  </si>
  <si>
    <t>-0.2654</t>
  </si>
  <si>
    <t>98286197</t>
  </si>
  <si>
    <t>29188303</t>
  </si>
  <si>
    <t>9675176</t>
  </si>
  <si>
    <t>12281676</t>
  </si>
  <si>
    <t>11163745</t>
  </si>
  <si>
    <t>5701282</t>
  </si>
  <si>
    <t>4396732</t>
  </si>
  <si>
    <t>13638880.0</t>
  </si>
  <si>
    <t>15644720.0</t>
  </si>
  <si>
    <t>9341166.0</t>
  </si>
  <si>
    <t>0.0039188055353336</t>
  </si>
  <si>
    <t>0.0570369983010374</t>
  </si>
  <si>
    <t>-0.29061799795877667374</t>
  </si>
  <si>
    <t>-0.22732106744994378081</t>
  </si>
  <si>
    <t>-0.28642091389299393022</t>
  </si>
  <si>
    <t>-0.38966056271775921764</t>
  </si>
  <si>
    <t>0.03955757118893706684</t>
  </si>
  <si>
    <t>0.01975019988714690626</t>
  </si>
  <si>
    <t>-0.01802355746913272911</t>
  </si>
  <si>
    <t>-0.01511068331145462625</t>
  </si>
  <si>
    <t>-0.02028956243629740207</t>
  </si>
  <si>
    <t>-0.01776429445737393694</t>
  </si>
  <si>
    <t>48003265</t>
  </si>
  <si>
    <t>82428</t>
  </si>
  <si>
    <t>116679</t>
  </si>
  <si>
    <t>0.63</t>
  </si>
  <si>
    <t>582.37</t>
  </si>
  <si>
    <t>0.0154</t>
  </si>
  <si>
    <t>0.7986</t>
  </si>
  <si>
    <t>-0.0139</t>
  </si>
  <si>
    <t>0.8529</t>
  </si>
  <si>
    <t>-0.4354</t>
  </si>
  <si>
    <t>131310</t>
  </si>
  <si>
    <t>210101</t>
  </si>
  <si>
    <t>85.02</t>
  </si>
  <si>
    <t>-0.2864</t>
  </si>
  <si>
    <t>-0.2328</t>
  </si>
  <si>
    <t>-0.1326</t>
  </si>
  <si>
    <t>-0.0769</t>
  </si>
  <si>
    <t>-0.0476</t>
  </si>
  <si>
    <t>182554822</t>
  </si>
  <si>
    <t>4235715</t>
  </si>
  <si>
    <t>7094497</t>
  </si>
  <si>
    <t>43.1</t>
  </si>
  <si>
    <t>0.3637</t>
  </si>
  <si>
    <t>0.0065</t>
  </si>
  <si>
    <t>-0.0338</t>
  </si>
  <si>
    <t>-0.2777</t>
  </si>
  <si>
    <t>103681897</t>
  </si>
  <si>
    <t>31635724</t>
  </si>
  <si>
    <t>9927415</t>
  </si>
  <si>
    <t>12418728</t>
  </si>
  <si>
    <t>13195765</t>
  </si>
  <si>
    <t>6337139</t>
  </si>
  <si>
    <t>5358154</t>
  </si>
  <si>
    <t>9635621.0</t>
  </si>
  <si>
    <t>0.0999398078289245</t>
  </si>
  <si>
    <t>0.0757892230456356</t>
  </si>
  <si>
    <t>-0.24394827868910513858</t>
  </si>
  <si>
    <t>-0.30965388937865988316</t>
  </si>
  <si>
    <t>-0.18940824703954592294</t>
  </si>
  <si>
    <t>-0.34232168326255256407</t>
  </si>
  <si>
    <t>0.05940453459761443777</t>
  </si>
  <si>
    <t>0.01464227583235621122</t>
  </si>
  <si>
    <t>-0.01645976219381695296</t>
  </si>
  <si>
    <t>-0.02902482951663058008</t>
  </si>
  <si>
    <t>-0.01554306726500522662</t>
  </si>
  <si>
    <t>-0.01727100722224552634</t>
  </si>
  <si>
    <t>59476192</t>
  </si>
  <si>
    <t>605873</t>
  </si>
  <si>
    <t>131471</t>
  </si>
  <si>
    <t>4.04</t>
  </si>
  <si>
    <t>98.17</t>
  </si>
  <si>
    <t>0.1051</t>
  </si>
  <si>
    <t>11.0675</t>
  </si>
  <si>
    <t>0.0436</t>
  </si>
  <si>
    <t>-0.0172</t>
  </si>
  <si>
    <t>10.8824</t>
  </si>
  <si>
    <t>-0.9084</t>
  </si>
  <si>
    <t>156620</t>
  </si>
  <si>
    <t>229363</t>
  </si>
  <si>
    <t>1.54</t>
  </si>
  <si>
    <t>84.25</t>
  </si>
  <si>
    <t>-0.1894</t>
  </si>
  <si>
    <t>-0.1491</t>
  </si>
  <si>
    <t>-0.0908</t>
  </si>
  <si>
    <t>-0.0994</t>
  </si>
  <si>
    <t>0.0233</t>
  </si>
  <si>
    <t>-0.0475</t>
  </si>
  <si>
    <t>122595944</t>
  </si>
  <si>
    <t>3192943</t>
  </si>
  <si>
    <t>5914756</t>
  </si>
  <si>
    <t>1.39</t>
  </si>
  <si>
    <t>38.4</t>
  </si>
  <si>
    <t>-0.0332</t>
  </si>
  <si>
    <t>0.2367</t>
  </si>
  <si>
    <t>0.0073</t>
  </si>
  <si>
    <t>-0.0071</t>
  </si>
  <si>
    <t>0.2581</t>
  </si>
  <si>
    <t>-0.2181</t>
  </si>
  <si>
    <t>69338185</t>
  </si>
  <si>
    <t>23252599</t>
  </si>
  <si>
    <t>5896843</t>
  </si>
  <si>
    <t>7115411</t>
  </si>
  <si>
    <t>4982183</t>
  </si>
  <si>
    <t>4726191</t>
  </si>
  <si>
    <t>7284532</t>
  </si>
  <si>
    <t>7998702.0</t>
  </si>
  <si>
    <t>6957083.0</t>
  </si>
  <si>
    <t>7632387.0</t>
  </si>
  <si>
    <t>0.0731100839655560</t>
  </si>
  <si>
    <t>0.0980222131745860</t>
  </si>
  <si>
    <t>-0.26277501024541231815</t>
  </si>
  <si>
    <t>-0.33814144481655624236</t>
  </si>
  <si>
    <t>-0.28386897209649503966</t>
  </si>
  <si>
    <t>-0.38077157251067064602</t>
  </si>
  <si>
    <t>0.05601180219366847207</t>
  </si>
  <si>
    <t>0.02266065915943057957</t>
  </si>
  <si>
    <t>-0.01498083721889439181</t>
  </si>
  <si>
    <t>-0.02674400185547874551</t>
  </si>
  <si>
    <t>-0.01422702169419478562</t>
  </si>
  <si>
    <t>-0.02164080859826863310</t>
  </si>
  <si>
    <t>25043474</t>
  </si>
  <si>
    <t>222561</t>
  </si>
  <si>
    <t>67254</t>
  </si>
  <si>
    <t>2.95</t>
  </si>
  <si>
    <t>112.52</t>
  </si>
  <si>
    <t>0.0451</t>
  </si>
  <si>
    <t>6.9549</t>
  </si>
  <si>
    <t>0.0108</t>
  </si>
  <si>
    <t>6.973</t>
  </si>
  <si>
    <t>-0.8686</t>
  </si>
  <si>
    <t>4982182</t>
  </si>
  <si>
    <t>85704</t>
  </si>
  <si>
    <t>146707</t>
  </si>
  <si>
    <t>58.13</t>
  </si>
  <si>
    <t>-0.2839</t>
  </si>
  <si>
    <t>-0.0921</t>
  </si>
  <si>
    <t>0.0468</t>
  </si>
  <si>
    <t>-0.0696</t>
  </si>
  <si>
    <t>-0.2113</t>
  </si>
  <si>
    <t>134074070</t>
  </si>
  <si>
    <t>2940610</t>
  </si>
  <si>
    <t>6001467</t>
  </si>
  <si>
    <t>1.42</t>
  </si>
  <si>
    <t>45.59</t>
  </si>
  <si>
    <t>-0.0801</t>
  </si>
  <si>
    <t>0.0619</t>
  </si>
  <si>
    <t>-0.0497</t>
  </si>
  <si>
    <t>0.0071</t>
  </si>
  <si>
    <t>0.129</t>
  </si>
  <si>
    <t>-0.1338</t>
  </si>
  <si>
    <t>72108792</t>
  </si>
  <si>
    <t>26999102</t>
  </si>
  <si>
    <t>7103027</t>
  </si>
  <si>
    <t>8613734</t>
  </si>
  <si>
    <t>7466492</t>
  </si>
  <si>
    <t>4963159</t>
  </si>
  <si>
    <t>6819764</t>
  </si>
  <si>
    <t>9153113.0</t>
  </si>
  <si>
    <t>8014866.0</t>
  </si>
  <si>
    <t>7612897.0</t>
  </si>
  <si>
    <t>-0.06293550642719275465</t>
  </si>
  <si>
    <t>0.1390266676527309</t>
  </si>
  <si>
    <t>-0.22397691364675602716</t>
  </si>
  <si>
    <t>-0.29117210459673532459</t>
  </si>
  <si>
    <t>-0.06841960926109057843</t>
  </si>
  <si>
    <t>-0.34805908972628947955</t>
  </si>
  <si>
    <t>0.00986003496749874828</t>
  </si>
  <si>
    <t>0.03874316874814046815</t>
  </si>
  <si>
    <t>-0.00982133584044168923</t>
  </si>
  <si>
    <t>-0.01912961873429629258</t>
  </si>
  <si>
    <t>0.00069912948780737001</t>
  </si>
  <si>
    <t>-0.01521422089729232780</t>
  </si>
  <si>
    <t>34734113</t>
  </si>
  <si>
    <t>37935</t>
  </si>
  <si>
    <t>96224</t>
  </si>
  <si>
    <t>915.62</t>
  </si>
  <si>
    <t>0.1591</t>
  </si>
  <si>
    <t>0.1525</t>
  </si>
  <si>
    <t>0.1863</t>
  </si>
  <si>
    <t>0.0057</t>
  </si>
  <si>
    <t>123292</t>
  </si>
  <si>
    <t>208624</t>
  </si>
  <si>
    <t>1.51</t>
  </si>
  <si>
    <t>60.56</t>
  </si>
  <si>
    <t>-0.0684</t>
  </si>
  <si>
    <t>0.4057</t>
  </si>
  <si>
    <t>-0.0563</t>
  </si>
  <si>
    <t>-0.1702</t>
  </si>
  <si>
    <t>-0.157</t>
  </si>
  <si>
    <t>125991973</t>
  </si>
  <si>
    <t>2516486</t>
  </si>
  <si>
    <t>5713805</t>
  </si>
  <si>
    <t>50.07</t>
  </si>
  <si>
    <t>-0.2041</t>
  </si>
  <si>
    <t>-0.1105</t>
  </si>
  <si>
    <t>-0.1437</t>
  </si>
  <si>
    <t>0.0333</t>
  </si>
  <si>
    <t>-0.1051</t>
  </si>
  <si>
    <t>68670539</t>
  </si>
  <si>
    <t>25969636</t>
  </si>
  <si>
    <t>7232685</t>
  </si>
  <si>
    <t>6807686</t>
  </si>
  <si>
    <t>7031452</t>
  </si>
  <si>
    <t>4808549</t>
  </si>
  <si>
    <t>5471426</t>
  </si>
  <si>
    <t>9535095.0</t>
  </si>
  <si>
    <t>7148527.0</t>
  </si>
  <si>
    <t>-0.21583755223198035788</t>
  </si>
  <si>
    <t>0.0494671263049571</t>
  </si>
  <si>
    <t>-0.29004019354388440609</t>
  </si>
  <si>
    <t>-0.49763798527896287862</t>
  </si>
  <si>
    <t>-0.26257137448551902210</t>
  </si>
  <si>
    <t>-0.32733708636758313986</t>
  </si>
  <si>
    <t>-0.00817013645113395740</t>
  </si>
  <si>
    <t>0.04979868784347088362</t>
  </si>
  <si>
    <t>-0.00695032910263711867</t>
  </si>
  <si>
    <t>-0.03157398316302173323</t>
  </si>
  <si>
    <t>-0.00442641406211959130</t>
  </si>
  <si>
    <t>-0.00699318749097328551</t>
  </si>
  <si>
    <t>33011631</t>
  </si>
  <si>
    <t>40156</t>
  </si>
  <si>
    <t>85761</t>
  </si>
  <si>
    <t>822.08</t>
  </si>
  <si>
    <t>0.0187</t>
  </si>
  <si>
    <t>-0.0385</t>
  </si>
  <si>
    <t>0.2</t>
  </si>
  <si>
    <t>-0.1042</t>
  </si>
  <si>
    <t>111275</t>
  </si>
  <si>
    <t>166247</t>
  </si>
  <si>
    <t>1.59</t>
  </si>
  <si>
    <t>63.19</t>
  </si>
  <si>
    <t>-0.2626</t>
  </si>
  <si>
    <t>-0.0382</t>
  </si>
  <si>
    <t>-0.0095</t>
  </si>
  <si>
    <t>-0.2332</t>
  </si>
  <si>
    <t>152151703</t>
  </si>
  <si>
    <t>2965857</t>
  </si>
  <si>
    <t>6130976</t>
  </si>
  <si>
    <t>1.45</t>
  </si>
  <si>
    <t>-0.281</t>
  </si>
  <si>
    <t>-0.1364</t>
  </si>
  <si>
    <t>-0.1784</t>
  </si>
  <si>
    <t>-0.0068</t>
  </si>
  <si>
    <t>0.0313</t>
  </si>
  <si>
    <t>-0.1675</t>
  </si>
  <si>
    <t>80578569</t>
  </si>
  <si>
    <t>31425500</t>
  </si>
  <si>
    <t>9320381</t>
  </si>
  <si>
    <t>10164958</t>
  </si>
  <si>
    <t>13385727</t>
  </si>
  <si>
    <t>5080661</t>
  </si>
  <si>
    <t>2195907</t>
  </si>
  <si>
    <t>8675375.0</t>
  </si>
  <si>
    <t>-0.31737125897790702904</t>
  </si>
  <si>
    <t>-0.01150150422384899242</t>
  </si>
  <si>
    <t>-0.28808278678225427925</t>
  </si>
  <si>
    <t>-0.46139828471203048864</t>
  </si>
  <si>
    <t>-0.26893244701918684580</t>
  </si>
  <si>
    <t>-0.41435834185842110572</t>
  </si>
  <si>
    <t>-0.02818354098496354843</t>
  </si>
  <si>
    <t>0.05631913412230116245</t>
  </si>
  <si>
    <t>-0.00060568908871959816</t>
  </si>
  <si>
    <t>-0.02237115787269110572</t>
  </si>
  <si>
    <t>0.00145744837720325114</t>
  </si>
  <si>
    <t>-0.00760133040041784962</t>
  </si>
  <si>
    <t>63111244</t>
  </si>
  <si>
    <t>54851</t>
  </si>
  <si>
    <t>134911</t>
  </si>
  <si>
    <t>1150.59</t>
  </si>
  <si>
    <t>0.037</t>
  </si>
  <si>
    <t>0.0175</t>
  </si>
  <si>
    <t>-0.0689</t>
  </si>
  <si>
    <t>0.027</t>
  </si>
  <si>
    <t>0.0588</t>
  </si>
  <si>
    <t>0.0192</t>
  </si>
  <si>
    <t>148850</t>
  </si>
  <si>
    <t>226310</t>
  </si>
  <si>
    <t>1.64</t>
  </si>
  <si>
    <t>89.93</t>
  </si>
  <si>
    <t>-0.2689</t>
  </si>
  <si>
    <t>-0.1412</t>
  </si>
  <si>
    <t>-0.0609</t>
  </si>
  <si>
    <t>-0.018</t>
  </si>
  <si>
    <t>-0.1487</t>
  </si>
  <si>
    <t>159982499</t>
  </si>
  <si>
    <t>2947897</t>
  </si>
  <si>
    <t>6187400</t>
  </si>
  <si>
    <t>54.27</t>
  </si>
  <si>
    <t>-0.2631</t>
  </si>
  <si>
    <t>-0.1184</t>
  </si>
  <si>
    <t>-0.2097</t>
  </si>
  <si>
    <t>0.0068</t>
  </si>
  <si>
    <t>0.1034</t>
  </si>
  <si>
    <t>-0.1642</t>
  </si>
  <si>
    <t>82511968</t>
  </si>
  <si>
    <t>34229994</t>
  </si>
  <si>
    <t>10132953</t>
  </si>
  <si>
    <t>10276475</t>
  </si>
  <si>
    <t>14889764</t>
  </si>
  <si>
    <t>5283835</t>
  </si>
  <si>
    <t>2657510</t>
  </si>
  <si>
    <t>9117775.0</t>
  </si>
  <si>
    <t>-0.32908454741388142433</t>
  </si>
  <si>
    <t>0.0062017075272426</t>
  </si>
  <si>
    <t>-0.30503787125658829966</t>
  </si>
  <si>
    <t>-0.36874029212778867709</t>
  </si>
  <si>
    <t>-0.15540015579682338071</t>
  </si>
  <si>
    <t>-0.42049074472664657770</t>
  </si>
  <si>
    <t>-0.05069405622678765622</t>
  </si>
  <si>
    <t>0.05727334446704648986</t>
  </si>
  <si>
    <t>-0.00381853427874612025</t>
  </si>
  <si>
    <t>-0.01074557512520954537</t>
  </si>
  <si>
    <t>0.01187243446391810344</t>
  </si>
  <si>
    <t>-0.00896779796837134813</t>
  </si>
  <si>
    <t>72501084</t>
  </si>
  <si>
    <t>79239</t>
  </si>
  <si>
    <t>192711</t>
  </si>
  <si>
    <t>914.97</t>
  </si>
  <si>
    <t>0.0184</t>
  </si>
  <si>
    <t>0.2871</t>
  </si>
  <si>
    <t>0.2255</t>
  </si>
  <si>
    <t>-0.2088</t>
  </si>
  <si>
    <t>164089</t>
  </si>
  <si>
    <t>219307</t>
  </si>
  <si>
    <t>1.74</t>
  </si>
  <si>
    <t>90.74</t>
  </si>
  <si>
    <t>-0.1554</t>
  </si>
  <si>
    <t>-0.1494</t>
  </si>
  <si>
    <t>-0.1428</t>
  </si>
  <si>
    <t>0.0419</t>
  </si>
  <si>
    <t>-0.0444</t>
  </si>
  <si>
    <t>115903210</t>
  </si>
  <si>
    <t>2482440</t>
  </si>
  <si>
    <t>4836893</t>
  </si>
  <si>
    <t>46.69</t>
  </si>
  <si>
    <t>-0.1779</t>
  </si>
  <si>
    <t>0.0055</t>
  </si>
  <si>
    <t>-0.0979</t>
  </si>
  <si>
    <t>0.021</t>
  </si>
  <si>
    <t>0.0937</t>
  </si>
  <si>
    <t>-0.1823</t>
  </si>
  <si>
    <t>59141761</t>
  </si>
  <si>
    <t>28784224</t>
  </si>
  <si>
    <t>7806022</t>
  </si>
  <si>
    <t>5057012</t>
  </si>
  <si>
    <t>6789717</t>
  </si>
  <si>
    <t>4480028</t>
  </si>
  <si>
    <t>3844446</t>
  </si>
  <si>
    <t>75526510.0</t>
  </si>
  <si>
    <t>9428278.0</t>
  </si>
  <si>
    <t>9981690.0</t>
  </si>
  <si>
    <t>9644682.0</t>
  </si>
  <si>
    <t>6270005.0</t>
  </si>
  <si>
    <t>-0.21694036967946751412</t>
  </si>
  <si>
    <t>0.0849340232269963</t>
  </si>
  <si>
    <t>-0.17206280934864245624</t>
  </si>
  <si>
    <t>-0.49337116259871825312</t>
  </si>
  <si>
    <t>-0.29601442535896984473</t>
  </si>
  <si>
    <t>-0.28548254746208336357</t>
  </si>
  <si>
    <t>-0.02545843891813786819</t>
  </si>
  <si>
    <t>0.06015762352358867219</t>
  </si>
  <si>
    <t>0.00047253669593954459</t>
  </si>
  <si>
    <t>-0.02717109480151950398</t>
  </si>
  <si>
    <t>-0.00983103329952721529</t>
  </si>
  <si>
    <t>-0.00582140992287621882</t>
  </si>
  <si>
    <t>37371815</t>
  </si>
  <si>
    <t>44227</t>
  </si>
  <si>
    <t>87800</t>
  </si>
  <si>
    <t>845.0</t>
  </si>
  <si>
    <t>-0.0272</t>
  </si>
  <si>
    <t>0.1789</t>
  </si>
  <si>
    <t>-0.0224</t>
  </si>
  <si>
    <t>0.2162</t>
  </si>
  <si>
    <t>-0.1748</t>
  </si>
  <si>
    <t>92031</t>
  </si>
  <si>
    <t>139103</t>
  </si>
  <si>
    <t>1.61</t>
  </si>
  <si>
    <t>0.41</t>
  </si>
  <si>
    <t>73.78</t>
  </si>
  <si>
    <t>-0.296</t>
  </si>
  <si>
    <t>-0.2211</t>
  </si>
  <si>
    <t>-0.0896</t>
  </si>
  <si>
    <t>-0.0473</t>
  </si>
  <si>
    <t>-0.1087</t>
  </si>
  <si>
    <t>-0.0962</t>
  </si>
  <si>
    <t>购买频次_同比值</t>
    <phoneticPr fontId="22" type="noConversion"/>
  </si>
  <si>
    <t>单次购买量</t>
    <phoneticPr fontId="22" type="noConversion"/>
  </si>
  <si>
    <t>销售金额_同比值</t>
    <phoneticPr fontId="22" type="noConversion"/>
  </si>
  <si>
    <t>去年同月交易金额</t>
    <phoneticPr fontId="22" type="noConversion"/>
  </si>
  <si>
    <t>去年同月市占率</t>
    <phoneticPr fontId="22" type="noConversion"/>
  </si>
  <si>
    <t>TTL*</t>
    <phoneticPr fontId="22" type="noConversion"/>
  </si>
  <si>
    <t>销售金额_top1品牌</t>
    <phoneticPr fontId="22" type="noConversion"/>
  </si>
  <si>
    <t>销售金额_TOP3-10品牌</t>
    <phoneticPr fontId="22" type="noConversion"/>
  </si>
  <si>
    <t>销售金额_top品牌_其他商家</t>
    <phoneticPr fontId="22" type="noConversion"/>
  </si>
  <si>
    <t>销售金额</t>
    <phoneticPr fontId="22" type="noConversion"/>
  </si>
  <si>
    <t>销售金额_TOP3-10品牌_占比</t>
    <phoneticPr fontId="22" type="noConversion"/>
  </si>
  <si>
    <t>销售金额_TOP4-10品牌_占比</t>
    <phoneticPr fontId="22" type="noConversion"/>
  </si>
  <si>
    <t>销售金额_TOP11-20品牌_占比</t>
    <phoneticPr fontId="22" type="noConversion"/>
  </si>
  <si>
    <t>销售金额_top品牌_其他商家_占比</t>
    <phoneticPr fontId="22" type="noConversion"/>
  </si>
  <si>
    <t>销售金额_top1品牌_占比</t>
    <phoneticPr fontId="22" type="noConversion"/>
  </si>
  <si>
    <t>销售金额_top2品牌_占比</t>
    <phoneticPr fontId="22" type="noConversion"/>
  </si>
  <si>
    <t>当月top3</t>
    <phoneticPr fontId="22" type="noConversion"/>
  </si>
  <si>
    <t>当月top10</t>
    <phoneticPr fontId="22" type="noConversion"/>
  </si>
  <si>
    <t>12月</t>
    <phoneticPr fontId="22" type="noConversion"/>
  </si>
  <si>
    <t>当前月份</t>
    <phoneticPr fontId="22" type="noConversion"/>
  </si>
  <si>
    <t>类目</t>
    <phoneticPr fontId="22" type="noConversion"/>
  </si>
  <si>
    <t>占比</t>
    <phoneticPr fontId="22" type="noConversion"/>
  </si>
  <si>
    <t>占比变化</t>
    <phoneticPr fontId="22" type="noConversion"/>
  </si>
  <si>
    <t>咖啡机</t>
    <phoneticPr fontId="22" type="noConversion"/>
  </si>
  <si>
    <t>胶囊咖啡</t>
    <phoneticPr fontId="22" type="noConversion"/>
  </si>
  <si>
    <t>GMV</t>
    <phoneticPr fontId="22" type="noConversion"/>
  </si>
  <si>
    <t>购买人数</t>
    <phoneticPr fontId="22" type="noConversion"/>
  </si>
  <si>
    <t>川鸟屋、奈斯派索、星巴克、onlycook、Mongdio</t>
    <phoneticPr fontId="22" type="noConversion"/>
  </si>
  <si>
    <t>同比变化</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</si>
</sst>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0.00_);_(* \(#,##0.00\);_(* &quot;-&quot;??_);_(@_)"/>
    <numFmt numFmtId="177" formatCode="#,##0_ "/>
    <numFmt numFmtId="178" formatCode="0.0%"/>
    <numFmt numFmtId="179" formatCode="\+0;\-0;&quot;持&quot;&quot;平&quot;"/>
    <numFmt numFmtId="180" formatCode="0.000%"/>
    <numFmt numFmtId="181" formatCode="0_ "/>
  </numFmts>
  <fonts count="27" x14ac:knownFonts="1">
    <font>
      <sz val="11"/>
      <color theme="1"/>
      <name val="宋体"/>
      <family val="2"/>
      <scheme val="minor"/>
    </font>
    <font>
      <sz val="11"/>
      <color theme="1"/>
      <name val="宋体"/>
      <family val="2"/>
      <scheme val="minor"/>
    </font>
    <font>
      <sz val="11"/>
      <color theme="1"/>
      <name val="微软雅黑"/>
      <family val="2"/>
      <charset val="134"/>
    </font>
    <font>
      <sz val="11"/>
      <color rgb="FF000000"/>
      <name val="微软雅黑"/>
      <family val="2"/>
      <charset val="134"/>
    </font>
    <font>
      <sz val="16"/>
      <color rgb="FF000000"/>
      <name val="微软雅黑"/>
      <family val="2"/>
      <charset val="134"/>
    </font>
    <font>
      <b/>
      <sz val="16"/>
      <color rgb="FF000000"/>
      <name val="微软雅黑"/>
      <family val="2"/>
      <charset val="134"/>
    </font>
    <font>
      <b/>
      <sz val="11"/>
      <color rgb="FF000000"/>
      <name val="微软雅黑"/>
      <family val="2"/>
      <charset val="134"/>
    </font>
    <font>
      <b/>
      <sz val="11"/>
      <color theme="1"/>
      <name val="微软雅黑"/>
      <family val="2"/>
      <charset val="134"/>
    </font>
    <font>
      <b/>
      <sz val="12"/>
      <color theme="1"/>
      <name val="微软雅黑"/>
      <family val="2"/>
      <charset val="134"/>
    </font>
    <font>
      <b/>
      <i/>
      <sz val="11"/>
      <color theme="5"/>
      <name val="微软雅黑"/>
      <family val="2"/>
      <charset val="134"/>
    </font>
    <font>
      <sz val="10"/>
      <color theme="1"/>
      <name val="微软雅黑"/>
      <family val="2"/>
      <charset val="134"/>
    </font>
    <font>
      <b/>
      <sz val="11"/>
      <color rgb="FF595959"/>
      <name val="微软雅黑"/>
      <family val="2"/>
      <charset val="134"/>
    </font>
    <font>
      <sz val="10"/>
      <color rgb="FF000000"/>
      <name val="微软雅黑"/>
      <family val="2"/>
      <charset val="134"/>
    </font>
    <font>
      <sz val="11"/>
      <color theme="9" tint="-0.249977111117893"/>
      <name val="微软雅黑"/>
      <family val="2"/>
      <charset val="134"/>
    </font>
    <font>
      <sz val="11"/>
      <color theme="2"/>
      <name val="微软雅黑"/>
      <family val="2"/>
      <charset val="134"/>
    </font>
    <font>
      <sz val="11"/>
      <color theme="2" tint="-9.9978637043366805E-2"/>
      <name val="微软雅黑"/>
      <family val="2"/>
      <charset val="134"/>
    </font>
    <font>
      <b/>
      <sz val="11"/>
      <color theme="8"/>
      <name val="微软雅黑"/>
      <family val="2"/>
      <charset val="134"/>
    </font>
    <font>
      <b/>
      <sz val="12"/>
      <color rgb="FF000000"/>
      <name val="微软雅黑"/>
      <family val="2"/>
      <charset val="134"/>
    </font>
    <font>
      <u/>
      <sz val="11"/>
      <color theme="10"/>
      <name val="宋体"/>
      <family val="2"/>
      <scheme val="minor"/>
    </font>
    <font>
      <sz val="11"/>
      <color rgb="FF000000"/>
      <name val="宋体"/>
      <family val="2"/>
      <charset val="134"/>
      <scheme val="minor"/>
    </font>
    <font>
      <b/>
      <sz val="10"/>
      <color rgb="FF000000"/>
      <name val="微软雅黑"/>
      <family val="2"/>
      <charset val="134"/>
    </font>
    <font>
      <sz val="11"/>
      <color rgb="FF000000"/>
      <name val="Calibri"/>
      <family val="2"/>
    </font>
    <font>
      <sz val="9"/>
      <name val="宋体"/>
      <family val="3"/>
      <charset val="134"/>
      <scheme val="minor"/>
    </font>
    <font>
      <sz val="11"/>
      <color theme="1"/>
      <name val="Arial"/>
      <family val="2"/>
    </font>
    <font>
      <sz val="11"/>
      <color rgb="FF333333"/>
      <name val="微软雅黑"/>
      <family val="2"/>
      <charset val="134"/>
    </font>
    <font>
      <sz val="11"/>
      <color rgb="FF333333"/>
      <name val="Arial"/>
      <family val="2"/>
    </font>
    <font>
      <sz val="11"/>
      <color rgb="FFFF0000"/>
      <name val="宋体"/>
      <family val="2"/>
      <scheme val="minor"/>
    </font>
  </fonts>
  <fills count="22">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DF2E9"/>
        <bgColor indexed="64"/>
      </patternFill>
    </fill>
    <fill>
      <patternFill patternType="solid">
        <fgColor rgb="FFF2F7FC"/>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D2C6B6"/>
        <bgColor indexed="64"/>
      </patternFill>
    </fill>
    <fill>
      <patternFill patternType="solid">
        <fgColor rgb="FFFFFF00"/>
        <bgColor indexed="64"/>
      </patternFill>
    </fill>
    <fill>
      <patternFill patternType="solid">
        <fgColor rgb="FFF2F2F2"/>
        <bgColor indexed="64"/>
      </patternFill>
    </fill>
    <fill>
      <patternFill patternType="solid">
        <fgColor rgb="FFFCE4D6"/>
        <bgColor rgb="FF000000"/>
      </patternFill>
    </fill>
    <fill>
      <patternFill patternType="solid">
        <fgColor theme="0" tint="-0.14999847407452621"/>
        <bgColor indexed="64"/>
      </patternFill>
    </fill>
    <fill>
      <patternFill patternType="solid">
        <fgColor rgb="FFFDF2E9"/>
        <bgColor rgb="FF000000"/>
      </patternFill>
    </fill>
    <fill>
      <patternFill patternType="solid">
        <fgColor rgb="FFEDE8E2"/>
        <bgColor indexed="64"/>
      </patternFill>
    </fill>
    <fill>
      <patternFill patternType="solid">
        <fgColor theme="0"/>
        <bgColor indexed="64"/>
      </patternFill>
    </fill>
    <fill>
      <patternFill patternType="solid">
        <fgColor theme="0"/>
        <bgColor rgb="FF000000"/>
      </patternFill>
    </fill>
  </fills>
  <borders count="70">
    <border>
      <left/>
      <right/>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top style="hair">
        <color theme="1" tint="0.499984740745262"/>
      </top>
      <bottom style="hair">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diagonal/>
    </border>
    <border>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right/>
      <top style="hair">
        <color theme="1" tint="0.499984740745262"/>
      </top>
      <bottom style="hair">
        <color theme="1" tint="0.499984740745262"/>
      </bottom>
      <diagonal/>
    </border>
    <border>
      <left style="hair">
        <color theme="1" tint="0.499984740745262"/>
      </left>
      <right/>
      <top/>
      <bottom style="hair">
        <color theme="1" tint="0.499984740745262"/>
      </bottom>
      <diagonal/>
    </border>
    <border>
      <left/>
      <right/>
      <top/>
      <bottom style="hair">
        <color theme="1" tint="0.499984740745262"/>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medium">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style="hair">
        <color theme="1" tint="0.499984740745262"/>
      </top>
      <bottom/>
      <diagonal/>
    </border>
    <border>
      <left style="hair">
        <color theme="1" tint="0.499984740745262"/>
      </left>
      <right style="medium">
        <color theme="1" tint="0.499984740745262"/>
      </right>
      <top style="hair">
        <color theme="1" tint="0.499984740745262"/>
      </top>
      <bottom/>
      <diagonal/>
    </border>
    <border>
      <left style="medium">
        <color theme="1" tint="0.499984740745262"/>
      </left>
      <right style="hair">
        <color theme="1" tint="0.499984740745262"/>
      </right>
      <top style="hair">
        <color theme="1" tint="0.499984740745262"/>
      </top>
      <bottom style="medium">
        <color theme="1" tint="0.499984740745262"/>
      </bottom>
      <diagonal/>
    </border>
    <border>
      <left style="hair">
        <color theme="1" tint="0.499984740745262"/>
      </left>
      <right style="hair">
        <color theme="1" tint="0.499984740745262"/>
      </right>
      <top style="hair">
        <color theme="1" tint="0.499984740745262"/>
      </top>
      <bottom style="medium">
        <color theme="1" tint="0.499984740745262"/>
      </bottom>
      <diagonal/>
    </border>
    <border>
      <left style="medium">
        <color theme="1" tint="0.499984740745262"/>
      </left>
      <right style="hair">
        <color theme="1" tint="0.499984740745262"/>
      </right>
      <top/>
      <bottom style="hair">
        <color theme="1" tint="0.499984740745262"/>
      </bottom>
      <diagonal/>
    </border>
    <border>
      <left style="medium">
        <color theme="1" tint="0.499984740745262"/>
      </left>
      <right style="hair">
        <color theme="1" tint="0.499984740745262"/>
      </right>
      <top style="medium">
        <color theme="1" tint="0.499984740745262"/>
      </top>
      <bottom/>
      <diagonal/>
    </border>
    <border>
      <left style="hair">
        <color theme="1" tint="0.499984740745262"/>
      </left>
      <right style="hair">
        <color theme="1" tint="0.499984740745262"/>
      </right>
      <top style="medium">
        <color theme="1" tint="0.499984740745262"/>
      </top>
      <bottom/>
      <diagonal/>
    </border>
    <border>
      <left style="hair">
        <color theme="1" tint="0.499984740745262"/>
      </left>
      <right style="medium">
        <color theme="1" tint="0.499984740745262"/>
      </right>
      <top style="medium">
        <color theme="1" tint="0.499984740745262"/>
      </top>
      <bottom/>
      <diagonal/>
    </border>
    <border>
      <left style="hair">
        <color theme="1" tint="0.499984740745262"/>
      </left>
      <right style="medium">
        <color theme="1" tint="0.499984740745262"/>
      </right>
      <top style="hair">
        <color theme="1" tint="0.499984740745262"/>
      </top>
      <bottom style="medium">
        <color theme="1" tint="0.499984740745262"/>
      </bottom>
      <diagonal/>
    </border>
    <border>
      <left style="hair">
        <color theme="1" tint="0.499984740745262"/>
      </left>
      <right style="medium">
        <color theme="1" tint="0.499984740745262"/>
      </right>
      <top/>
      <bottom style="hair">
        <color theme="1" tint="0.499984740745262"/>
      </bottom>
      <diagonal/>
    </border>
    <border>
      <left style="hair">
        <color theme="1" tint="0.499984740745262"/>
      </left>
      <right style="medium">
        <color theme="1" tint="0.499984740745262"/>
      </right>
      <top/>
      <bottom/>
      <diagonal/>
    </border>
    <border>
      <left/>
      <right style="hair">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bottom/>
      <diagonal/>
    </border>
    <border>
      <left style="medium">
        <color theme="1" tint="0.499984740745262"/>
      </left>
      <right style="hair">
        <color theme="1" tint="0.499984740745262"/>
      </right>
      <top/>
      <bottom style="medium">
        <color theme="1" tint="0.499984740745262"/>
      </bottom>
      <diagonal/>
    </border>
    <border>
      <left/>
      <right style="hair">
        <color theme="1" tint="0.499984740745262"/>
      </right>
      <top style="hair">
        <color theme="1" tint="0.499984740745262"/>
      </top>
      <bottom style="medium">
        <color theme="1" tint="0.499984740745262"/>
      </bottom>
      <diagonal/>
    </border>
    <border>
      <left/>
      <right/>
      <top style="medium">
        <color rgb="FFD2C6B6"/>
      </top>
      <bottom/>
      <diagonal/>
    </border>
    <border>
      <left/>
      <right style="medium">
        <color rgb="FFD2C6B6"/>
      </right>
      <top style="medium">
        <color rgb="FFD2C6B6"/>
      </top>
      <bottom/>
      <diagonal/>
    </border>
    <border>
      <left style="medium">
        <color rgb="FFD2C6B6"/>
      </left>
      <right/>
      <top/>
      <bottom/>
      <diagonal/>
    </border>
    <border>
      <left/>
      <right style="medium">
        <color rgb="FFD2C6B6"/>
      </right>
      <top/>
      <bottom/>
      <diagonal/>
    </border>
    <border>
      <left/>
      <right/>
      <top/>
      <bottom style="thin">
        <color rgb="FFD2C6B6"/>
      </bottom>
      <diagonal/>
    </border>
    <border>
      <left/>
      <right/>
      <top style="thin">
        <color rgb="FFD2C6B6"/>
      </top>
      <bottom style="thin">
        <color rgb="FFD2C6B6"/>
      </bottom>
      <diagonal/>
    </border>
    <border>
      <left/>
      <right/>
      <top style="thin">
        <color rgb="FFD2C6B6"/>
      </top>
      <bottom/>
      <diagonal/>
    </border>
    <border>
      <left style="medium">
        <color rgb="FFD2C6B6"/>
      </left>
      <right/>
      <top/>
      <bottom style="medium">
        <color rgb="FFD2C6B6"/>
      </bottom>
      <diagonal/>
    </border>
    <border>
      <left/>
      <right/>
      <top style="thin">
        <color rgb="FFD2C6B6"/>
      </top>
      <bottom style="medium">
        <color rgb="FFD2C6B6"/>
      </bottom>
      <diagonal/>
    </border>
    <border>
      <left style="hair">
        <color indexed="64"/>
      </left>
      <right/>
      <top/>
      <bottom/>
      <diagonal/>
    </border>
    <border>
      <left style="hair">
        <color indexed="64"/>
      </left>
      <right/>
      <top style="hair">
        <color indexed="64"/>
      </top>
      <bottom/>
      <diagonal/>
    </border>
    <border>
      <left/>
      <right/>
      <top style="hair">
        <color indexed="64"/>
      </top>
      <bottom/>
      <diagonal/>
    </border>
    <border>
      <left style="hair">
        <color theme="1" tint="0.499984740745262"/>
      </left>
      <right/>
      <top/>
      <bottom/>
      <diagonal/>
    </border>
    <border>
      <left style="thin">
        <color rgb="FFD2C6B6"/>
      </left>
      <right/>
      <top style="thin">
        <color rgb="FFD2C6B6"/>
      </top>
      <bottom style="thin">
        <color rgb="FFD2C6B6"/>
      </bottom>
      <diagonal/>
    </border>
    <border>
      <left/>
      <right style="thin">
        <color rgb="FFD2C6B6"/>
      </right>
      <top style="thin">
        <color rgb="FFD2C6B6"/>
      </top>
      <bottom style="thin">
        <color rgb="FFD2C6B6"/>
      </bottom>
      <diagonal/>
    </border>
    <border>
      <left/>
      <right/>
      <top style="hair">
        <color theme="1" tint="0.499984740745262"/>
      </top>
      <bottom/>
      <diagonal/>
    </border>
    <border>
      <left/>
      <right style="hair">
        <color theme="1" tint="0.499984740745262"/>
      </right>
      <top style="medium">
        <color theme="1" tint="0.499984740745262"/>
      </top>
      <bottom/>
      <diagonal/>
    </border>
    <border>
      <left/>
      <right/>
      <top style="medium">
        <color theme="1" tint="0.499984740745262"/>
      </top>
      <bottom style="hair">
        <color theme="1" tint="0.499984740745262"/>
      </bottom>
      <diagonal/>
    </border>
    <border>
      <left style="medium">
        <color theme="1" tint="0.499984740745262"/>
      </left>
      <right style="hair">
        <color theme="1" tint="0.499984740745262"/>
      </right>
      <top style="medium">
        <color theme="1" tint="0.499984740745262"/>
      </top>
      <bottom style="medium">
        <color theme="1" tint="0.499984740745262"/>
      </bottom>
      <diagonal/>
    </border>
    <border>
      <left style="medium">
        <color rgb="FFD2C6B6"/>
      </left>
      <right style="medium">
        <color rgb="FFD2C6B6"/>
      </right>
      <top style="medium">
        <color rgb="FFD2C6B6"/>
      </top>
      <bottom/>
      <diagonal/>
    </border>
    <border>
      <left style="hair">
        <color theme="1" tint="0.499984740745262"/>
      </left>
      <right style="hair">
        <color theme="1" tint="0.499984740745262"/>
      </right>
      <top style="hair">
        <color indexed="64"/>
      </top>
      <bottom style="hair">
        <color theme="1" tint="0.499984740745262"/>
      </bottom>
      <diagonal/>
    </border>
    <border>
      <left style="thin">
        <color rgb="FFD2C6B6"/>
      </left>
      <right style="thin">
        <color rgb="FFD2C6B6"/>
      </right>
      <top style="thin">
        <color rgb="FFD2C6B6"/>
      </top>
      <bottom style="thin">
        <color rgb="FFD2C6B6"/>
      </bottom>
      <diagonal/>
    </border>
    <border>
      <left style="hair">
        <color rgb="FF808080"/>
      </left>
      <right style="hair">
        <color rgb="FF808080"/>
      </right>
      <top/>
      <bottom style="hair">
        <color rgb="FF808080"/>
      </bottom>
      <diagonal/>
    </border>
    <border>
      <left style="hair">
        <color rgb="FF808080"/>
      </left>
      <right style="hair">
        <color rgb="FF808080"/>
      </right>
      <top style="hair">
        <color rgb="FF808080"/>
      </top>
      <bottom style="hair">
        <color rgb="FF808080"/>
      </bottom>
      <diagonal/>
    </border>
    <border>
      <left/>
      <right/>
      <top style="hair">
        <color rgb="FF808080"/>
      </top>
      <bottom style="hair">
        <color rgb="FF808080"/>
      </bottom>
      <diagonal/>
    </border>
    <border>
      <left style="hair">
        <color rgb="FF808080"/>
      </left>
      <right/>
      <top/>
      <bottom style="hair">
        <color rgb="FF808080"/>
      </bottom>
      <diagonal/>
    </border>
    <border>
      <left/>
      <right style="hair">
        <color rgb="FF808080"/>
      </right>
      <top style="hair">
        <color rgb="FF808080"/>
      </top>
      <bottom style="hair">
        <color rgb="FF808080"/>
      </bottom>
      <diagonal/>
    </border>
    <border>
      <left/>
      <right style="hair">
        <color rgb="FF808080"/>
      </right>
      <top/>
      <bottom style="hair">
        <color rgb="FF808080"/>
      </bottom>
      <diagonal/>
    </border>
    <border>
      <left style="hair">
        <color theme="1" tint="0.499984740745262"/>
      </left>
      <right/>
      <top/>
      <bottom style="hair">
        <color indexed="64"/>
      </bottom>
      <diagonal/>
    </border>
    <border>
      <left/>
      <right/>
      <top/>
      <bottom style="hair">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top/>
      <bottom style="medium">
        <color rgb="FFFFFFFF"/>
      </bottom>
      <diagonal/>
    </border>
    <border>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s>
  <cellStyleXfs count="4">
    <xf numFmtId="0" fontId="0" fillId="0" borderId="0"/>
    <xf numFmtId="176" fontId="1" fillId="0" borderId="0">
      <alignment vertical="center"/>
    </xf>
    <xf numFmtId="9" fontId="1" fillId="0" borderId="0">
      <alignment vertical="center"/>
    </xf>
    <xf numFmtId="0" fontId="18" fillId="0" borderId="0"/>
  </cellStyleXfs>
  <cellXfs count="353">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vertical="center"/>
    </xf>
    <xf numFmtId="0" fontId="4" fillId="2" borderId="0" xfId="0" applyFont="1" applyFill="1" applyAlignment="1">
      <alignment vertical="center"/>
    </xf>
    <xf numFmtId="0" fontId="4" fillId="2" borderId="0" xfId="0" applyFont="1" applyFill="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7" fillId="3"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77" fontId="2" fillId="0" borderId="1" xfId="1" applyNumberFormat="1" applyFont="1" applyBorder="1" applyAlignment="1">
      <alignment horizontal="center" vertical="center"/>
    </xf>
    <xf numFmtId="177" fontId="2" fillId="0" borderId="0" xfId="0" applyNumberFormat="1" applyFont="1" applyAlignment="1">
      <alignment horizontal="center" vertical="center"/>
    </xf>
    <xf numFmtId="2" fontId="2" fillId="8"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8" fontId="2" fillId="9" borderId="1" xfId="2" applyNumberFormat="1" applyFont="1" applyFill="1" applyBorder="1" applyAlignment="1">
      <alignment horizontal="center" vertical="center"/>
    </xf>
    <xf numFmtId="177" fontId="2" fillId="9" borderId="1" xfId="1" applyNumberFormat="1" applyFont="1" applyFill="1" applyBorder="1" applyAlignment="1">
      <alignment horizontal="center" vertical="center"/>
    </xf>
    <xf numFmtId="177" fontId="2" fillId="9" borderId="1" xfId="0" applyNumberFormat="1" applyFont="1" applyFill="1" applyBorder="1" applyAlignment="1">
      <alignment horizontal="center" vertical="center"/>
    </xf>
    <xf numFmtId="0" fontId="2" fillId="0" borderId="0" xfId="0" applyFont="1" applyAlignment="1">
      <alignment horizontal="center" vertical="center"/>
    </xf>
    <xf numFmtId="38" fontId="2" fillId="0" borderId="1" xfId="0" applyNumberFormat="1" applyFont="1" applyBorder="1" applyAlignment="1">
      <alignment horizontal="center" vertical="center"/>
    </xf>
    <xf numFmtId="1" fontId="2" fillId="7" borderId="1" xfId="0" applyNumberFormat="1" applyFont="1" applyFill="1" applyBorder="1" applyAlignment="1">
      <alignment horizontal="center" vertical="center"/>
    </xf>
    <xf numFmtId="10" fontId="2" fillId="0" borderId="1" xfId="2" applyNumberFormat="1" applyFont="1" applyBorder="1" applyAlignment="1">
      <alignment horizontal="center" vertical="center"/>
    </xf>
    <xf numFmtId="10" fontId="2" fillId="9" borderId="1" xfId="2" applyNumberFormat="1" applyFont="1" applyFill="1" applyBorder="1" applyAlignment="1">
      <alignment horizontal="center" vertical="center"/>
    </xf>
    <xf numFmtId="1" fontId="2" fillId="7" borderId="8"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0" borderId="1" xfId="0" applyFont="1" applyBorder="1" applyAlignment="1">
      <alignment horizontal="center" vertical="center"/>
    </xf>
    <xf numFmtId="0" fontId="9" fillId="0" borderId="0" xfId="0" applyFont="1" applyAlignment="1">
      <alignment vertical="center"/>
    </xf>
    <xf numFmtId="0" fontId="2" fillId="0" borderId="1" xfId="0" applyFont="1" applyBorder="1" applyAlignment="1">
      <alignment horizontal="left" vertical="center"/>
    </xf>
    <xf numFmtId="2" fontId="7" fillId="5" borderId="1" xfId="0" applyNumberFormat="1" applyFont="1" applyFill="1" applyBorder="1" applyAlignment="1">
      <alignment horizontal="center" vertical="center"/>
    </xf>
    <xf numFmtId="2" fontId="2" fillId="0" borderId="1" xfId="0" applyNumberFormat="1" applyFont="1" applyBorder="1" applyAlignment="1">
      <alignment horizontal="center" vertical="center"/>
    </xf>
    <xf numFmtId="2" fontId="2" fillId="0" borderId="0" xfId="0" applyNumberFormat="1" applyFont="1" applyAlignment="1">
      <alignment horizontal="center" vertical="center"/>
    </xf>
    <xf numFmtId="9" fontId="2" fillId="9" borderId="1" xfId="2" applyFont="1" applyFill="1" applyBorder="1" applyAlignment="1">
      <alignment horizontal="center" vertical="center"/>
    </xf>
    <xf numFmtId="177" fontId="2" fillId="7" borderId="1" xfId="0" applyNumberFormat="1" applyFont="1" applyFill="1" applyBorder="1" applyAlignment="1">
      <alignment horizontal="center" vertical="center"/>
    </xf>
    <xf numFmtId="9" fontId="2" fillId="7" borderId="1" xfId="2" applyFont="1" applyFill="1" applyBorder="1" applyAlignment="1">
      <alignment horizontal="center" vertical="center"/>
    </xf>
    <xf numFmtId="179" fontId="2" fillId="7" borderId="1" xfId="0" applyNumberFormat="1" applyFont="1" applyFill="1" applyBorder="1" applyAlignment="1">
      <alignment horizontal="center" vertical="center"/>
    </xf>
    <xf numFmtId="9" fontId="2" fillId="0" borderId="1" xfId="2" applyFont="1" applyBorder="1" applyAlignment="1">
      <alignment horizontal="center" vertical="center"/>
    </xf>
    <xf numFmtId="178" fontId="2" fillId="0" borderId="1" xfId="2" applyNumberFormat="1" applyFont="1" applyBorder="1" applyAlignment="1">
      <alignment horizontal="center" vertical="center"/>
    </xf>
    <xf numFmtId="177" fontId="2" fillId="0" borderId="0" xfId="0" applyNumberFormat="1" applyFont="1" applyAlignment="1">
      <alignment vertical="center"/>
    </xf>
    <xf numFmtId="1" fontId="2" fillId="5" borderId="8" xfId="0" applyNumberFormat="1" applyFont="1" applyFill="1" applyBorder="1" applyAlignment="1">
      <alignment horizontal="center" vertical="center"/>
    </xf>
    <xf numFmtId="0" fontId="6" fillId="10" borderId="0" xfId="0" applyFont="1" applyFill="1" applyAlignment="1">
      <alignment vertical="center"/>
    </xf>
    <xf numFmtId="178" fontId="2" fillId="0" borderId="1" xfId="2" applyNumberFormat="1" applyFont="1" applyBorder="1">
      <alignment vertical="center"/>
    </xf>
    <xf numFmtId="0" fontId="3" fillId="11" borderId="0" xfId="0" applyFont="1" applyFill="1" applyAlignment="1">
      <alignment vertical="center"/>
    </xf>
    <xf numFmtId="0" fontId="3" fillId="11" borderId="0" xfId="0" applyFont="1" applyFill="1" applyAlignment="1">
      <alignment horizontal="center" vertical="center"/>
    </xf>
    <xf numFmtId="9" fontId="2" fillId="0" borderId="0" xfId="2" applyFont="1">
      <alignment vertical="center"/>
    </xf>
    <xf numFmtId="3" fontId="7" fillId="5" borderId="1" xfId="0" applyNumberFormat="1" applyFont="1" applyFill="1" applyBorder="1" applyAlignment="1">
      <alignment horizontal="center" vertical="center"/>
    </xf>
    <xf numFmtId="9" fontId="2" fillId="0" borderId="12" xfId="2" applyFont="1" applyBorder="1" applyAlignment="1">
      <alignment horizontal="center" vertical="center"/>
    </xf>
    <xf numFmtId="9" fontId="2" fillId="9" borderId="12" xfId="2" applyFont="1" applyFill="1" applyBorder="1" applyAlignment="1">
      <alignment horizontal="center" vertical="center"/>
    </xf>
    <xf numFmtId="0" fontId="3" fillId="2" borderId="0" xfId="0" applyFont="1" applyFill="1" applyAlignment="1">
      <alignment vertical="center"/>
    </xf>
    <xf numFmtId="0" fontId="3" fillId="2" borderId="0" xfId="0" applyFont="1" applyFill="1" applyAlignment="1">
      <alignment horizontal="center" vertical="center"/>
    </xf>
    <xf numFmtId="0" fontId="7" fillId="6" borderId="12" xfId="0" applyFont="1" applyFill="1" applyBorder="1" applyAlignment="1">
      <alignment horizontal="center" vertical="center"/>
    </xf>
    <xf numFmtId="177" fontId="2" fillId="12" borderId="1" xfId="0" applyNumberFormat="1" applyFont="1" applyFill="1" applyBorder="1" applyAlignment="1">
      <alignment horizontal="center" vertical="center"/>
    </xf>
    <xf numFmtId="2" fontId="2" fillId="0" borderId="12" xfId="0" applyNumberFormat="1" applyFont="1" applyBorder="1" applyAlignment="1">
      <alignment horizontal="center" vertical="center"/>
    </xf>
    <xf numFmtId="177" fontId="2" fillId="0" borderId="12" xfId="0" applyNumberFormat="1" applyFont="1" applyBorder="1" applyAlignment="1">
      <alignment horizontal="center" vertical="center"/>
    </xf>
    <xf numFmtId="178" fontId="2" fillId="12" borderId="1" xfId="2" applyNumberFormat="1" applyFont="1" applyFill="1" applyBorder="1" applyAlignment="1">
      <alignment horizontal="center" vertical="center"/>
    </xf>
    <xf numFmtId="9" fontId="2" fillId="0" borderId="8" xfId="2" applyFont="1" applyBorder="1" applyAlignment="1">
      <alignment horizontal="center" vertical="center"/>
    </xf>
    <xf numFmtId="0" fontId="7" fillId="5" borderId="1" xfId="0" applyFont="1" applyFill="1" applyBorder="1" applyAlignment="1">
      <alignment horizontal="center" vertical="center" wrapText="1"/>
    </xf>
    <xf numFmtId="178" fontId="10" fillId="0" borderId="1" xfId="2" applyNumberFormat="1" applyFont="1" applyBorder="1" applyAlignment="1">
      <alignment horizontal="center" vertical="center" wrapText="1"/>
    </xf>
    <xf numFmtId="178" fontId="10" fillId="0" borderId="1" xfId="2" applyNumberFormat="1" applyFont="1" applyBorder="1" applyAlignment="1">
      <alignment horizontal="center" vertical="center"/>
    </xf>
    <xf numFmtId="178" fontId="2" fillId="0" borderId="1" xfId="2" applyNumberFormat="1" applyFont="1" applyBorder="1" applyAlignment="1">
      <alignment horizontal="center" vertical="center" wrapText="1"/>
    </xf>
    <xf numFmtId="0" fontId="2" fillId="0" borderId="0" xfId="0" applyFont="1"/>
    <xf numFmtId="2" fontId="7" fillId="5" borderId="2" xfId="0" applyNumberFormat="1" applyFont="1" applyFill="1" applyBorder="1" applyAlignment="1">
      <alignment horizontal="center" vertical="center"/>
    </xf>
    <xf numFmtId="2" fontId="7" fillId="5" borderId="20" xfId="0" applyNumberFormat="1" applyFont="1" applyFill="1" applyBorder="1" applyAlignment="1">
      <alignment horizontal="center" vertical="center"/>
    </xf>
    <xf numFmtId="2" fontId="2" fillId="0" borderId="17" xfId="0" applyNumberFormat="1" applyFont="1" applyBorder="1" applyAlignment="1">
      <alignment horizontal="center"/>
    </xf>
    <xf numFmtId="177" fontId="2" fillId="0" borderId="17" xfId="0" applyNumberFormat="1" applyFont="1" applyBorder="1" applyAlignment="1">
      <alignment horizontal="center" vertical="center"/>
    </xf>
    <xf numFmtId="3" fontId="2" fillId="0" borderId="17" xfId="0" applyNumberFormat="1" applyFont="1" applyBorder="1" applyAlignment="1">
      <alignment horizontal="center"/>
    </xf>
    <xf numFmtId="3" fontId="10" fillId="0" borderId="17" xfId="0" applyNumberFormat="1" applyFont="1" applyBorder="1" applyAlignment="1">
      <alignment horizontal="center"/>
    </xf>
    <xf numFmtId="2" fontId="2" fillId="12" borderId="1" xfId="0" applyNumberFormat="1" applyFont="1" applyFill="1" applyBorder="1" applyAlignment="1">
      <alignment horizontal="center"/>
    </xf>
    <xf numFmtId="3" fontId="2" fillId="0" borderId="1" xfId="0" applyNumberFormat="1" applyFont="1" applyBorder="1" applyAlignment="1">
      <alignment horizontal="center"/>
    </xf>
    <xf numFmtId="0" fontId="2" fillId="0" borderId="1" xfId="0" applyFont="1" applyBorder="1"/>
    <xf numFmtId="3" fontId="10" fillId="0" borderId="1" xfId="0" applyNumberFormat="1" applyFont="1" applyBorder="1" applyAlignment="1">
      <alignment horizontal="center"/>
    </xf>
    <xf numFmtId="2" fontId="2" fillId="10" borderId="1" xfId="0" applyNumberFormat="1" applyFont="1" applyFill="1" applyBorder="1" applyAlignment="1">
      <alignment horizontal="center"/>
    </xf>
    <xf numFmtId="2" fontId="2" fillId="2" borderId="22" xfId="0" applyNumberFormat="1" applyFont="1" applyFill="1" applyBorder="1" applyAlignment="1">
      <alignment horizontal="center"/>
    </xf>
    <xf numFmtId="177" fontId="2" fillId="0" borderId="22" xfId="0" applyNumberFormat="1" applyFont="1" applyBorder="1" applyAlignment="1">
      <alignment horizontal="center" vertical="center"/>
    </xf>
    <xf numFmtId="0" fontId="2" fillId="0" borderId="22" xfId="0" applyFont="1" applyBorder="1" applyAlignment="1">
      <alignment horizontal="center"/>
    </xf>
    <xf numFmtId="3" fontId="10" fillId="0" borderId="22" xfId="0" applyNumberFormat="1" applyFont="1" applyBorder="1" applyAlignment="1">
      <alignment horizontal="center"/>
    </xf>
    <xf numFmtId="2" fontId="2" fillId="12" borderId="17" xfId="0" applyNumberFormat="1" applyFont="1" applyFill="1" applyBorder="1" applyAlignment="1">
      <alignment horizontal="center"/>
    </xf>
    <xf numFmtId="10" fontId="2" fillId="9" borderId="17" xfId="2" applyNumberFormat="1" applyFont="1" applyFill="1" applyBorder="1" applyAlignment="1">
      <alignment horizontal="center" vertical="center"/>
    </xf>
    <xf numFmtId="178" fontId="2" fillId="9" borderId="22" xfId="2" applyNumberFormat="1" applyFont="1" applyFill="1" applyBorder="1" applyAlignment="1">
      <alignment horizontal="center" vertical="center"/>
    </xf>
    <xf numFmtId="10" fontId="2" fillId="9" borderId="22" xfId="2" applyNumberFormat="1" applyFont="1" applyFill="1" applyBorder="1" applyAlignment="1">
      <alignment horizontal="center" vertical="center"/>
    </xf>
    <xf numFmtId="2" fontId="2" fillId="0" borderId="8" xfId="0" applyNumberFormat="1" applyFont="1" applyBorder="1" applyAlignment="1">
      <alignment horizontal="center"/>
    </xf>
    <xf numFmtId="178" fontId="2" fillId="9" borderId="8" xfId="2" applyNumberFormat="1" applyFont="1" applyFill="1" applyBorder="1" applyAlignment="1">
      <alignment horizontal="center" vertical="center"/>
    </xf>
    <xf numFmtId="2" fontId="7" fillId="5" borderId="25" xfId="0" applyNumberFormat="1" applyFont="1" applyFill="1" applyBorder="1" applyAlignment="1">
      <alignment horizontal="center" vertical="center"/>
    </xf>
    <xf numFmtId="2" fontId="7" fillId="5" borderId="26" xfId="0" applyNumberFormat="1" applyFont="1" applyFill="1" applyBorder="1" applyAlignment="1">
      <alignment horizontal="center" vertical="center"/>
    </xf>
    <xf numFmtId="177" fontId="10" fillId="0" borderId="17" xfId="0" applyNumberFormat="1" applyFont="1" applyBorder="1" applyAlignment="1">
      <alignment horizontal="center" vertical="center"/>
    </xf>
    <xf numFmtId="177" fontId="2" fillId="0" borderId="18" xfId="0" applyNumberFormat="1" applyFont="1" applyBorder="1" applyAlignment="1">
      <alignment horizontal="center" vertical="center"/>
    </xf>
    <xf numFmtId="2" fontId="7" fillId="0" borderId="22" xfId="0" applyNumberFormat="1" applyFont="1" applyBorder="1" applyAlignment="1">
      <alignment horizontal="center"/>
    </xf>
    <xf numFmtId="177" fontId="10" fillId="0" borderId="22" xfId="0" applyNumberFormat="1" applyFont="1" applyBorder="1" applyAlignment="1">
      <alignment horizontal="center" vertical="center"/>
    </xf>
    <xf numFmtId="177" fontId="2" fillId="0" borderId="27" xfId="0" applyNumberFormat="1" applyFont="1" applyBorder="1" applyAlignment="1">
      <alignment horizontal="center" vertical="center"/>
    </xf>
    <xf numFmtId="2" fontId="2" fillId="7" borderId="23" xfId="0" applyNumberFormat="1" applyFont="1" applyFill="1" applyBorder="1" applyAlignment="1">
      <alignment horizontal="center" vertical="center"/>
    </xf>
    <xf numFmtId="180" fontId="2" fillId="9" borderId="8" xfId="2" applyNumberFormat="1" applyFont="1" applyFill="1" applyBorder="1" applyAlignment="1">
      <alignment horizontal="center" vertical="center"/>
    </xf>
    <xf numFmtId="180" fontId="2" fillId="9" borderId="28" xfId="2" applyNumberFormat="1" applyFont="1" applyFill="1" applyBorder="1" applyAlignment="1">
      <alignment horizontal="center" vertical="center"/>
    </xf>
    <xf numFmtId="2" fontId="2" fillId="7" borderId="21" xfId="0" applyNumberFormat="1" applyFont="1" applyFill="1" applyBorder="1" applyAlignment="1">
      <alignment horizontal="center" vertical="center"/>
    </xf>
    <xf numFmtId="178" fontId="2" fillId="9" borderId="27" xfId="2" applyNumberFormat="1" applyFont="1" applyFill="1" applyBorder="1" applyAlignment="1">
      <alignment horizontal="center" vertical="center"/>
    </xf>
    <xf numFmtId="2" fontId="7" fillId="5" borderId="3" xfId="0" applyNumberFormat="1" applyFont="1" applyFill="1" applyBorder="1" applyAlignment="1">
      <alignment horizontal="center" vertical="center"/>
    </xf>
    <xf numFmtId="2" fontId="7" fillId="5" borderId="29" xfId="0" applyNumberFormat="1" applyFont="1" applyFill="1" applyBorder="1" applyAlignment="1">
      <alignment horizontal="center" vertical="center"/>
    </xf>
    <xf numFmtId="2" fontId="2" fillId="2" borderId="17" xfId="0" applyNumberFormat="1" applyFont="1" applyFill="1" applyBorder="1" applyAlignment="1">
      <alignment horizontal="center" vertical="center"/>
    </xf>
    <xf numFmtId="177" fontId="2" fillId="0" borderId="30" xfId="0" applyNumberFormat="1" applyFont="1" applyBorder="1" applyAlignment="1">
      <alignment horizontal="center" vertical="center"/>
    </xf>
    <xf numFmtId="2" fontId="2" fillId="2" borderId="1" xfId="0" applyNumberFormat="1" applyFont="1" applyFill="1" applyBorder="1" applyAlignment="1">
      <alignment horizontal="center" vertical="center"/>
    </xf>
    <xf numFmtId="177" fontId="2" fillId="0" borderId="5" xfId="0" applyNumberFormat="1" applyFont="1" applyBorder="1" applyAlignment="1">
      <alignment horizontal="center" vertical="center"/>
    </xf>
    <xf numFmtId="177" fontId="10" fillId="0" borderId="1" xfId="0" applyNumberFormat="1" applyFont="1" applyBorder="1" applyAlignment="1">
      <alignment horizontal="center" vertical="center"/>
    </xf>
    <xf numFmtId="2" fontId="2" fillId="10" borderId="22" xfId="0" applyNumberFormat="1" applyFont="1" applyFill="1" applyBorder="1" applyAlignment="1">
      <alignment horizontal="center"/>
    </xf>
    <xf numFmtId="177" fontId="2" fillId="0" borderId="33" xfId="0" applyNumberFormat="1" applyFont="1" applyBorder="1" applyAlignment="1">
      <alignment horizontal="center" vertical="center"/>
    </xf>
    <xf numFmtId="2" fontId="2" fillId="2" borderId="8" xfId="0" applyNumberFormat="1" applyFont="1" applyFill="1" applyBorder="1" applyAlignment="1">
      <alignment horizontal="center"/>
    </xf>
    <xf numFmtId="2" fontId="2" fillId="2" borderId="1" xfId="0" applyNumberFormat="1" applyFont="1" applyFill="1" applyBorder="1" applyAlignment="1">
      <alignment horizontal="center"/>
    </xf>
    <xf numFmtId="0" fontId="10" fillId="0" borderId="0" xfId="0" applyFont="1" applyAlignment="1">
      <alignment vertical="center"/>
    </xf>
    <xf numFmtId="0" fontId="2" fillId="0" borderId="0" xfId="0" applyFont="1" applyAlignment="1">
      <alignment horizontal="right" vertical="center"/>
    </xf>
    <xf numFmtId="0" fontId="7" fillId="5" borderId="2" xfId="0" applyFont="1" applyFill="1" applyBorder="1" applyAlignment="1">
      <alignment horizontal="center" vertical="center"/>
    </xf>
    <xf numFmtId="0" fontId="11" fillId="13" borderId="0" xfId="0" applyFont="1" applyFill="1" applyAlignment="1">
      <alignment horizontal="center" vertical="center" wrapText="1" readingOrder="1"/>
    </xf>
    <xf numFmtId="0" fontId="11" fillId="13" borderId="37" xfId="0" applyFont="1" applyFill="1" applyBorder="1" applyAlignment="1">
      <alignment horizontal="center" vertical="center" wrapText="1" readingOrder="1"/>
    </xf>
    <xf numFmtId="178" fontId="2" fillId="0" borderId="4" xfId="2" applyNumberFormat="1" applyFont="1" applyBorder="1" applyAlignment="1">
      <alignment horizontal="center" vertical="center"/>
    </xf>
    <xf numFmtId="38" fontId="10" fillId="0" borderId="0" xfId="0" applyNumberFormat="1" applyFont="1" applyAlignment="1">
      <alignment horizontal="center" vertical="center"/>
    </xf>
    <xf numFmtId="0" fontId="12" fillId="0" borderId="38" xfId="0" applyFont="1" applyBorder="1" applyAlignment="1">
      <alignment horizontal="center" vertical="center" wrapText="1" readingOrder="1"/>
    </xf>
    <xf numFmtId="3" fontId="12" fillId="0" borderId="38" xfId="0" applyNumberFormat="1" applyFont="1" applyBorder="1" applyAlignment="1">
      <alignment horizontal="center" vertical="center" wrapText="1" readingOrder="1"/>
    </xf>
    <xf numFmtId="178" fontId="12" fillId="9" borderId="38" xfId="2" applyNumberFormat="1" applyFont="1" applyFill="1" applyBorder="1" applyAlignment="1">
      <alignment horizontal="center" vertical="center" wrapText="1" readingOrder="1"/>
    </xf>
    <xf numFmtId="0" fontId="12" fillId="9" borderId="38" xfId="0" applyFont="1" applyFill="1" applyBorder="1" applyAlignment="1">
      <alignment horizontal="center" vertical="center" wrapText="1" readingOrder="1"/>
    </xf>
    <xf numFmtId="178" fontId="2" fillId="0" borderId="0" xfId="0" applyNumberFormat="1" applyFont="1" applyAlignment="1">
      <alignment vertical="center"/>
    </xf>
    <xf numFmtId="0" fontId="12" fillId="0" borderId="39" xfId="0" applyFont="1" applyBorder="1" applyAlignment="1">
      <alignment horizontal="center" vertical="center" wrapText="1" readingOrder="1"/>
    </xf>
    <xf numFmtId="3" fontId="12" fillId="0" borderId="39" xfId="0" applyNumberFormat="1" applyFont="1" applyBorder="1" applyAlignment="1">
      <alignment horizontal="center" vertical="center" wrapText="1" readingOrder="1"/>
    </xf>
    <xf numFmtId="178" fontId="12" fillId="9" borderId="39" xfId="2" applyNumberFormat="1" applyFont="1" applyFill="1" applyBorder="1" applyAlignment="1">
      <alignment horizontal="center" vertical="center" wrapText="1" readingOrder="1"/>
    </xf>
    <xf numFmtId="10" fontId="2" fillId="0" borderId="4" xfId="2" applyNumberFormat="1" applyFont="1" applyBorder="1" applyAlignment="1">
      <alignment horizontal="center" vertical="center"/>
    </xf>
    <xf numFmtId="0" fontId="12" fillId="0" borderId="40" xfId="0" applyFont="1" applyBorder="1" applyAlignment="1">
      <alignment horizontal="center" vertical="center" wrapText="1" readingOrder="1"/>
    </xf>
    <xf numFmtId="178" fontId="12" fillId="9" borderId="40" xfId="2" applyNumberFormat="1" applyFont="1" applyFill="1" applyBorder="1" applyAlignment="1">
      <alignment horizontal="center" vertical="center" wrapText="1" readingOrder="1"/>
    </xf>
    <xf numFmtId="38" fontId="10" fillId="0" borderId="0" xfId="2" applyNumberFormat="1" applyFont="1" applyAlignment="1">
      <alignment horizontal="center" vertical="center"/>
    </xf>
    <xf numFmtId="0" fontId="12" fillId="0" borderId="42" xfId="0" applyFont="1" applyBorder="1" applyAlignment="1">
      <alignment horizontal="center" vertical="center" wrapText="1" readingOrder="1"/>
    </xf>
    <xf numFmtId="3" fontId="12" fillId="0" borderId="42" xfId="0" applyNumberFormat="1" applyFont="1" applyBorder="1" applyAlignment="1">
      <alignment horizontal="center" vertical="center" wrapText="1" readingOrder="1"/>
    </xf>
    <xf numFmtId="178" fontId="12" fillId="9" borderId="42" xfId="2" applyNumberFormat="1" applyFont="1" applyFill="1" applyBorder="1" applyAlignment="1">
      <alignment horizontal="center" vertical="center" wrapText="1" readingOrder="1"/>
    </xf>
    <xf numFmtId="10" fontId="10" fillId="0" borderId="0" xfId="2" applyNumberFormat="1" applyFont="1">
      <alignment vertical="center"/>
    </xf>
    <xf numFmtId="10" fontId="2" fillId="0" borderId="0" xfId="2" applyNumberFormat="1" applyFont="1">
      <alignment vertical="center"/>
    </xf>
    <xf numFmtId="178" fontId="2" fillId="0" borderId="0" xfId="2" applyNumberFormat="1" applyFont="1" applyAlignment="1">
      <alignment horizontal="center" vertical="center"/>
    </xf>
    <xf numFmtId="178" fontId="10" fillId="0" borderId="0" xfId="2" applyNumberFormat="1" applyFont="1" applyAlignment="1">
      <alignment horizontal="center" vertical="center"/>
    </xf>
    <xf numFmtId="181" fontId="2" fillId="0" borderId="4" xfId="2" applyNumberFormat="1" applyFont="1" applyBorder="1" applyAlignment="1">
      <alignment horizontal="center" vertical="center"/>
    </xf>
    <xf numFmtId="181" fontId="10" fillId="0" borderId="4" xfId="2" applyNumberFormat="1" applyFont="1" applyBorder="1" applyAlignment="1">
      <alignment horizontal="center" vertical="center"/>
    </xf>
    <xf numFmtId="0" fontId="7" fillId="5" borderId="12" xfId="0" applyFont="1" applyFill="1" applyBorder="1" applyAlignment="1">
      <alignment horizontal="center" vertical="center"/>
    </xf>
    <xf numFmtId="2" fontId="2" fillId="7" borderId="12" xfId="0" applyNumberFormat="1" applyFont="1" applyFill="1" applyBorder="1" applyAlignment="1">
      <alignment horizontal="center" vertical="center"/>
    </xf>
    <xf numFmtId="178" fontId="2" fillId="0" borderId="12" xfId="2" applyNumberFormat="1" applyFont="1" applyBorder="1">
      <alignment vertical="center"/>
    </xf>
    <xf numFmtId="0" fontId="2" fillId="0" borderId="43" xfId="0" applyFont="1" applyBorder="1" applyAlignment="1">
      <alignment vertical="center"/>
    </xf>
    <xf numFmtId="177" fontId="2" fillId="0" borderId="13" xfId="0" applyNumberFormat="1" applyFont="1" applyBorder="1" applyAlignment="1">
      <alignment horizontal="center" vertical="center"/>
    </xf>
    <xf numFmtId="2" fontId="2" fillId="7" borderId="44" xfId="0" applyNumberFormat="1" applyFont="1" applyFill="1" applyBorder="1" applyAlignment="1">
      <alignment horizontal="center" vertical="center"/>
    </xf>
    <xf numFmtId="0" fontId="2" fillId="0" borderId="45" xfId="0" applyFont="1" applyBorder="1" applyAlignment="1">
      <alignment vertical="center"/>
    </xf>
    <xf numFmtId="177" fontId="2" fillId="0" borderId="1" xfId="0" applyNumberFormat="1" applyFont="1" applyBorder="1" applyAlignment="1">
      <alignment horizontal="left" vertical="center"/>
    </xf>
    <xf numFmtId="1" fontId="2" fillId="8" borderId="1" xfId="0" applyNumberFormat="1" applyFont="1" applyFill="1" applyBorder="1" applyAlignment="1">
      <alignment horizontal="center" vertical="center"/>
    </xf>
    <xf numFmtId="177" fontId="2" fillId="0" borderId="1" xfId="0" applyNumberFormat="1" applyFont="1" applyBorder="1" applyAlignment="1">
      <alignment horizontal="left" vertical="center" wrapText="1"/>
    </xf>
    <xf numFmtId="0" fontId="13" fillId="0" borderId="0" xfId="0" applyFont="1" applyAlignment="1">
      <alignment vertical="center"/>
    </xf>
    <xf numFmtId="177" fontId="2" fillId="0" borderId="0" xfId="2" applyNumberFormat="1" applyFont="1">
      <alignment vertical="center"/>
    </xf>
    <xf numFmtId="9" fontId="2" fillId="0" borderId="0" xfId="0" applyNumberFormat="1" applyFont="1" applyAlignment="1">
      <alignment horizontal="center" vertical="center"/>
    </xf>
    <xf numFmtId="0" fontId="7" fillId="0" borderId="0" xfId="0" applyFont="1" applyAlignment="1">
      <alignment vertical="center"/>
    </xf>
    <xf numFmtId="177" fontId="2" fillId="0" borderId="8" xfId="0" applyNumberFormat="1" applyFont="1" applyBorder="1" applyAlignment="1">
      <alignment horizontal="center" vertical="center"/>
    </xf>
    <xf numFmtId="10" fontId="2" fillId="0" borderId="8" xfId="2" applyNumberFormat="1" applyFont="1" applyBorder="1" applyAlignment="1">
      <alignment horizontal="center" vertical="center"/>
    </xf>
    <xf numFmtId="177" fontId="2" fillId="9" borderId="8" xfId="0" applyNumberFormat="1" applyFont="1" applyFill="1" applyBorder="1" applyAlignment="1">
      <alignment horizontal="center" vertical="center"/>
    </xf>
    <xf numFmtId="178" fontId="7" fillId="5" borderId="12" xfId="0" applyNumberFormat="1" applyFont="1" applyFill="1" applyBorder="1" applyAlignment="1">
      <alignment horizontal="center" vertical="center"/>
    </xf>
    <xf numFmtId="9" fontId="2" fillId="0" borderId="0" xfId="2" applyFont="1" applyAlignment="1">
      <alignment horizontal="center" vertical="center"/>
    </xf>
    <xf numFmtId="177" fontId="2" fillId="0" borderId="0" xfId="2" applyNumberFormat="1" applyFont="1" applyAlignment="1">
      <alignment horizontal="center" vertical="center"/>
    </xf>
    <xf numFmtId="10" fontId="2" fillId="0" borderId="0" xfId="2" applyNumberFormat="1" applyFont="1" applyAlignment="1">
      <alignment horizontal="center" vertical="center"/>
    </xf>
    <xf numFmtId="0" fontId="3" fillId="2" borderId="0" xfId="0" applyFont="1" applyFill="1" applyAlignment="1">
      <alignment horizontal="left" vertical="center"/>
    </xf>
    <xf numFmtId="2" fontId="7" fillId="5" borderId="4" xfId="0" applyNumberFormat="1" applyFont="1" applyFill="1" applyBorder="1" applyAlignment="1">
      <alignment horizontal="center" vertical="center"/>
    </xf>
    <xf numFmtId="2" fontId="7" fillId="5" borderId="5" xfId="0" applyNumberFormat="1" applyFont="1" applyFill="1" applyBorder="1" applyAlignment="1">
      <alignment horizontal="center" vertical="center"/>
    </xf>
    <xf numFmtId="177" fontId="2" fillId="0" borderId="4" xfId="0" applyNumberFormat="1" applyFont="1" applyBorder="1" applyAlignment="1">
      <alignment horizontal="center" vertical="center"/>
    </xf>
    <xf numFmtId="0" fontId="2" fillId="0" borderId="0" xfId="0" applyFont="1" applyAlignment="1">
      <alignment vertical="center" wrapText="1"/>
    </xf>
    <xf numFmtId="2" fontId="14" fillId="7" borderId="1" xfId="0" applyNumberFormat="1" applyFont="1" applyFill="1" applyBorder="1" applyAlignment="1">
      <alignment horizontal="center" vertical="center"/>
    </xf>
    <xf numFmtId="177" fontId="14" fillId="9" borderId="1" xfId="0" applyNumberFormat="1" applyFont="1" applyFill="1" applyBorder="1" applyAlignment="1">
      <alignment horizontal="center" vertical="center"/>
    </xf>
    <xf numFmtId="2" fontId="15" fillId="7" borderId="1" xfId="0" applyNumberFormat="1" applyFont="1" applyFill="1" applyBorder="1" applyAlignment="1">
      <alignment horizontal="center" vertical="center"/>
    </xf>
    <xf numFmtId="178" fontId="15" fillId="9" borderId="1" xfId="2" applyNumberFormat="1" applyFont="1" applyFill="1" applyBorder="1" applyAlignment="1">
      <alignment horizontal="center" vertical="center"/>
    </xf>
    <xf numFmtId="0" fontId="15" fillId="0" borderId="0" xfId="0" applyFont="1" applyAlignment="1">
      <alignment vertical="center"/>
    </xf>
    <xf numFmtId="9" fontId="14" fillId="9" borderId="1" xfId="2" applyFont="1" applyFill="1" applyBorder="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vertical="center"/>
    </xf>
    <xf numFmtId="0" fontId="6" fillId="2" borderId="0" xfId="0" applyFont="1" applyFill="1" applyAlignment="1">
      <alignment vertical="center"/>
    </xf>
    <xf numFmtId="178" fontId="2" fillId="7" borderId="1" xfId="2" applyNumberFormat="1" applyFont="1" applyFill="1" applyBorder="1" applyAlignment="1">
      <alignment horizontal="center" vertical="center"/>
    </xf>
    <xf numFmtId="177" fontId="2" fillId="14" borderId="1" xfId="0" applyNumberFormat="1" applyFont="1" applyFill="1" applyBorder="1" applyAlignment="1">
      <alignment horizontal="center" vertical="center"/>
    </xf>
    <xf numFmtId="2" fontId="2" fillId="7" borderId="0" xfId="0" applyNumberFormat="1" applyFont="1" applyFill="1" applyAlignment="1">
      <alignment horizontal="center" vertical="center"/>
    </xf>
    <xf numFmtId="178" fontId="16" fillId="0" borderId="0" xfId="2" applyNumberFormat="1" applyFont="1" applyAlignment="1">
      <alignment horizontal="left" vertical="center"/>
    </xf>
    <xf numFmtId="177" fontId="2" fillId="10" borderId="1" xfId="0" applyNumberFormat="1" applyFont="1" applyFill="1" applyBorder="1" applyAlignment="1">
      <alignment horizontal="center" vertical="center"/>
    </xf>
    <xf numFmtId="178" fontId="2" fillId="10" borderId="1" xfId="2" applyNumberFormat="1" applyFont="1" applyFill="1" applyBorder="1" applyAlignment="1">
      <alignment horizontal="center" vertical="center"/>
    </xf>
    <xf numFmtId="0" fontId="2" fillId="0" borderId="1" xfId="2" applyNumberFormat="1" applyFont="1" applyBorder="1" applyAlignment="1">
      <alignment horizontal="center" vertical="center"/>
    </xf>
    <xf numFmtId="0" fontId="2" fillId="0" borderId="0" xfId="0" applyFont="1" applyAlignment="1">
      <alignment horizontal="right"/>
    </xf>
    <xf numFmtId="1" fontId="2" fillId="7" borderId="1" xfId="0" applyNumberFormat="1" applyFont="1" applyFill="1" applyBorder="1" applyAlignment="1">
      <alignment horizontal="left" vertical="center"/>
    </xf>
    <xf numFmtId="177" fontId="10" fillId="0" borderId="0" xfId="0" applyNumberFormat="1" applyFont="1" applyAlignment="1">
      <alignment horizontal="center" vertical="center"/>
    </xf>
    <xf numFmtId="0" fontId="12" fillId="0" borderId="47" xfId="0" applyFont="1" applyBorder="1" applyAlignment="1">
      <alignment horizontal="center" vertical="center" wrapText="1" readingOrder="1"/>
    </xf>
    <xf numFmtId="178" fontId="12" fillId="0" borderId="38" xfId="2" applyNumberFormat="1" applyFont="1" applyBorder="1" applyAlignment="1">
      <alignment horizontal="center" vertical="center" wrapText="1" readingOrder="1"/>
    </xf>
    <xf numFmtId="0" fontId="12" fillId="0" borderId="39" xfId="0" applyFont="1" applyBorder="1" applyAlignment="1">
      <alignment horizontal="center" wrapText="1" readingOrder="1"/>
    </xf>
    <xf numFmtId="0" fontId="12" fillId="0" borderId="48" xfId="0" applyFont="1" applyBorder="1" applyAlignment="1">
      <alignment horizontal="center" wrapText="1" readingOrder="1"/>
    </xf>
    <xf numFmtId="178" fontId="2" fillId="0" borderId="0" xfId="0" applyNumberFormat="1" applyFont="1"/>
    <xf numFmtId="177" fontId="10" fillId="0" borderId="0" xfId="0" applyNumberFormat="1" applyFont="1" applyAlignment="1">
      <alignment horizontal="center"/>
    </xf>
    <xf numFmtId="2" fontId="2" fillId="0" borderId="1" xfId="0" applyNumberFormat="1" applyFont="1" applyBorder="1" applyAlignment="1">
      <alignment horizontal="center"/>
    </xf>
    <xf numFmtId="0" fontId="7" fillId="0" borderId="0" xfId="0" applyFont="1" applyAlignment="1">
      <alignment horizontal="left"/>
    </xf>
    <xf numFmtId="3" fontId="2" fillId="0" borderId="0" xfId="0" applyNumberFormat="1" applyFont="1" applyAlignment="1">
      <alignment horizontal="center" vertical="center"/>
    </xf>
    <xf numFmtId="10" fontId="2" fillId="0" borderId="0" xfId="0" applyNumberFormat="1" applyFont="1" applyAlignment="1">
      <alignment horizontal="center" vertical="center"/>
    </xf>
    <xf numFmtId="177" fontId="2" fillId="0" borderId="1" xfId="0" applyNumberFormat="1" applyFont="1" applyBorder="1" applyAlignment="1">
      <alignment horizontal="center" vertical="center" wrapText="1"/>
    </xf>
    <xf numFmtId="10" fontId="2" fillId="0" borderId="0" xfId="0" applyNumberFormat="1" applyFont="1" applyAlignment="1">
      <alignment vertical="center"/>
    </xf>
    <xf numFmtId="178" fontId="2" fillId="0" borderId="0" xfId="2" applyNumberFormat="1" applyFont="1">
      <alignment vertical="center"/>
    </xf>
    <xf numFmtId="178" fontId="2" fillId="8" borderId="1" xfId="2" applyNumberFormat="1" applyFont="1" applyFill="1" applyBorder="1" applyAlignment="1">
      <alignment horizontal="center" vertical="center"/>
    </xf>
    <xf numFmtId="177" fontId="2" fillId="8" borderId="1" xfId="0"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0" fontId="18" fillId="0" borderId="0" xfId="3"/>
    <xf numFmtId="9" fontId="2" fillId="15" borderId="1" xfId="2" applyFont="1" applyFill="1" applyBorder="1" applyAlignment="1">
      <alignment horizontal="center" vertical="center"/>
    </xf>
    <xf numFmtId="49" fontId="2" fillId="0" borderId="1" xfId="2" applyNumberFormat="1" applyFont="1" applyBorder="1" applyAlignment="1">
      <alignment horizontal="center" vertical="center"/>
    </xf>
    <xf numFmtId="10" fontId="2" fillId="15" borderId="1" xfId="2"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49" fontId="2" fillId="5" borderId="1" xfId="0" applyNumberFormat="1" applyFont="1" applyFill="1" applyBorder="1" applyAlignment="1">
      <alignment horizontal="center" vertical="center"/>
    </xf>
    <xf numFmtId="49" fontId="2" fillId="0" borderId="0" xfId="0" applyNumberFormat="1" applyFont="1" applyAlignment="1">
      <alignment vertical="center"/>
    </xf>
    <xf numFmtId="49" fontId="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vertical="center"/>
    </xf>
    <xf numFmtId="3" fontId="3" fillId="0" borderId="0" xfId="0" applyNumberFormat="1" applyFont="1" applyAlignment="1">
      <alignment horizontal="center" vertical="center"/>
    </xf>
    <xf numFmtId="0" fontId="7" fillId="6" borderId="1" xfId="0" quotePrefix="1" applyFont="1" applyFill="1" applyBorder="1" applyAlignment="1">
      <alignment horizontal="center" vertical="center"/>
    </xf>
    <xf numFmtId="2" fontId="2" fillId="7" borderId="45" xfId="0" applyNumberFormat="1" applyFont="1" applyFill="1" applyBorder="1" applyAlignment="1">
      <alignment horizontal="center" vertical="center"/>
    </xf>
    <xf numFmtId="177" fontId="2" fillId="0" borderId="45" xfId="0" applyNumberFormat="1" applyFont="1" applyBorder="1" applyAlignment="1">
      <alignment horizontal="center" vertical="center"/>
    </xf>
    <xf numFmtId="2" fontId="2" fillId="7" borderId="45" xfId="0" quotePrefix="1" applyNumberFormat="1" applyFont="1" applyFill="1" applyBorder="1" applyAlignment="1">
      <alignment horizontal="center" vertical="center"/>
    </xf>
    <xf numFmtId="0" fontId="19" fillId="0" borderId="0" xfId="0" applyFont="1" applyAlignment="1">
      <alignment vertical="center"/>
    </xf>
    <xf numFmtId="10" fontId="2" fillId="0" borderId="0" xfId="0" applyNumberFormat="1" applyFont="1" applyAlignment="1">
      <alignment horizontal="center"/>
    </xf>
    <xf numFmtId="9" fontId="1" fillId="0" borderId="0" xfId="2" applyAlignment="1">
      <alignment horizontal="center" vertical="center"/>
    </xf>
    <xf numFmtId="0" fontId="2" fillId="0" borderId="0" xfId="0" applyFont="1" applyAlignment="1">
      <alignment horizontal="center"/>
    </xf>
    <xf numFmtId="2" fontId="2" fillId="0" borderId="0" xfId="0" applyNumberFormat="1" applyFont="1" applyAlignment="1">
      <alignment horizontal="center"/>
    </xf>
    <xf numFmtId="0" fontId="19" fillId="0" borderId="0" xfId="0" applyFont="1" applyAlignment="1">
      <alignment horizontal="center" vertical="center"/>
    </xf>
    <xf numFmtId="3" fontId="2" fillId="0" borderId="0" xfId="0" applyNumberFormat="1" applyFont="1" applyAlignment="1">
      <alignment horizontal="center"/>
    </xf>
    <xf numFmtId="180" fontId="2" fillId="0" borderId="0" xfId="0" applyNumberFormat="1" applyFont="1" applyAlignment="1">
      <alignment horizontal="center"/>
    </xf>
    <xf numFmtId="0" fontId="20" fillId="16" borderId="57" xfId="0" applyFont="1" applyFill="1" applyBorder="1" applyAlignment="1">
      <alignment horizontal="center" vertical="center"/>
    </xf>
    <xf numFmtId="181" fontId="3" fillId="17" borderId="58" xfId="0" applyNumberFormat="1" applyFont="1" applyFill="1" applyBorder="1" applyAlignment="1">
      <alignment horizontal="center" vertical="center"/>
    </xf>
    <xf numFmtId="181" fontId="12" fillId="17" borderId="59" xfId="0" applyNumberFormat="1" applyFont="1" applyFill="1" applyBorder="1" applyAlignment="1">
      <alignment horizontal="center" vertical="center"/>
    </xf>
    <xf numFmtId="0" fontId="0" fillId="0" borderId="0" xfId="0" applyAlignment="1">
      <alignment horizontal="center"/>
    </xf>
    <xf numFmtId="9" fontId="2" fillId="0" borderId="0" xfId="0" applyNumberFormat="1" applyFont="1"/>
    <xf numFmtId="9" fontId="2" fillId="0" borderId="0" xfId="0" applyNumberFormat="1" applyFont="1" applyAlignment="1">
      <alignment vertical="center"/>
    </xf>
    <xf numFmtId="9" fontId="1" fillId="0" borderId="0" xfId="2">
      <alignment vertical="center"/>
    </xf>
    <xf numFmtId="9" fontId="2" fillId="0" borderId="4" xfId="2" applyFont="1" applyBorder="1" applyAlignment="1">
      <alignment horizontal="center" vertical="center"/>
    </xf>
    <xf numFmtId="0" fontId="20" fillId="16" borderId="60" xfId="0" applyFont="1" applyFill="1" applyBorder="1" applyAlignment="1">
      <alignment horizontal="center" vertical="center"/>
    </xf>
    <xf numFmtId="1" fontId="12" fillId="18" borderId="56" xfId="0" applyNumberFormat="1" applyFont="1" applyFill="1" applyBorder="1" applyAlignment="1">
      <alignment horizontal="center" vertical="center"/>
    </xf>
    <xf numFmtId="177" fontId="12" fillId="0" borderId="61" xfId="0" applyNumberFormat="1" applyFont="1" applyBorder="1" applyAlignment="1">
      <alignment horizontal="center" vertical="center"/>
    </xf>
    <xf numFmtId="0" fontId="20" fillId="16" borderId="12" xfId="0" applyFont="1" applyFill="1" applyBorder="1" applyAlignment="1">
      <alignment horizontal="center" vertical="center"/>
    </xf>
    <xf numFmtId="0" fontId="20" fillId="16" borderId="15" xfId="0" applyFont="1" applyFill="1" applyBorder="1" applyAlignment="1">
      <alignment horizontal="center" vertical="center"/>
    </xf>
    <xf numFmtId="1" fontId="3" fillId="18" borderId="57" xfId="0" applyNumberFormat="1" applyFont="1" applyFill="1" applyBorder="1" applyAlignment="1">
      <alignment horizontal="center" vertical="center"/>
    </xf>
    <xf numFmtId="1" fontId="3" fillId="18" borderId="56" xfId="0" applyNumberFormat="1" applyFont="1" applyFill="1" applyBorder="1" applyAlignment="1">
      <alignment horizontal="center" vertical="center"/>
    </xf>
    <xf numFmtId="0" fontId="3" fillId="19" borderId="64" xfId="0" applyFont="1" applyFill="1" applyBorder="1" applyAlignment="1">
      <alignment horizontal="center" vertical="center" wrapText="1" readingOrder="1"/>
    </xf>
    <xf numFmtId="0" fontId="3" fillId="19" borderId="67" xfId="0" applyFont="1" applyFill="1" applyBorder="1" applyAlignment="1">
      <alignment horizontal="center" vertical="center" wrapText="1" readingOrder="1"/>
    </xf>
    <xf numFmtId="0" fontId="3" fillId="19" borderId="68" xfId="0" applyFont="1" applyFill="1" applyBorder="1" applyAlignment="1">
      <alignment horizontal="center" vertical="center" wrapText="1" readingOrder="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49" fontId="0" fillId="0" borderId="0" xfId="0" applyNumberFormat="1"/>
    <xf numFmtId="1" fontId="2" fillId="7" borderId="1" xfId="0" applyNumberFormat="1" applyFont="1" applyFill="1" applyBorder="1" applyAlignment="1">
      <alignment horizontal="center" vertical="center"/>
    </xf>
    <xf numFmtId="2" fontId="2" fillId="7"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5"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 fontId="2" fillId="7" borderId="1"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0" fontId="2" fillId="0" borderId="0" xfId="0" applyFont="1" applyAlignment="1">
      <alignment horizontal="center" vertical="center"/>
    </xf>
    <xf numFmtId="0" fontId="2" fillId="0" borderId="0" xfId="0" applyFont="1"/>
    <xf numFmtId="0" fontId="0" fillId="14" borderId="0" xfId="0" applyFill="1"/>
    <xf numFmtId="9" fontId="2" fillId="20" borderId="1" xfId="2" applyFont="1" applyFill="1" applyBorder="1" applyAlignment="1">
      <alignment horizontal="center" vertical="center"/>
    </xf>
    <xf numFmtId="177" fontId="2" fillId="20" borderId="1" xfId="0" applyNumberFormat="1" applyFont="1" applyFill="1" applyBorder="1" applyAlignment="1">
      <alignment horizontal="center" vertical="center"/>
    </xf>
    <xf numFmtId="1" fontId="12" fillId="21" borderId="56" xfId="0" applyNumberFormat="1" applyFont="1" applyFill="1" applyBorder="1" applyAlignment="1">
      <alignment horizontal="center" vertical="center"/>
    </xf>
    <xf numFmtId="2" fontId="2" fillId="20"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vertical="center"/>
    </xf>
    <xf numFmtId="9" fontId="2" fillId="20" borderId="0" xfId="0" applyNumberFormat="1" applyFont="1" applyFill="1" applyAlignment="1">
      <alignment horizontal="center" vertical="center"/>
    </xf>
    <xf numFmtId="9" fontId="3" fillId="20" borderId="0" xfId="0" applyNumberFormat="1" applyFont="1" applyFill="1" applyAlignment="1">
      <alignment horizontal="center" vertical="center"/>
    </xf>
    <xf numFmtId="177" fontId="0" fillId="0" borderId="0" xfId="0" applyNumberFormat="1" applyAlignment="1">
      <alignment vertical="center"/>
    </xf>
    <xf numFmtId="0" fontId="0" fillId="0" borderId="0" xfId="0" applyNumberFormat="1"/>
    <xf numFmtId="181" fontId="0" fillId="14" borderId="0" xfId="0" applyNumberFormat="1" applyFill="1"/>
    <xf numFmtId="9" fontId="1" fillId="14" borderId="0" xfId="2" applyFill="1">
      <alignment vertical="center"/>
    </xf>
    <xf numFmtId="0" fontId="26" fillId="0" borderId="0" xfId="0" applyFont="1"/>
    <xf numFmtId="0" fontId="0" fillId="0" borderId="0" xfId="0" applyAlignment="1">
      <alignment vertical="center"/>
    </xf>
    <xf numFmtId="0" fontId="3" fillId="0" borderId="0" xfId="0" applyFont="1" applyAlignment="1">
      <alignment vertical="center"/>
    </xf>
    <xf numFmtId="0" fontId="2" fillId="0" borderId="0" xfId="0" applyFont="1" applyAlignment="1">
      <alignment vertical="center"/>
    </xf>
    <xf numFmtId="0" fontId="5" fillId="2" borderId="0" xfId="0" applyFont="1" applyFill="1" applyAlignment="1">
      <alignment horizontal="left" vertical="center"/>
    </xf>
    <xf numFmtId="0" fontId="4" fillId="2" borderId="0" xfId="0" applyFont="1" applyFill="1" applyAlignment="1">
      <alignment vertical="center"/>
    </xf>
    <xf numFmtId="0" fontId="7" fillId="3" borderId="1" xfId="0" applyFont="1" applyFill="1" applyBorder="1" applyAlignment="1">
      <alignment horizontal="center" vertical="center"/>
    </xf>
    <xf numFmtId="0" fontId="0" fillId="0" borderId="9" xfId="0" applyBorder="1"/>
    <xf numFmtId="0" fontId="0" fillId="0" borderId="5" xfId="0" applyBorder="1"/>
    <xf numFmtId="0" fontId="8" fillId="4" borderId="1" xfId="0" applyFont="1" applyFill="1" applyBorder="1" applyAlignment="1">
      <alignment horizontal="center" vertical="center"/>
    </xf>
    <xf numFmtId="0" fontId="7" fillId="5"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2" fontId="2" fillId="7" borderId="6" xfId="0" applyNumberFormat="1" applyFont="1" applyFill="1" applyBorder="1" applyAlignment="1">
      <alignment horizontal="center" vertical="center"/>
    </xf>
    <xf numFmtId="0" fontId="0" fillId="0" borderId="7" xfId="0" applyBorder="1"/>
    <xf numFmtId="2" fontId="2" fillId="7" borderId="2" xfId="0" applyNumberFormat="1" applyFont="1" applyFill="1" applyBorder="1" applyAlignment="1">
      <alignment horizontal="center" vertical="center"/>
    </xf>
    <xf numFmtId="0" fontId="0" fillId="0" borderId="3" xfId="0" applyBorder="1"/>
    <xf numFmtId="0" fontId="2" fillId="5" borderId="1" xfId="0" applyFont="1" applyFill="1" applyBorder="1" applyAlignment="1">
      <alignment horizontal="center" vertical="center"/>
    </xf>
    <xf numFmtId="0" fontId="0" fillId="0" borderId="8" xfId="0" applyBorder="1"/>
    <xf numFmtId="2" fontId="2" fillId="8" borderId="1" xfId="0" applyNumberFormat="1" applyFont="1" applyFill="1" applyBorder="1" applyAlignment="1">
      <alignment horizontal="center" vertical="center"/>
    </xf>
    <xf numFmtId="0" fontId="2" fillId="5" borderId="1" xfId="0" applyFont="1" applyFill="1" applyBorder="1" applyAlignment="1">
      <alignment vertical="center"/>
    </xf>
    <xf numFmtId="0" fontId="7" fillId="10" borderId="1" xfId="0" applyFont="1" applyFill="1" applyBorder="1" applyAlignment="1">
      <alignment horizontal="center" vertical="center"/>
    </xf>
    <xf numFmtId="1" fontId="2" fillId="7" borderId="1" xfId="0" applyNumberFormat="1" applyFont="1" applyFill="1" applyBorder="1" applyAlignment="1">
      <alignment horizontal="center" vertical="center"/>
    </xf>
    <xf numFmtId="1" fontId="2" fillId="7" borderId="49" xfId="0" applyNumberFormat="1" applyFont="1" applyFill="1" applyBorder="1" applyAlignment="1">
      <alignment horizontal="center" vertical="center"/>
    </xf>
    <xf numFmtId="0" fontId="6" fillId="2" borderId="0" xfId="0" applyFont="1" applyFill="1" applyAlignment="1">
      <alignment horizontal="left" vertical="center"/>
    </xf>
    <xf numFmtId="0" fontId="3" fillId="2" borderId="0" xfId="0" applyFont="1" applyFill="1" applyAlignment="1">
      <alignment vertical="center"/>
    </xf>
    <xf numFmtId="1" fontId="2" fillId="7" borderId="46" xfId="0" applyNumberFormat="1" applyFont="1" applyFill="1" applyBorder="1" applyAlignment="1">
      <alignment horizontal="center" vertical="center"/>
    </xf>
    <xf numFmtId="0" fontId="7" fillId="0" borderId="0" xfId="0" applyFont="1" applyAlignment="1">
      <alignment vertical="center"/>
    </xf>
    <xf numFmtId="1" fontId="2" fillId="7" borderId="2" xfId="0" applyNumberFormat="1" applyFont="1" applyFill="1" applyBorder="1" applyAlignment="1">
      <alignment horizontal="center" vertical="center"/>
    </xf>
    <xf numFmtId="1" fontId="2" fillId="7" borderId="6" xfId="0" applyNumberFormat="1" applyFont="1" applyFill="1" applyBorder="1" applyAlignment="1">
      <alignment horizontal="center" vertical="center"/>
    </xf>
    <xf numFmtId="1" fontId="2" fillId="7" borderId="7" xfId="0" applyNumberFormat="1" applyFont="1" applyFill="1" applyBorder="1" applyAlignment="1">
      <alignment horizontal="center" vertical="center"/>
    </xf>
    <xf numFmtId="0" fontId="6" fillId="11" borderId="0" xfId="0" applyFont="1" applyFill="1" applyAlignment="1">
      <alignment horizontal="left" vertical="center"/>
    </xf>
    <xf numFmtId="0" fontId="3" fillId="11" borderId="0" xfId="0" applyFont="1" applyFill="1" applyAlignment="1">
      <alignment vertical="center"/>
    </xf>
    <xf numFmtId="1" fontId="2" fillId="7" borderId="54" xfId="0" applyNumberFormat="1" applyFont="1" applyFill="1" applyBorder="1" applyAlignment="1">
      <alignment horizontal="center" vertical="center"/>
    </xf>
    <xf numFmtId="0" fontId="7" fillId="4" borderId="1" xfId="0" applyFont="1" applyFill="1" applyBorder="1" applyAlignment="1">
      <alignment horizontal="center" vertical="center"/>
    </xf>
    <xf numFmtId="0" fontId="7" fillId="3" borderId="10" xfId="0" applyFont="1" applyFill="1" applyBorder="1" applyAlignment="1">
      <alignment horizontal="center" vertical="center"/>
    </xf>
    <xf numFmtId="0" fontId="0" fillId="0" borderId="11" xfId="0" applyBorder="1"/>
    <xf numFmtId="0" fontId="7" fillId="3" borderId="12" xfId="0" applyFont="1" applyFill="1" applyBorder="1" applyAlignment="1">
      <alignment horizontal="center" vertical="center"/>
    </xf>
    <xf numFmtId="0" fontId="0" fillId="0" borderId="14" xfId="0" applyBorder="1"/>
    <xf numFmtId="0" fontId="0" fillId="0" borderId="15" xfId="0" applyBorder="1"/>
    <xf numFmtId="0" fontId="0" fillId="0" borderId="0" xfId="0" applyAlignment="1">
      <alignment vertical="center"/>
    </xf>
    <xf numFmtId="0" fontId="11" fillId="13" borderId="36" xfId="0" applyFont="1" applyFill="1" applyBorder="1" applyAlignment="1">
      <alignment horizontal="center" vertical="center" wrapText="1" readingOrder="1"/>
    </xf>
    <xf numFmtId="0" fontId="3" fillId="0" borderId="41" xfId="0" applyFont="1" applyBorder="1" applyAlignment="1">
      <alignment horizontal="center" vertical="center" wrapText="1" readingOrder="1"/>
    </xf>
    <xf numFmtId="0" fontId="0" fillId="0" borderId="36" xfId="0" applyBorder="1"/>
    <xf numFmtId="0" fontId="0" fillId="0" borderId="41" xfId="0" applyBorder="1"/>
    <xf numFmtId="2" fontId="2" fillId="7" borderId="52" xfId="0" applyNumberFormat="1" applyFont="1" applyFill="1" applyBorder="1" applyAlignment="1">
      <alignment horizontal="center" vertical="center"/>
    </xf>
    <xf numFmtId="0" fontId="0" fillId="0" borderId="31" xfId="0" applyBorder="1"/>
    <xf numFmtId="0" fontId="0" fillId="0" borderId="32" xfId="0" applyBorder="1"/>
    <xf numFmtId="2" fontId="2" fillId="7" borderId="32" xfId="0" applyNumberFormat="1" applyFont="1" applyFill="1" applyBorder="1" applyAlignment="1">
      <alignment horizontal="center" vertical="center"/>
    </xf>
    <xf numFmtId="0" fontId="6" fillId="13" borderId="53" xfId="0" applyFont="1" applyFill="1" applyBorder="1" applyAlignment="1">
      <alignment horizontal="center" vertical="center" wrapText="1" readingOrder="1"/>
    </xf>
    <xf numFmtId="0" fontId="0" fillId="0" borderId="34" xfId="0" applyBorder="1"/>
    <xf numFmtId="0" fontId="0" fillId="0" borderId="35" xfId="0" applyBorder="1"/>
    <xf numFmtId="0" fontId="2" fillId="0" borderId="0" xfId="0" applyFont="1" applyAlignment="1">
      <alignment horizontal="center" vertical="center"/>
    </xf>
    <xf numFmtId="0" fontId="7" fillId="5" borderId="19" xfId="0" applyFont="1" applyFill="1" applyBorder="1" applyAlignment="1">
      <alignment horizontal="center" vertical="center"/>
    </xf>
    <xf numFmtId="0" fontId="0" fillId="0" borderId="6" xfId="0" applyBorder="1"/>
    <xf numFmtId="0" fontId="2" fillId="0" borderId="0" xfId="0" applyFont="1" applyAlignment="1">
      <alignment horizontal="center"/>
    </xf>
    <xf numFmtId="0" fontId="2" fillId="0" borderId="0" xfId="0" applyFont="1"/>
    <xf numFmtId="0" fontId="7" fillId="4" borderId="12" xfId="0" applyFont="1" applyFill="1" applyBorder="1" applyAlignment="1">
      <alignment horizontal="center" vertical="center"/>
    </xf>
    <xf numFmtId="0" fontId="2" fillId="0" borderId="3" xfId="0" applyFont="1" applyBorder="1" applyAlignment="1">
      <alignment horizontal="center" vertical="center"/>
    </xf>
    <xf numFmtId="0" fontId="2" fillId="0" borderId="7" xfId="0" applyFont="1" applyBorder="1" applyAlignment="1">
      <alignment horizontal="center" vertical="center"/>
    </xf>
    <xf numFmtId="0" fontId="7" fillId="3" borderId="62" xfId="0" applyFont="1" applyFill="1" applyBorder="1" applyAlignment="1">
      <alignment horizontal="center" vertical="center"/>
    </xf>
    <xf numFmtId="0" fontId="7" fillId="3" borderId="63" xfId="0" applyFont="1" applyFill="1" applyBorder="1" applyAlignment="1">
      <alignment horizontal="center" vertical="center"/>
    </xf>
    <xf numFmtId="0" fontId="6" fillId="19" borderId="66" xfId="0" applyFont="1" applyFill="1" applyBorder="1" applyAlignment="1">
      <alignment horizontal="center" vertical="center" wrapText="1" readingOrder="1"/>
    </xf>
    <xf numFmtId="2" fontId="2" fillId="7" borderId="16" xfId="0" applyNumberFormat="1" applyFont="1" applyFill="1" applyBorder="1" applyAlignment="1">
      <alignment horizontal="center" vertical="center"/>
    </xf>
    <xf numFmtId="0" fontId="0" fillId="0" borderId="23" xfId="0" applyBorder="1"/>
    <xf numFmtId="2" fontId="2" fillId="7" borderId="23" xfId="0" applyNumberFormat="1" applyFont="1" applyFill="1" applyBorder="1" applyAlignment="1">
      <alignment horizontal="center" vertical="center"/>
    </xf>
    <xf numFmtId="0" fontId="7" fillId="5" borderId="24" xfId="0" applyFont="1" applyFill="1" applyBorder="1" applyAlignment="1">
      <alignment horizontal="center" vertical="center"/>
    </xf>
    <xf numFmtId="0" fontId="0" fillId="0" borderId="50" xfId="0" applyBorder="1"/>
    <xf numFmtId="0" fontId="7" fillId="5" borderId="31" xfId="0" applyFont="1" applyFill="1" applyBorder="1" applyAlignment="1">
      <alignment horizontal="center" vertical="center"/>
    </xf>
    <xf numFmtId="0" fontId="7" fillId="3" borderId="16" xfId="0" applyFont="1" applyFill="1" applyBorder="1" applyAlignment="1">
      <alignment horizontal="center" vertical="center"/>
    </xf>
    <xf numFmtId="0" fontId="0" fillId="0" borderId="51" xfId="0" applyBorder="1"/>
    <xf numFmtId="0" fontId="0" fillId="0" borderId="30" xfId="0" applyBorder="1"/>
    <xf numFmtId="1" fontId="2" fillId="5" borderId="1" xfId="0" applyNumberFormat="1" applyFont="1" applyFill="1" applyBorder="1" applyAlignment="1">
      <alignment horizontal="center" vertical="center"/>
    </xf>
    <xf numFmtId="0" fontId="7" fillId="4" borderId="10" xfId="0" applyFont="1" applyFill="1" applyBorder="1" applyAlignment="1">
      <alignment horizontal="center" vertical="center"/>
    </xf>
    <xf numFmtId="0" fontId="7" fillId="3" borderId="46" xfId="0" applyFont="1" applyFill="1" applyBorder="1" applyAlignment="1">
      <alignment horizontal="center" vertical="center"/>
    </xf>
    <xf numFmtId="178" fontId="2" fillId="0" borderId="46" xfId="2" applyNumberFormat="1" applyFont="1" applyBorder="1" applyAlignment="1">
      <alignment horizontal="center" vertical="center"/>
    </xf>
    <xf numFmtId="0" fontId="17" fillId="13" borderId="55" xfId="0" applyFont="1" applyFill="1" applyBorder="1" applyAlignment="1">
      <alignment horizontal="center" vertical="center" wrapText="1" readingOrder="1"/>
    </xf>
    <xf numFmtId="0" fontId="0" fillId="0" borderId="39" xfId="0" applyBorder="1"/>
    <xf numFmtId="0" fontId="0" fillId="0" borderId="48" xfId="0" applyBorder="1"/>
    <xf numFmtId="0" fontId="7" fillId="5" borderId="46" xfId="0" applyFont="1" applyFill="1" applyBorder="1" applyAlignment="1">
      <alignment horizontal="center" vertical="center" wrapText="1"/>
    </xf>
    <xf numFmtId="0" fontId="2" fillId="7" borderId="1" xfId="0" applyFont="1" applyFill="1" applyBorder="1" applyAlignment="1">
      <alignment horizontal="center" vertical="center"/>
    </xf>
    <xf numFmtId="0" fontId="6" fillId="19" borderId="69" xfId="0" applyFont="1" applyFill="1" applyBorder="1" applyAlignment="1">
      <alignment horizontal="center" vertical="center" wrapText="1" readingOrder="1"/>
    </xf>
    <xf numFmtId="0" fontId="6" fillId="19" borderId="65" xfId="0" applyFont="1" applyFill="1" applyBorder="1" applyAlignment="1">
      <alignment horizontal="center" vertical="center" wrapText="1" readingOrder="1"/>
    </xf>
    <xf numFmtId="1" fontId="2" fillId="5" borderId="8" xfId="0" applyNumberFormat="1" applyFont="1" applyFill="1" applyBorder="1" applyAlignment="1">
      <alignment horizontal="center" vertical="center"/>
    </xf>
    <xf numFmtId="0" fontId="2" fillId="14" borderId="0" xfId="0" applyFont="1" applyFill="1" applyAlignment="1">
      <alignment vertical="center"/>
    </xf>
    <xf numFmtId="0" fontId="3" fillId="14" borderId="0" xfId="0" applyFont="1" applyFill="1" applyAlignment="1">
      <alignment vertical="center"/>
    </xf>
    <xf numFmtId="0" fontId="0" fillId="14" borderId="0" xfId="0" applyFill="1" applyAlignment="1">
      <alignment vertical="center"/>
    </xf>
    <xf numFmtId="9" fontId="0" fillId="14" borderId="0" xfId="2" applyFont="1" applyFill="1">
      <alignment vertical="center"/>
    </xf>
  </cellXfs>
  <cellStyles count="4">
    <cellStyle name="百分比" xfId="2" builtinId="5"/>
    <cellStyle name="常规" xfId="0" builtinId="0"/>
    <cellStyle name="超链接" xfId="3" builtinId="8"/>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s://detail.tmall.com/item.htm?id=556116251859" TargetMode="External"/><Relationship Id="rId13" Type="http://schemas.openxmlformats.org/officeDocument/2006/relationships/hyperlink" Target="https://detail.tmall.com/item.htm?id=626699987711" TargetMode="External"/><Relationship Id="rId18" Type="http://schemas.openxmlformats.org/officeDocument/2006/relationships/hyperlink" Target="https://detail.tmall.com/item.htm?id=593031023346" TargetMode="External"/><Relationship Id="rId3" Type="http://schemas.openxmlformats.org/officeDocument/2006/relationships/hyperlink" Target="https://detail.tmall.com/item.htm?id=557605571048" TargetMode="External"/><Relationship Id="rId7" Type="http://schemas.openxmlformats.org/officeDocument/2006/relationships/hyperlink" Target="https://detail.tmall.com/item.htm?id=542275757538" TargetMode="External"/><Relationship Id="rId12" Type="http://schemas.openxmlformats.org/officeDocument/2006/relationships/hyperlink" Target="https://detail.tmall.com/item.htm?id=656448358491" TargetMode="External"/><Relationship Id="rId17" Type="http://schemas.openxmlformats.org/officeDocument/2006/relationships/hyperlink" Target="https://detail.tmall.com/item.htm?id=557605571048" TargetMode="External"/><Relationship Id="rId2" Type="http://schemas.openxmlformats.org/officeDocument/2006/relationships/hyperlink" Target="https://detail.tmall.com/item.htm?id=592646653099" TargetMode="External"/><Relationship Id="rId16" Type="http://schemas.openxmlformats.org/officeDocument/2006/relationships/hyperlink" Target="https://detail.tmall.com/item.htm?id=575424169613" TargetMode="External"/><Relationship Id="rId1" Type="http://schemas.openxmlformats.org/officeDocument/2006/relationships/hyperlink" Target="https://detail.tmall.com/item.htm?id=586640163633" TargetMode="External"/><Relationship Id="rId6" Type="http://schemas.openxmlformats.org/officeDocument/2006/relationships/hyperlink" Target="https://detail.tmall.com/item.htm?id=708829480183" TargetMode="External"/><Relationship Id="rId11" Type="http://schemas.openxmlformats.org/officeDocument/2006/relationships/hyperlink" Target="https://detail.tmall.com/item.htm?id=593031023346" TargetMode="External"/><Relationship Id="rId5" Type="http://schemas.openxmlformats.org/officeDocument/2006/relationships/hyperlink" Target="https://detail.tmall.com/item.htm?id=680691185131" TargetMode="External"/><Relationship Id="rId15" Type="http://schemas.openxmlformats.org/officeDocument/2006/relationships/hyperlink" Target="https://detail.tmall.com/item.htm?id=536992032080" TargetMode="External"/><Relationship Id="rId10" Type="http://schemas.openxmlformats.org/officeDocument/2006/relationships/hyperlink" Target="https://detail.tmall.com/item.htm?id=575326464777" TargetMode="External"/><Relationship Id="rId4" Type="http://schemas.openxmlformats.org/officeDocument/2006/relationships/hyperlink" Target="https://detail.tmall.com/item.htm?id=617305356986" TargetMode="External"/><Relationship Id="rId9" Type="http://schemas.openxmlformats.org/officeDocument/2006/relationships/hyperlink" Target="https://detail.tmall.com/item.htm?id=537692468761" TargetMode="External"/><Relationship Id="rId14" Type="http://schemas.openxmlformats.org/officeDocument/2006/relationships/hyperlink" Target="https://detail.tmall.com/item.htm?id=63208341466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1"/>
  <sheetViews>
    <sheetView showZeros="0" topLeftCell="N1" zoomScale="70" zoomScaleNormal="70" workbookViewId="0">
      <selection activeCell="V16" sqref="V16:X18"/>
    </sheetView>
  </sheetViews>
  <sheetFormatPr defaultColWidth="8.81640625" defaultRowHeight="16.5" x14ac:dyDescent="0.25"/>
  <cols>
    <col min="1" max="1" width="5.453125" style="1" customWidth="1"/>
    <col min="2" max="2" width="20.81640625" style="1" bestFit="1" customWidth="1"/>
    <col min="3" max="3" width="27.81640625" style="1" bestFit="1" customWidth="1"/>
    <col min="4" max="4" width="18.6328125" style="1" bestFit="1" customWidth="1"/>
    <col min="5" max="6" width="20.81640625" style="20" customWidth="1"/>
    <col min="7" max="16" width="20.81640625" style="1" customWidth="1"/>
    <col min="17" max="17" width="20.81640625" style="1" bestFit="1" customWidth="1"/>
    <col min="18" max="18" width="6.1796875" style="4" bestFit="1" customWidth="1"/>
    <col min="19" max="19" width="12.453125" style="4" bestFit="1" customWidth="1"/>
    <col min="20" max="31" width="13" style="4" bestFit="1" customWidth="1"/>
    <col min="32" max="32" width="14.36328125" style="4" bestFit="1" customWidth="1"/>
    <col min="33" max="35" width="8.81640625" style="4" customWidth="1"/>
    <col min="36" max="16384" width="8.81640625" style="4"/>
  </cols>
  <sheetData>
    <row r="1" spans="1:32" x14ac:dyDescent="0.25">
      <c r="D1" s="349" t="s">
        <v>12396</v>
      </c>
    </row>
    <row r="2" spans="1:32" x14ac:dyDescent="0.25">
      <c r="B2" s="268" t="s">
        <v>0</v>
      </c>
      <c r="C2" s="269"/>
      <c r="D2" s="350" t="s">
        <v>12395</v>
      </c>
      <c r="E2" s="3"/>
      <c r="F2" s="3"/>
    </row>
    <row r="3" spans="1:32" s="5" customFormat="1" ht="22.75" customHeight="1" x14ac:dyDescent="0.25">
      <c r="B3" s="270" t="s">
        <v>1</v>
      </c>
      <c r="C3" s="271"/>
      <c r="D3" s="271"/>
      <c r="E3" s="271"/>
      <c r="F3" s="271"/>
      <c r="N3" s="6"/>
      <c r="O3" s="6"/>
      <c r="P3" s="6"/>
    </row>
    <row r="4" spans="1:32" ht="16.25" customHeight="1" x14ac:dyDescent="0.25">
      <c r="A4" s="2"/>
      <c r="B4" s="2"/>
      <c r="C4" s="2"/>
      <c r="D4" s="7"/>
      <c r="E4" s="8"/>
      <c r="F4" s="8"/>
      <c r="G4" s="2"/>
      <c r="H4" s="2"/>
      <c r="I4" s="2"/>
      <c r="J4" s="2"/>
      <c r="K4" s="2"/>
      <c r="L4" s="3"/>
      <c r="M4" s="3"/>
      <c r="N4" s="3"/>
      <c r="O4" s="2"/>
      <c r="P4" s="2"/>
      <c r="Q4" s="2"/>
    </row>
    <row r="5" spans="1:32" ht="17.5" customHeight="1" x14ac:dyDescent="0.25">
      <c r="B5" s="272" t="s">
        <v>2</v>
      </c>
      <c r="C5" s="273"/>
      <c r="D5" s="273"/>
      <c r="E5" s="273"/>
      <c r="F5" s="273"/>
      <c r="G5" s="273"/>
      <c r="H5" s="273"/>
      <c r="I5" s="273"/>
      <c r="J5" s="273"/>
      <c r="K5" s="273"/>
      <c r="L5" s="273"/>
      <c r="M5" s="273"/>
      <c r="N5" s="273"/>
      <c r="O5" s="273"/>
      <c r="P5" s="274"/>
      <c r="R5" s="1"/>
      <c r="S5" s="275" t="s">
        <v>3</v>
      </c>
      <c r="T5" s="273"/>
      <c r="U5" s="273"/>
      <c r="V5" s="273"/>
      <c r="W5" s="273"/>
      <c r="X5" s="273"/>
      <c r="Y5" s="273"/>
      <c r="Z5" s="273"/>
      <c r="AA5" s="273"/>
      <c r="AB5" s="273"/>
      <c r="AC5" s="273"/>
      <c r="AD5" s="273"/>
      <c r="AE5" s="274"/>
    </row>
    <row r="6" spans="1:32" ht="16.25" customHeight="1" x14ac:dyDescent="0.25">
      <c r="B6" s="10"/>
      <c r="C6" s="276"/>
      <c r="D6" s="274"/>
      <c r="E6" s="10" t="s">
        <v>4</v>
      </c>
      <c r="F6" s="10" t="s">
        <v>5</v>
      </c>
      <c r="G6" s="10" t="s">
        <v>6</v>
      </c>
      <c r="H6" s="10" t="s">
        <v>7</v>
      </c>
      <c r="I6" s="10" t="s">
        <v>8</v>
      </c>
      <c r="J6" s="10" t="s">
        <v>9</v>
      </c>
      <c r="K6" s="10" t="s">
        <v>10</v>
      </c>
      <c r="L6" s="10" t="s">
        <v>11</v>
      </c>
      <c r="M6" s="10" t="s">
        <v>12</v>
      </c>
      <c r="N6" s="10" t="s">
        <v>13</v>
      </c>
      <c r="O6" s="10" t="s">
        <v>14</v>
      </c>
      <c r="P6" s="10" t="s">
        <v>15</v>
      </c>
      <c r="R6" s="1"/>
      <c r="S6" s="11"/>
      <c r="T6" s="11" t="s">
        <v>4</v>
      </c>
      <c r="U6" s="11" t="s">
        <v>5</v>
      </c>
      <c r="V6" s="11" t="s">
        <v>6</v>
      </c>
      <c r="W6" s="11" t="s">
        <v>7</v>
      </c>
      <c r="X6" s="11" t="s">
        <v>8</v>
      </c>
      <c r="Y6" s="11" t="s">
        <v>9</v>
      </c>
      <c r="Z6" s="11" t="s">
        <v>10</v>
      </c>
      <c r="AA6" s="11" t="s">
        <v>11</v>
      </c>
      <c r="AB6" s="11" t="s">
        <v>12</v>
      </c>
      <c r="AC6" s="11" t="s">
        <v>13</v>
      </c>
      <c r="AD6" s="11" t="s">
        <v>14</v>
      </c>
      <c r="AE6" s="11" t="s">
        <v>15</v>
      </c>
    </row>
    <row r="7" spans="1:32" x14ac:dyDescent="0.25">
      <c r="B7" s="280" t="s">
        <v>16</v>
      </c>
      <c r="C7" s="277" t="s">
        <v>17</v>
      </c>
      <c r="D7" s="274"/>
      <c r="E7" s="13">
        <f>IFERROR(dat_nespresso_shop_overview!B14,"")</f>
        <v>10629155.08</v>
      </c>
      <c r="F7" s="13">
        <f>IFERROR(dat_nespresso_shop_overview!B15,"")</f>
        <v>12367055</v>
      </c>
      <c r="G7" s="13">
        <f>IFERROR(dat_nespresso_shop_overview!B16,"")</f>
        <v>23570192.329999998</v>
      </c>
      <c r="H7" s="13">
        <f>IFERROR(dat_nespresso_shop_overview!B17,"")</f>
        <v>13841431.68</v>
      </c>
      <c r="I7" s="13">
        <f>IFERROR(dat_nespresso_shop_overview!B18,"")</f>
        <v>29604204.23</v>
      </c>
      <c r="J7" s="13">
        <f>IFERROR(dat_nespresso_shop_overview!B19,"")</f>
        <v>38046115.509999998</v>
      </c>
      <c r="K7" s="13">
        <f>IFERROR(dat_nespresso_shop_overview!B20,"")</f>
        <v>8531404</v>
      </c>
      <c r="L7" s="13">
        <f>IFERROR(dat_nespresso_shop_overview!B21,"")</f>
        <v>12813475.789999999</v>
      </c>
      <c r="M7" s="13">
        <f>IFERROR(dat_nespresso_shop_overview!B22,"")</f>
        <v>13236818.35</v>
      </c>
      <c r="N7" s="13">
        <f>IFERROR(dat_nespresso_shop_overview!B23,"")</f>
        <v>37161081.159999967</v>
      </c>
      <c r="O7" s="13">
        <f>IFERROR(dat_nespresso_shop_overview!B24,"")</f>
        <v>41084430.579999991</v>
      </c>
      <c r="P7" s="13">
        <f>IFERROR(dat_nespresso_shop_overview!B25,"")</f>
        <v>11164886.529999999</v>
      </c>
      <c r="Q7" s="14">
        <f>SUM(E7:L7)</f>
        <v>149403033.61999997</v>
      </c>
      <c r="R7" s="1"/>
      <c r="S7" s="15" t="s">
        <v>17</v>
      </c>
      <c r="T7" s="16">
        <v>19156690</v>
      </c>
      <c r="U7" s="16">
        <v>14315199</v>
      </c>
      <c r="V7" s="16">
        <v>29234295</v>
      </c>
      <c r="W7" s="16">
        <v>13354562</v>
      </c>
      <c r="X7" s="16">
        <v>40814386</v>
      </c>
      <c r="Y7" s="16">
        <v>48839011</v>
      </c>
      <c r="Z7" s="16">
        <v>11773407</v>
      </c>
      <c r="AA7" s="16">
        <v>14435361</v>
      </c>
      <c r="AB7" s="16">
        <v>23922402</v>
      </c>
      <c r="AC7" s="16">
        <v>52970527</v>
      </c>
      <c r="AD7" s="16">
        <v>54832596</v>
      </c>
      <c r="AE7" s="16">
        <v>23738614</v>
      </c>
      <c r="AF7" s="14">
        <f>SUM(T7:AA7)</f>
        <v>191922911</v>
      </c>
    </row>
    <row r="8" spans="1:32" x14ac:dyDescent="0.25">
      <c r="B8" s="281"/>
      <c r="C8" s="277" t="s">
        <v>18</v>
      </c>
      <c r="D8" s="274"/>
      <c r="E8" s="13">
        <f>IFERROR(dat_nespresso_shop_overview!C14,"")</f>
        <v>17487</v>
      </c>
      <c r="F8" s="13">
        <f>IFERROR(dat_nespresso_shop_overview!C15,"")</f>
        <v>21518</v>
      </c>
      <c r="G8" s="13">
        <f>IFERROR(dat_nespresso_shop_overview!C16,"")</f>
        <v>40063</v>
      </c>
      <c r="H8" s="13">
        <f>IFERROR(dat_nespresso_shop_overview!C17,"")</f>
        <v>24075</v>
      </c>
      <c r="I8" s="13">
        <f>IFERROR(dat_nespresso_shop_overview!C18,"")</f>
        <v>55073</v>
      </c>
      <c r="J8" s="13">
        <f>IFERROR(dat_nespresso_shop_overview!C19,"")</f>
        <v>60816</v>
      </c>
      <c r="K8" s="13">
        <f>IFERROR(dat_nespresso_shop_overview!C20,"")</f>
        <v>17104</v>
      </c>
      <c r="L8" s="13">
        <f>IFERROR(dat_nespresso_shop_overview!C21,"")</f>
        <v>24586</v>
      </c>
      <c r="M8" s="13">
        <f>IFERROR(dat_nespresso_shop_overview!C22,"")</f>
        <v>25603</v>
      </c>
      <c r="N8" s="13">
        <f>IFERROR(dat_nespresso_shop_overview!C23,"")</f>
        <v>61398</v>
      </c>
      <c r="O8" s="13">
        <f>IFERROR(dat_nespresso_shop_overview!C24,"")</f>
        <v>61335</v>
      </c>
      <c r="P8" s="13">
        <f>IFERROR(dat_nespresso_shop_overview!C25,"")</f>
        <v>20865</v>
      </c>
      <c r="Q8" s="14">
        <f>SUM(E8:L8)</f>
        <v>260722</v>
      </c>
      <c r="R8" s="1"/>
      <c r="S8" s="15" t="s">
        <v>18</v>
      </c>
      <c r="T8" s="16">
        <v>32444</v>
      </c>
      <c r="U8" s="16">
        <v>27422</v>
      </c>
      <c r="V8" s="16">
        <v>55306</v>
      </c>
      <c r="W8" s="16">
        <v>27136</v>
      </c>
      <c r="X8" s="16">
        <v>68228</v>
      </c>
      <c r="Y8" s="16">
        <v>70584</v>
      </c>
      <c r="Z8" s="16">
        <v>23512</v>
      </c>
      <c r="AA8" s="16">
        <v>27077</v>
      </c>
      <c r="AB8" s="16">
        <v>42991</v>
      </c>
      <c r="AC8" s="16">
        <v>85841</v>
      </c>
      <c r="AD8" s="16">
        <v>81460</v>
      </c>
      <c r="AE8" s="16">
        <v>38442</v>
      </c>
      <c r="AF8" s="14">
        <f>SUM(T8:AA8)</f>
        <v>331709</v>
      </c>
    </row>
    <row r="9" spans="1:32" x14ac:dyDescent="0.25">
      <c r="B9" s="281"/>
      <c r="C9" s="277" t="s">
        <v>19</v>
      </c>
      <c r="D9" s="274"/>
      <c r="E9" s="13">
        <f>IFERROR(dat_nespresso_shop_overview!D14,"")</f>
        <v>1252842</v>
      </c>
      <c r="F9" s="13">
        <f>IFERROR(dat_nespresso_shop_overview!D15,"")</f>
        <v>435815</v>
      </c>
      <c r="G9" s="13">
        <f>IFERROR(dat_nespresso_shop_overview!D16,"")</f>
        <v>661406</v>
      </c>
      <c r="H9" s="13">
        <f>IFERROR(dat_nespresso_shop_overview!D17,"")</f>
        <v>5540428</v>
      </c>
      <c r="I9" s="13">
        <f>IFERROR(dat_nespresso_shop_overview!D18,"")</f>
        <v>2026998</v>
      </c>
      <c r="J9" s="13">
        <f>IFERROR(dat_nespresso_shop_overview!D19,"")</f>
        <v>4238870</v>
      </c>
      <c r="K9" s="13">
        <f>IFERROR(dat_nespresso_shop_overview!D20,"")</f>
        <v>296788</v>
      </c>
      <c r="L9" s="13">
        <f>IFERROR(dat_nespresso_shop_overview!D21,"")</f>
        <v>398143</v>
      </c>
      <c r="M9" s="13">
        <f>IFERROR(dat_nespresso_shop_overview!D22,"")</f>
        <v>450511</v>
      </c>
      <c r="N9" s="13">
        <f>IFERROR(dat_nespresso_shop_overview!D23,"")</f>
        <v>2821713</v>
      </c>
      <c r="O9" s="13">
        <f>IFERROR(dat_nespresso_shop_overview!D24,"")</f>
        <v>2392935</v>
      </c>
      <c r="P9" s="13">
        <f>IFERROR(dat_nespresso_shop_overview!D25,"")</f>
        <v>584789</v>
      </c>
      <c r="Q9" s="14">
        <f>SUM(E9:L9)</f>
        <v>14851290</v>
      </c>
      <c r="R9" s="1"/>
      <c r="S9" s="15" t="s">
        <v>19</v>
      </c>
      <c r="T9" s="16">
        <v>549810</v>
      </c>
      <c r="U9" s="16">
        <v>380667</v>
      </c>
      <c r="V9" s="16">
        <v>483627</v>
      </c>
      <c r="W9" s="16">
        <v>405848</v>
      </c>
      <c r="X9" s="16">
        <v>4280977</v>
      </c>
      <c r="Y9" s="16">
        <v>1725765</v>
      </c>
      <c r="Z9" s="16">
        <v>303918</v>
      </c>
      <c r="AA9" s="16">
        <v>485613</v>
      </c>
      <c r="AB9" s="16">
        <v>3192986</v>
      </c>
      <c r="AC9" s="16">
        <v>14157336</v>
      </c>
      <c r="AD9" s="16">
        <v>13124511</v>
      </c>
      <c r="AE9" s="16">
        <v>981443</v>
      </c>
      <c r="AF9" s="14">
        <f>SUM(T9:AA9)</f>
        <v>8616225</v>
      </c>
    </row>
    <row r="10" spans="1:32" x14ac:dyDescent="0.25">
      <c r="B10" s="281"/>
      <c r="C10" s="277" t="s">
        <v>20</v>
      </c>
      <c r="D10" s="274"/>
      <c r="E10" s="13">
        <f>IFERROR(dat_nespresso_shop_overview!E14,"")</f>
        <v>48505</v>
      </c>
      <c r="F10" s="13">
        <f>IFERROR(dat_nespresso_shop_overview!E15,"")</f>
        <v>63849</v>
      </c>
      <c r="G10" s="13">
        <f>IFERROR(dat_nespresso_shop_overview!E16,"")</f>
        <v>112693</v>
      </c>
      <c r="H10" s="13">
        <f>IFERROR(dat_nespresso_shop_overview!E17,"")</f>
        <v>68998</v>
      </c>
      <c r="I10" s="13">
        <f>IFERROR(dat_nespresso_shop_overview!E18,"")</f>
        <v>150355</v>
      </c>
      <c r="J10" s="13">
        <f>IFERROR(dat_nespresso_shop_overview!E19,"")</f>
        <v>212727</v>
      </c>
      <c r="K10" s="13">
        <f>IFERROR(dat_nespresso_shop_overview!E20,"")</f>
        <v>51042</v>
      </c>
      <c r="L10" s="13">
        <f>IFERROR(dat_nespresso_shop_overview!E21,"")</f>
        <v>76219</v>
      </c>
      <c r="M10" s="13">
        <f>IFERROR(dat_nespresso_shop_overview!E22,"")</f>
        <v>89933</v>
      </c>
      <c r="N10" s="13">
        <f>IFERROR(dat_nespresso_shop_overview!E23,"")</f>
        <v>168279</v>
      </c>
      <c r="O10" s="13">
        <f>IFERROR(dat_nespresso_shop_overview!E24,"")</f>
        <v>200734</v>
      </c>
      <c r="P10" s="13">
        <f>IFERROR(dat_nespresso_shop_overview!E25,"")</f>
        <v>57688</v>
      </c>
      <c r="Q10" s="14">
        <f>SUM(E10:L10)</f>
        <v>784388</v>
      </c>
      <c r="R10" s="1"/>
      <c r="S10" s="15" t="s">
        <v>20</v>
      </c>
      <c r="T10" s="16">
        <v>95841</v>
      </c>
      <c r="U10" s="16">
        <v>84161</v>
      </c>
      <c r="V10" s="16">
        <v>181607</v>
      </c>
      <c r="W10" s="16">
        <v>92859</v>
      </c>
      <c r="X10" s="16">
        <v>232965</v>
      </c>
      <c r="Y10" s="16">
        <v>261049</v>
      </c>
      <c r="Z10" s="16">
        <v>76860</v>
      </c>
      <c r="AA10" s="16">
        <v>81792</v>
      </c>
      <c r="AB10" s="16">
        <v>128571</v>
      </c>
      <c r="AC10" s="16">
        <v>256186</v>
      </c>
      <c r="AD10" s="16">
        <v>297670</v>
      </c>
      <c r="AE10" s="16">
        <v>138449</v>
      </c>
      <c r="AF10" s="14">
        <f>SUM(T10:AA10)</f>
        <v>1107134</v>
      </c>
    </row>
    <row r="11" spans="1:32" x14ac:dyDescent="0.25">
      <c r="B11" s="281"/>
      <c r="C11" s="277" t="s">
        <v>21</v>
      </c>
      <c r="D11" s="274"/>
      <c r="E11" s="17">
        <f t="shared" ref="E11:Q11" si="0">IFERROR(E8/E9,"")</f>
        <v>1.3957865397232851E-2</v>
      </c>
      <c r="F11" s="17">
        <f t="shared" si="0"/>
        <v>4.9374161054575906E-2</v>
      </c>
      <c r="G11" s="17">
        <f t="shared" si="0"/>
        <v>6.0572477419315818E-2</v>
      </c>
      <c r="H11" s="17">
        <f t="shared" si="0"/>
        <v>4.3453321656738431E-3</v>
      </c>
      <c r="I11" s="17">
        <f t="shared" si="0"/>
        <v>2.7169735737282423E-2</v>
      </c>
      <c r="J11" s="17">
        <f t="shared" si="0"/>
        <v>1.4347219895868474E-2</v>
      </c>
      <c r="K11" s="17">
        <f t="shared" si="0"/>
        <v>5.7630362413574672E-2</v>
      </c>
      <c r="L11" s="17">
        <f t="shared" si="0"/>
        <v>6.1751682184541738E-2</v>
      </c>
      <c r="M11" s="17">
        <f t="shared" si="0"/>
        <v>5.6831020774187536E-2</v>
      </c>
      <c r="N11" s="17">
        <f t="shared" si="0"/>
        <v>2.1759122915760744E-2</v>
      </c>
      <c r="O11" s="17">
        <f t="shared" si="0"/>
        <v>2.5631703326667879E-2</v>
      </c>
      <c r="P11" s="17">
        <f t="shared" si="0"/>
        <v>3.5679535695780869E-2</v>
      </c>
      <c r="Q11" s="17">
        <f t="shared" si="0"/>
        <v>1.755551201276118E-2</v>
      </c>
      <c r="R11" s="1"/>
      <c r="S11" s="15" t="s">
        <v>21</v>
      </c>
      <c r="T11" s="17">
        <f t="shared" ref="T11:AF11" si="1">IFERROR(T8/T9,"")</f>
        <v>5.9009476000800275E-2</v>
      </c>
      <c r="U11" s="17">
        <f t="shared" si="1"/>
        <v>7.2036714503752625E-2</v>
      </c>
      <c r="V11" s="17">
        <f t="shared" si="1"/>
        <v>0.11435672532757683</v>
      </c>
      <c r="W11" s="17">
        <f t="shared" si="1"/>
        <v>6.6862470678677732E-2</v>
      </c>
      <c r="X11" s="17">
        <f t="shared" si="1"/>
        <v>1.5937483429600299E-2</v>
      </c>
      <c r="Y11" s="17">
        <f t="shared" si="1"/>
        <v>4.0900122554345462E-2</v>
      </c>
      <c r="Z11" s="17">
        <f t="shared" si="1"/>
        <v>7.7362972907165747E-2</v>
      </c>
      <c r="AA11" s="17">
        <f t="shared" si="1"/>
        <v>5.5758391970560921E-2</v>
      </c>
      <c r="AB11" s="17">
        <f t="shared" si="1"/>
        <v>1.3464199341932598E-2</v>
      </c>
      <c r="AC11" s="17">
        <f t="shared" si="1"/>
        <v>6.0633582476251179E-3</v>
      </c>
      <c r="AD11" s="17">
        <f t="shared" si="1"/>
        <v>6.2067074346617559E-3</v>
      </c>
      <c r="AE11" s="17">
        <f t="shared" si="1"/>
        <v>3.9168856469504597E-2</v>
      </c>
      <c r="AF11" s="17">
        <f t="shared" si="1"/>
        <v>3.8498182208565816E-2</v>
      </c>
    </row>
    <row r="12" spans="1:32" x14ac:dyDescent="0.25">
      <c r="B12" s="281"/>
      <c r="C12" s="277" t="s">
        <v>22</v>
      </c>
      <c r="D12" s="274"/>
      <c r="E12" s="18">
        <f t="shared" ref="E12:Q12" si="2">IFERROR(E7/E8,"")</f>
        <v>607.83182249671188</v>
      </c>
      <c r="F12" s="18">
        <f t="shared" si="2"/>
        <v>574.73069058462681</v>
      </c>
      <c r="G12" s="18">
        <f t="shared" si="2"/>
        <v>588.32819134862586</v>
      </c>
      <c r="H12" s="18">
        <f t="shared" si="2"/>
        <v>574.92966479750783</v>
      </c>
      <c r="I12" s="18">
        <f t="shared" si="2"/>
        <v>537.54479018756922</v>
      </c>
      <c r="J12" s="18">
        <f t="shared" si="2"/>
        <v>625.59384882267818</v>
      </c>
      <c r="K12" s="18">
        <f t="shared" si="2"/>
        <v>498.79583723105708</v>
      </c>
      <c r="L12" s="18">
        <f t="shared" si="2"/>
        <v>521.16960017896361</v>
      </c>
      <c r="M12" s="18">
        <f t="shared" si="2"/>
        <v>517.00263055110725</v>
      </c>
      <c r="N12" s="18">
        <f t="shared" si="2"/>
        <v>605.24904980618203</v>
      </c>
      <c r="O12" s="18">
        <f t="shared" si="2"/>
        <v>669.83664433031697</v>
      </c>
      <c r="P12" s="18">
        <f t="shared" si="2"/>
        <v>535.10119961658279</v>
      </c>
      <c r="Q12" s="18">
        <f t="shared" si="2"/>
        <v>573.0357761140217</v>
      </c>
      <c r="R12" s="1"/>
      <c r="S12" s="15" t="s">
        <v>22</v>
      </c>
      <c r="T12" s="18">
        <f t="shared" ref="T12:AF12" si="3">IFERROR(T7/T8,"")</f>
        <v>590.45401306867223</v>
      </c>
      <c r="U12" s="18">
        <f t="shared" si="3"/>
        <v>522.03336736926553</v>
      </c>
      <c r="V12" s="18">
        <f t="shared" si="3"/>
        <v>528.59174411456263</v>
      </c>
      <c r="W12" s="18">
        <f t="shared" si="3"/>
        <v>492.13450766509436</v>
      </c>
      <c r="X12" s="18">
        <f t="shared" si="3"/>
        <v>598.20580993140641</v>
      </c>
      <c r="Y12" s="18">
        <f t="shared" si="3"/>
        <v>691.92750481695566</v>
      </c>
      <c r="Z12" s="18">
        <f t="shared" si="3"/>
        <v>500.74034535556314</v>
      </c>
      <c r="AA12" s="18">
        <f t="shared" si="3"/>
        <v>533.12261328803038</v>
      </c>
      <c r="AB12" s="18">
        <f t="shared" si="3"/>
        <v>556.45139680398222</v>
      </c>
      <c r="AC12" s="18">
        <f t="shared" si="3"/>
        <v>617.07723581971322</v>
      </c>
      <c r="AD12" s="18">
        <f t="shared" si="3"/>
        <v>673.12295605205009</v>
      </c>
      <c r="AE12" s="18">
        <f t="shared" si="3"/>
        <v>617.51766297279016</v>
      </c>
      <c r="AF12" s="18">
        <f t="shared" si="3"/>
        <v>578.58819326578418</v>
      </c>
    </row>
    <row r="13" spans="1:32" x14ac:dyDescent="0.25">
      <c r="B13" s="281"/>
      <c r="C13" s="277" t="s">
        <v>23</v>
      </c>
      <c r="D13" s="274"/>
      <c r="E13" s="18">
        <f t="shared" ref="E13:Q13" si="4">IFERROR(E7/E10,"")</f>
        <v>219.13524543861459</v>
      </c>
      <c r="F13" s="18">
        <f t="shared" si="4"/>
        <v>193.69222697301444</v>
      </c>
      <c r="G13" s="18">
        <f t="shared" si="4"/>
        <v>209.15400539518868</v>
      </c>
      <c r="H13" s="18">
        <f t="shared" si="4"/>
        <v>200.60627380503783</v>
      </c>
      <c r="I13" s="18">
        <f t="shared" si="4"/>
        <v>196.89537581058164</v>
      </c>
      <c r="J13" s="18">
        <f t="shared" si="4"/>
        <v>178.8494902386627</v>
      </c>
      <c r="K13" s="18">
        <f t="shared" si="4"/>
        <v>167.14478272794952</v>
      </c>
      <c r="L13" s="18">
        <f t="shared" si="4"/>
        <v>168.11393209042365</v>
      </c>
      <c r="M13" s="18">
        <f t="shared" si="4"/>
        <v>147.18533074622218</v>
      </c>
      <c r="N13" s="18">
        <f t="shared" si="4"/>
        <v>220.83017583893394</v>
      </c>
      <c r="O13" s="18">
        <f t="shared" si="4"/>
        <v>204.67101029222749</v>
      </c>
      <c r="P13" s="18">
        <f t="shared" si="4"/>
        <v>193.5391507765913</v>
      </c>
      <c r="Q13" s="18">
        <f t="shared" si="4"/>
        <v>190.47083027787266</v>
      </c>
      <c r="R13" s="1"/>
      <c r="S13" s="15" t="s">
        <v>23</v>
      </c>
      <c r="T13" s="18">
        <f t="shared" ref="T13:AF13" si="5">IFERROR(T7/T10,"")</f>
        <v>199.87990525975314</v>
      </c>
      <c r="U13" s="18">
        <f t="shared" si="5"/>
        <v>170.09302408478987</v>
      </c>
      <c r="V13" s="18">
        <f t="shared" si="5"/>
        <v>160.97559565435253</v>
      </c>
      <c r="W13" s="18">
        <f t="shared" si="5"/>
        <v>143.8154836903262</v>
      </c>
      <c r="X13" s="18">
        <f t="shared" si="5"/>
        <v>175.19535552550812</v>
      </c>
      <c r="Y13" s="18">
        <f t="shared" si="5"/>
        <v>187.08752379821414</v>
      </c>
      <c r="Z13" s="18">
        <f t="shared" si="5"/>
        <v>153.17989851678377</v>
      </c>
      <c r="AA13" s="18">
        <f t="shared" si="5"/>
        <v>176.48866637323943</v>
      </c>
      <c r="AB13" s="18">
        <f t="shared" si="5"/>
        <v>186.06374687915627</v>
      </c>
      <c r="AC13" s="18">
        <f t="shared" si="5"/>
        <v>206.76589274979898</v>
      </c>
      <c r="AD13" s="18">
        <f t="shared" si="5"/>
        <v>184.20598649511203</v>
      </c>
      <c r="AE13" s="18">
        <f t="shared" si="5"/>
        <v>171.46107230821457</v>
      </c>
      <c r="AF13" s="18">
        <f t="shared" si="5"/>
        <v>173.35111287341911</v>
      </c>
    </row>
    <row r="14" spans="1:32" x14ac:dyDescent="0.25">
      <c r="B14" s="278" t="s">
        <v>24</v>
      </c>
      <c r="C14" s="277" t="s">
        <v>17</v>
      </c>
      <c r="D14" s="274"/>
      <c r="E14" s="17">
        <f t="shared" ref="E14:Q16" si="6">IF((E7/T7-1)&lt;&gt;-1,IFERROR(E7/T7-1,""),"")</f>
        <v>-0.44514657386009793</v>
      </c>
      <c r="F14" s="17">
        <f t="shared" si="6"/>
        <v>-0.13608920141452452</v>
      </c>
      <c r="G14" s="17">
        <f t="shared" si="6"/>
        <v>-0.1937485638015215</v>
      </c>
      <c r="H14" s="17">
        <f t="shared" si="6"/>
        <v>3.6457180699748903E-2</v>
      </c>
      <c r="I14" s="17">
        <f t="shared" si="6"/>
        <v>-0.27466251164479116</v>
      </c>
      <c r="J14" s="17">
        <f t="shared" si="6"/>
        <v>-0.220989231129189</v>
      </c>
      <c r="K14" s="17">
        <f t="shared" si="6"/>
        <v>-0.27536659524299123</v>
      </c>
      <c r="L14" s="17">
        <f t="shared" si="6"/>
        <v>-0.11235501557598737</v>
      </c>
      <c r="M14" s="17">
        <f t="shared" si="6"/>
        <v>-0.44667687007349843</v>
      </c>
      <c r="N14" s="17">
        <f t="shared" si="6"/>
        <v>-0.29845740141494215</v>
      </c>
      <c r="O14" s="17">
        <f t="shared" si="6"/>
        <v>-0.25072979254894312</v>
      </c>
      <c r="P14" s="17">
        <f t="shared" si="6"/>
        <v>-0.52967403530804291</v>
      </c>
      <c r="Q14" s="17">
        <f t="shared" si="6"/>
        <v>-0.22154664682008718</v>
      </c>
      <c r="U14" s="267"/>
      <c r="V14" s="267"/>
      <c r="W14" s="267"/>
      <c r="X14" s="267"/>
      <c r="Y14" s="267"/>
      <c r="Z14" s="267"/>
    </row>
    <row r="15" spans="1:32" x14ac:dyDescent="0.25">
      <c r="B15" s="279"/>
      <c r="C15" s="277" t="s">
        <v>18</v>
      </c>
      <c r="D15" s="274"/>
      <c r="E15" s="17">
        <f t="shared" si="6"/>
        <v>-0.46100973985945015</v>
      </c>
      <c r="F15" s="17">
        <f t="shared" si="6"/>
        <v>-0.2153015826708482</v>
      </c>
      <c r="G15" s="17">
        <f t="shared" si="6"/>
        <v>-0.27561204932557049</v>
      </c>
      <c r="H15" s="17">
        <f t="shared" si="6"/>
        <v>-0.11280218160377353</v>
      </c>
      <c r="I15" s="17">
        <f t="shared" si="6"/>
        <v>-0.19280940376385058</v>
      </c>
      <c r="J15" s="17">
        <f t="shared" si="6"/>
        <v>-0.13838830329819785</v>
      </c>
      <c r="K15" s="17">
        <f t="shared" si="6"/>
        <v>-0.27254168084382446</v>
      </c>
      <c r="L15" s="17">
        <f t="shared" si="6"/>
        <v>-9.1996897736085992E-2</v>
      </c>
      <c r="M15" s="17">
        <f t="shared" si="6"/>
        <v>-0.40445674676095</v>
      </c>
      <c r="N15" s="17">
        <f t="shared" si="6"/>
        <v>-0.28474738178725789</v>
      </c>
      <c r="O15" s="17">
        <f t="shared" si="6"/>
        <v>-0.24705376872084461</v>
      </c>
      <c r="P15" s="17">
        <f t="shared" si="6"/>
        <v>-0.45723427501170599</v>
      </c>
      <c r="Q15" s="17">
        <f t="shared" si="6"/>
        <v>-0.21400384071580814</v>
      </c>
      <c r="S15" s="351" t="s">
        <v>12402</v>
      </c>
      <c r="U15" s="267"/>
      <c r="V15" s="267"/>
      <c r="W15" s="351" t="s">
        <v>12403</v>
      </c>
    </row>
    <row r="16" spans="1:32" x14ac:dyDescent="0.25">
      <c r="B16" s="279"/>
      <c r="C16" s="277" t="s">
        <v>19</v>
      </c>
      <c r="D16" s="274"/>
      <c r="E16" s="17">
        <f t="shared" si="6"/>
        <v>1.2786817264145798</v>
      </c>
      <c r="F16" s="17">
        <f t="shared" si="6"/>
        <v>0.14487202725741932</v>
      </c>
      <c r="G16" s="17">
        <f t="shared" si="6"/>
        <v>0.36759527487092325</v>
      </c>
      <c r="H16" s="17">
        <f t="shared" si="6"/>
        <v>12.651485285131379</v>
      </c>
      <c r="I16" s="17">
        <f t="shared" si="6"/>
        <v>-0.52651042040169804</v>
      </c>
      <c r="J16" s="17">
        <f t="shared" si="6"/>
        <v>1.4562266589019943</v>
      </c>
      <c r="K16" s="17">
        <f t="shared" si="6"/>
        <v>-2.3460275469040948E-2</v>
      </c>
      <c r="L16" s="17">
        <f t="shared" si="6"/>
        <v>-0.18012285503065195</v>
      </c>
      <c r="M16" s="17">
        <f t="shared" si="6"/>
        <v>-0.85890605220317284</v>
      </c>
      <c r="N16" s="17">
        <f t="shared" si="6"/>
        <v>-0.80068898555490953</v>
      </c>
      <c r="O16" s="17">
        <f t="shared" si="6"/>
        <v>-0.81767434992435151</v>
      </c>
      <c r="P16" s="17">
        <f t="shared" si="6"/>
        <v>-0.40415388361830484</v>
      </c>
      <c r="Q16" s="17">
        <f t="shared" si="6"/>
        <v>0.72364231435460424</v>
      </c>
      <c r="R16" s="351" t="s">
        <v>12397</v>
      </c>
      <c r="S16" s="351" t="s">
        <v>12398</v>
      </c>
      <c r="T16" s="351" t="s">
        <v>12399</v>
      </c>
      <c r="U16" s="267"/>
      <c r="V16" s="351" t="s">
        <v>12397</v>
      </c>
      <c r="W16" s="351" t="s">
        <v>12398</v>
      </c>
      <c r="X16" s="351" t="s">
        <v>12399</v>
      </c>
    </row>
    <row r="17" spans="2:31" x14ac:dyDescent="0.25">
      <c r="B17" s="279"/>
      <c r="C17" s="277" t="s">
        <v>25</v>
      </c>
      <c r="D17" s="274"/>
      <c r="E17" s="17">
        <f t="shared" ref="E17:Q17" si="7">IFERROR(E11-T11,"")</f>
        <v>-4.5051610603567424E-2</v>
      </c>
      <c r="F17" s="17">
        <f t="shared" si="7"/>
        <v>-2.2662553449176719E-2</v>
      </c>
      <c r="G17" s="17">
        <f t="shared" si="7"/>
        <v>-5.3784247908261015E-2</v>
      </c>
      <c r="H17" s="17">
        <f t="shared" si="7"/>
        <v>-6.2517138513003889E-2</v>
      </c>
      <c r="I17" s="17">
        <f t="shared" si="7"/>
        <v>1.1232252307682124E-2</v>
      </c>
      <c r="J17" s="17">
        <f t="shared" si="7"/>
        <v>-2.6552902658476988E-2</v>
      </c>
      <c r="K17" s="17">
        <f t="shared" si="7"/>
        <v>-1.9732610493591075E-2</v>
      </c>
      <c r="L17" s="17">
        <f t="shared" si="7"/>
        <v>5.9932902139808175E-3</v>
      </c>
      <c r="M17" s="17">
        <f t="shared" si="7"/>
        <v>4.336682143225494E-2</v>
      </c>
      <c r="N17" s="17">
        <f t="shared" si="7"/>
        <v>1.5695764668135624E-2</v>
      </c>
      <c r="O17" s="17">
        <f t="shared" si="7"/>
        <v>1.9424995892006122E-2</v>
      </c>
      <c r="P17" s="17">
        <f t="shared" si="7"/>
        <v>-3.4893207737237281E-3</v>
      </c>
      <c r="Q17" s="17">
        <f t="shared" si="7"/>
        <v>-2.0942670195804636E-2</v>
      </c>
      <c r="R17" s="351" t="s">
        <v>12400</v>
      </c>
      <c r="S17" s="265">
        <f>INDEX(B28:P28, MATCH(D2, B22:P22, 0))</f>
        <v>0.39470186267983504</v>
      </c>
      <c r="T17" s="265">
        <f>INDEX(B28:P28, MATCH(D2, B22:P22, 0))-INDEX(R28:AE28, MATCH(D2, R22:AE22, 0))</f>
        <v>4.0348908459340083E-2</v>
      </c>
      <c r="V17" s="351" t="s">
        <v>12400</v>
      </c>
      <c r="W17" s="265">
        <f>INDEX(E40:P40, MATCH(D2, E35:P35, 0))</f>
        <v>0.14392523364485982</v>
      </c>
      <c r="X17" s="265">
        <f>INDEX(E40:P40, MATCH(D2, E35:P35, 0))-INDEX(T40:AE40, MATCH(D2, T35:AE35, 0))</f>
        <v>-3.6970661469858446E-2</v>
      </c>
    </row>
    <row r="18" spans="2:31" x14ac:dyDescent="0.25">
      <c r="B18" s="279"/>
      <c r="C18" s="277" t="s">
        <v>22</v>
      </c>
      <c r="D18" s="274"/>
      <c r="E18" s="17">
        <f t="shared" ref="E18:Q19" si="8">IFERROR(E12/T12-1,"")</f>
        <v>2.9431266522730093E-2</v>
      </c>
      <c r="F18" s="17">
        <f t="shared" si="8"/>
        <v>0.10094627376200904</v>
      </c>
      <c r="G18" s="17">
        <f t="shared" si="8"/>
        <v>0.11301055663312898</v>
      </c>
      <c r="H18" s="17">
        <f t="shared" si="8"/>
        <v>0.16823684550232132</v>
      </c>
      <c r="I18" s="17">
        <f t="shared" si="8"/>
        <v>-0.10140493244422499</v>
      </c>
      <c r="J18" s="17">
        <f t="shared" si="8"/>
        <v>-9.5867927683877197E-2</v>
      </c>
      <c r="K18" s="17">
        <f t="shared" si="8"/>
        <v>-3.8832663326245909E-3</v>
      </c>
      <c r="L18" s="17">
        <f t="shared" si="8"/>
        <v>-2.2420758022899556E-2</v>
      </c>
      <c r="M18" s="17">
        <f t="shared" si="8"/>
        <v>-7.0893462536803287E-2</v>
      </c>
      <c r="N18" s="17">
        <f t="shared" si="8"/>
        <v>-1.9168080309783009E-2</v>
      </c>
      <c r="O18" s="17">
        <f t="shared" si="8"/>
        <v>-4.8821863705372781E-3</v>
      </c>
      <c r="P18" s="17">
        <f t="shared" si="8"/>
        <v>-0.13346413924331568</v>
      </c>
      <c r="Q18" s="17">
        <f t="shared" si="8"/>
        <v>-9.5964923176575789E-3</v>
      </c>
      <c r="R18" s="351" t="s">
        <v>12401</v>
      </c>
      <c r="S18" s="265">
        <f>INDEX(B30:P30, MATCH(D2, B22:P22, 0))</f>
        <v>0.55797057976471875</v>
      </c>
      <c r="T18" s="265">
        <f>INDEX(B30:P30, MATCH(D2, B22:P22, 0))-INDEX(R30:AE30, MATCH(D2, R22:AE22, 0))</f>
        <v>-4.0673595501790061E-2</v>
      </c>
      <c r="V18" s="351" t="s">
        <v>12401</v>
      </c>
      <c r="W18" s="265">
        <f>INDEX(E42:P42, MATCH(D2, E35:P35, 0))</f>
        <v>0.850994488377666</v>
      </c>
      <c r="X18" s="352">
        <f>INDEX(E42:P42, MATCH(D2, E35:P35, 0))-INDEX(T42:AE42, MATCH(D2, T35:AE35, 0))</f>
        <v>1.8311485412159545E-2</v>
      </c>
    </row>
    <row r="19" spans="2:31" x14ac:dyDescent="0.25">
      <c r="B19" s="279"/>
      <c r="C19" s="277" t="s">
        <v>23</v>
      </c>
      <c r="D19" s="274"/>
      <c r="E19" s="17">
        <f t="shared" si="8"/>
        <v>9.6334547256454961E-2</v>
      </c>
      <c r="F19" s="17">
        <f t="shared" si="8"/>
        <v>0.13874292032376689</v>
      </c>
      <c r="G19" s="17">
        <f t="shared" si="8"/>
        <v>0.29929014733565595</v>
      </c>
      <c r="H19" s="17">
        <f t="shared" si="8"/>
        <v>0.39488647993562109</v>
      </c>
      <c r="I19" s="17">
        <f t="shared" si="8"/>
        <v>0.1238618467937298</v>
      </c>
      <c r="J19" s="17">
        <f t="shared" si="8"/>
        <v>-4.4033046096845441E-2</v>
      </c>
      <c r="K19" s="17">
        <f t="shared" si="8"/>
        <v>9.1166558708978718E-2</v>
      </c>
      <c r="L19" s="17">
        <f t="shared" si="8"/>
        <v>-4.7451966491178776E-2</v>
      </c>
      <c r="M19" s="17">
        <f t="shared" si="8"/>
        <v>-0.20895212949884667</v>
      </c>
      <c r="N19" s="17">
        <f t="shared" si="8"/>
        <v>6.8020324348918138E-2</v>
      </c>
      <c r="O19" s="17">
        <f t="shared" si="8"/>
        <v>0.1110985814658012</v>
      </c>
      <c r="P19" s="17">
        <f t="shared" si="8"/>
        <v>0.12876437882465641</v>
      </c>
      <c r="Q19" s="17">
        <f t="shared" si="8"/>
        <v>9.8757470434899242E-2</v>
      </c>
    </row>
    <row r="21" spans="2:31" ht="17.5" customHeight="1" x14ac:dyDescent="0.25">
      <c r="B21" s="272" t="s">
        <v>26</v>
      </c>
      <c r="C21" s="273"/>
      <c r="D21" s="273"/>
      <c r="E21" s="273"/>
      <c r="F21" s="273"/>
      <c r="G21" s="273"/>
      <c r="H21" s="273"/>
      <c r="I21" s="273"/>
      <c r="J21" s="273"/>
      <c r="K21" s="273"/>
      <c r="L21" s="273"/>
      <c r="M21" s="273"/>
      <c r="N21" s="273"/>
      <c r="O21" s="273"/>
      <c r="P21" s="274"/>
      <c r="R21" s="275" t="s">
        <v>27</v>
      </c>
      <c r="S21" s="273"/>
      <c r="T21" s="273"/>
      <c r="U21" s="273"/>
      <c r="V21" s="273"/>
      <c r="W21" s="273"/>
      <c r="X21" s="273"/>
      <c r="Y21" s="273"/>
      <c r="Z21" s="273"/>
      <c r="AA21" s="273"/>
      <c r="AB21" s="273"/>
      <c r="AC21" s="273"/>
      <c r="AD21" s="273"/>
      <c r="AE21" s="274"/>
    </row>
    <row r="22" spans="2:31" ht="16.25" customHeight="1" x14ac:dyDescent="0.25">
      <c r="B22" s="282"/>
      <c r="C22" s="273"/>
      <c r="D22" s="274"/>
      <c r="E22" s="10" t="s">
        <v>4</v>
      </c>
      <c r="F22" s="10" t="s">
        <v>5</v>
      </c>
      <c r="G22" s="10" t="s">
        <v>6</v>
      </c>
      <c r="H22" s="10" t="s">
        <v>7</v>
      </c>
      <c r="I22" s="10" t="s">
        <v>8</v>
      </c>
      <c r="J22" s="10" t="s">
        <v>9</v>
      </c>
      <c r="K22" s="10" t="s">
        <v>10</v>
      </c>
      <c r="L22" s="10" t="s">
        <v>11</v>
      </c>
      <c r="M22" s="10" t="s">
        <v>12</v>
      </c>
      <c r="N22" s="10" t="s">
        <v>13</v>
      </c>
      <c r="O22" s="10" t="s">
        <v>14</v>
      </c>
      <c r="P22" s="10" t="s">
        <v>15</v>
      </c>
      <c r="R22" s="11"/>
      <c r="S22" s="11"/>
      <c r="T22" s="11" t="s">
        <v>4</v>
      </c>
      <c r="U22" s="11" t="s">
        <v>5</v>
      </c>
      <c r="V22" s="11" t="s">
        <v>6</v>
      </c>
      <c r="W22" s="11" t="s">
        <v>7</v>
      </c>
      <c r="X22" s="11" t="s">
        <v>8</v>
      </c>
      <c r="Y22" s="11" t="s">
        <v>9</v>
      </c>
      <c r="Z22" s="11" t="s">
        <v>10</v>
      </c>
      <c r="AA22" s="11" t="s">
        <v>11</v>
      </c>
      <c r="AB22" s="11" t="s">
        <v>12</v>
      </c>
      <c r="AC22" s="11" t="s">
        <v>13</v>
      </c>
      <c r="AD22" s="11" t="s">
        <v>14</v>
      </c>
      <c r="AE22" s="11" t="s">
        <v>15</v>
      </c>
    </row>
    <row r="23" spans="2:31" x14ac:dyDescent="0.25">
      <c r="B23" s="277" t="s">
        <v>16</v>
      </c>
      <c r="C23" s="277" t="s">
        <v>28</v>
      </c>
      <c r="D23" s="274"/>
      <c r="E23" s="16">
        <f>IFERROR(dat_nespresso_shop_overview!AS14,"")</f>
        <v>4342139.2</v>
      </c>
      <c r="F23" s="16">
        <f>IFERROR(dat_nespresso_shop_overview!AS15,"")</f>
        <v>4698418.8080000002</v>
      </c>
      <c r="G23" s="16">
        <f>IFERROR(dat_nespresso_shop_overview!AS16,"")</f>
        <v>6979962.7300000004</v>
      </c>
      <c r="H23" s="16">
        <f>IFERROR(dat_nespresso_shop_overview!AS17,"")</f>
        <v>5519408.6600000001</v>
      </c>
      <c r="I23" s="16">
        <f>IFERROR(dat_nespresso_shop_overview!AS18,"")</f>
        <v>9669212.9600000009</v>
      </c>
      <c r="J23" s="16">
        <f>IFERROR(dat_nespresso_shop_overview!AS19,"")</f>
        <v>13463655.74</v>
      </c>
      <c r="K23" s="16">
        <f>IFERROR(dat_nespresso_shop_overview!AS20,"")</f>
        <v>2919505.06</v>
      </c>
      <c r="L23" s="16">
        <f>IFERROR(dat_nespresso_shop_overview!AS21,"")</f>
        <v>4150051.36</v>
      </c>
      <c r="M23" s="16">
        <f>IFERROR(dat_nespresso_shop_overview!AS22,"")</f>
        <v>3853763.6600000011</v>
      </c>
      <c r="N23" s="16">
        <f>IFERROR(dat_nespresso_shop_overview!AS23,"")</f>
        <v>11672199.49</v>
      </c>
      <c r="O23" s="16">
        <f>IFERROR(dat_nespresso_shop_overview!AS24,"")</f>
        <v>15245725.690000011</v>
      </c>
      <c r="P23" s="16">
        <f>IFERROR(dat_nespresso_shop_overview!AS25,"")</f>
        <v>4406801.51</v>
      </c>
      <c r="R23" s="284" t="s">
        <v>16</v>
      </c>
      <c r="S23" s="15" t="s">
        <v>28</v>
      </c>
      <c r="T23" s="16">
        <v>7573774</v>
      </c>
      <c r="U23" s="16">
        <v>4987263</v>
      </c>
      <c r="V23" s="16">
        <v>8118179</v>
      </c>
      <c r="W23" s="16">
        <v>3837444</v>
      </c>
      <c r="X23" s="16">
        <v>12286956</v>
      </c>
      <c r="Y23" s="16">
        <v>19112656</v>
      </c>
      <c r="Z23" s="16">
        <v>3617627</v>
      </c>
      <c r="AA23" s="16">
        <v>5237200</v>
      </c>
      <c r="AB23" s="16">
        <v>8825401</v>
      </c>
      <c r="AC23" s="16">
        <v>16268726</v>
      </c>
      <c r="AD23" s="16">
        <v>20131609</v>
      </c>
      <c r="AE23" s="16">
        <v>8411848</v>
      </c>
    </row>
    <row r="24" spans="2:31" x14ac:dyDescent="0.25">
      <c r="B24" s="281"/>
      <c r="C24" s="277" t="s">
        <v>29</v>
      </c>
      <c r="D24" s="274"/>
      <c r="E24" s="16">
        <f>IFERROR(dat_nespresso_shop_overview!AT14,"")</f>
        <v>5583971.3219999997</v>
      </c>
      <c r="F24" s="16">
        <f>IFERROR(dat_nespresso_shop_overview!AT15,"")</f>
        <v>6996637.4859999996</v>
      </c>
      <c r="G24" s="16">
        <f>IFERROR(dat_nespresso_shop_overview!AT16,"")</f>
        <v>15765773.810000001</v>
      </c>
      <c r="H24" s="16">
        <f>IFERROR(dat_nespresso_shop_overview!AT17,"")</f>
        <v>7662239.1119999997</v>
      </c>
      <c r="I24" s="16">
        <f>IFERROR(dat_nespresso_shop_overview!AT18,"")</f>
        <v>19219594.129999999</v>
      </c>
      <c r="J24" s="16">
        <f>IFERROR(dat_nespresso_shop_overview!AT19,"")</f>
        <v>23620253.5</v>
      </c>
      <c r="K24" s="16">
        <f>IFERROR(dat_nespresso_shop_overview!AT20,"")</f>
        <v>5249465.5999999996</v>
      </c>
      <c r="L24" s="16">
        <f>IFERROR(dat_nespresso_shop_overview!AT21,"")</f>
        <v>8240139.1100000003</v>
      </c>
      <c r="M24" s="16">
        <f>IFERROR(dat_nespresso_shop_overview!AT22,"")</f>
        <v>8922708.3132987525</v>
      </c>
      <c r="N24" s="16">
        <f>IFERROR(dat_nespresso_shop_overview!AT23,"")</f>
        <v>24708345.8114882</v>
      </c>
      <c r="O24" s="16">
        <f>IFERROR(dat_nespresso_shop_overview!AT24,"")</f>
        <v>24729726.911222879</v>
      </c>
      <c r="P24" s="16">
        <f>IFERROR(dat_nespresso_shop_overview!AT25,"")</f>
        <v>6243181.2567008575</v>
      </c>
      <c r="R24" s="281"/>
      <c r="S24" s="15" t="s">
        <v>29</v>
      </c>
      <c r="T24" s="16">
        <v>10624022</v>
      </c>
      <c r="U24" s="16">
        <v>8444137</v>
      </c>
      <c r="V24" s="16">
        <v>20044319</v>
      </c>
      <c r="W24" s="16">
        <v>8956198</v>
      </c>
      <c r="X24" s="16">
        <v>27414019</v>
      </c>
      <c r="Y24" s="16">
        <v>27935889</v>
      </c>
      <c r="Z24" s="16">
        <v>7666699</v>
      </c>
      <c r="AA24" s="16">
        <v>8554139</v>
      </c>
      <c r="AB24" s="16">
        <v>14259822</v>
      </c>
      <c r="AC24" s="16">
        <v>35535312</v>
      </c>
      <c r="AD24" s="16">
        <v>32754383</v>
      </c>
      <c r="AE24" s="16">
        <v>14300480</v>
      </c>
    </row>
    <row r="25" spans="2:31" x14ac:dyDescent="0.25">
      <c r="B25" s="281"/>
      <c r="C25" s="277" t="s">
        <v>30</v>
      </c>
      <c r="D25" s="274"/>
      <c r="E25" s="16">
        <f>IFERROR(dat_nespresso_shop_overview!AU14,"")</f>
        <v>5568861.6150000002</v>
      </c>
      <c r="F25" s="16">
        <f>IFERROR(dat_nespresso_shop_overview!AU15,"")</f>
        <v>6946246.7970000003</v>
      </c>
      <c r="G25" s="16">
        <f>IFERROR(dat_nespresso_shop_overview!AU16,"")</f>
        <v>15667759.01</v>
      </c>
      <c r="H25" s="16">
        <f>IFERROR(dat_nespresso_shop_overview!AU17,"")</f>
        <v>7457399.4510000004</v>
      </c>
      <c r="I25" s="16">
        <f>IFERROR(dat_nespresso_shop_overview!AU18,"")</f>
        <v>19120752.16</v>
      </c>
      <c r="J25" s="16">
        <f>IFERROR(dat_nespresso_shop_overview!AU19,"")</f>
        <v>23595400.170000002</v>
      </c>
      <c r="K25" s="16">
        <f>IFERROR(dat_nespresso_shop_overview!AU20,"")</f>
        <v>5236568.54</v>
      </c>
      <c r="L25" s="16">
        <f>IFERROR(dat_nespresso_shop_overview!AU21,"")</f>
        <v>8220867.0700000003</v>
      </c>
      <c r="M25" s="16">
        <f>IFERROR(dat_nespresso_shop_overview!AU22,"")</f>
        <v>8907011.6471906118</v>
      </c>
      <c r="N25" s="16">
        <f>IFERROR(dat_nespresso_shop_overview!AU23,"")</f>
        <v>24687108.423596021</v>
      </c>
      <c r="O25" s="16">
        <f>IFERROR(dat_nespresso_shop_overview!AU24,"")</f>
        <v>24702174.584533289</v>
      </c>
      <c r="P25" s="16">
        <f>IFERROR(dat_nespresso_shop_overview!AU25,"")</f>
        <v>6229678.2101513986</v>
      </c>
      <c r="R25" s="281"/>
      <c r="S25" s="15" t="s">
        <v>30</v>
      </c>
      <c r="T25" s="16">
        <v>10327850</v>
      </c>
      <c r="U25" s="16">
        <v>8387276</v>
      </c>
      <c r="V25" s="16">
        <v>19940036</v>
      </c>
      <c r="W25" s="16">
        <v>8907352</v>
      </c>
      <c r="X25" s="16">
        <v>27342923</v>
      </c>
      <c r="Y25" s="16">
        <v>27889768</v>
      </c>
      <c r="Z25" s="16">
        <v>7616214</v>
      </c>
      <c r="AA25" s="16">
        <v>8476618</v>
      </c>
      <c r="AB25" s="16">
        <v>14232303</v>
      </c>
      <c r="AC25" s="16">
        <v>35445955</v>
      </c>
      <c r="AD25" s="16">
        <v>32675858</v>
      </c>
      <c r="AE25" s="16">
        <v>14210983</v>
      </c>
    </row>
    <row r="26" spans="2:31" x14ac:dyDescent="0.25">
      <c r="B26" s="281"/>
      <c r="C26" s="277" t="s">
        <v>31</v>
      </c>
      <c r="D26" s="274"/>
      <c r="E26" s="19">
        <f t="shared" ref="E26:P26" si="9">E24-E25</f>
        <v>15109.706999999471</v>
      </c>
      <c r="F26" s="19">
        <f t="shared" si="9"/>
        <v>50390.688999999315</v>
      </c>
      <c r="G26" s="19">
        <f t="shared" si="9"/>
        <v>98014.800000000745</v>
      </c>
      <c r="H26" s="19">
        <f t="shared" si="9"/>
        <v>204839.66099999938</v>
      </c>
      <c r="I26" s="19">
        <f t="shared" si="9"/>
        <v>98841.969999998808</v>
      </c>
      <c r="J26" s="19">
        <f t="shared" si="9"/>
        <v>24853.329999998212</v>
      </c>
      <c r="K26" s="19">
        <f t="shared" si="9"/>
        <v>12897.05999999959</v>
      </c>
      <c r="L26" s="19">
        <f t="shared" si="9"/>
        <v>19272.040000000037</v>
      </c>
      <c r="M26" s="19">
        <f t="shared" si="9"/>
        <v>15696.666108140722</v>
      </c>
      <c r="N26" s="19">
        <f t="shared" si="9"/>
        <v>21237.387892179191</v>
      </c>
      <c r="O26" s="19">
        <f t="shared" si="9"/>
        <v>27552.326689589769</v>
      </c>
      <c r="P26" s="19">
        <f t="shared" si="9"/>
        <v>13503.046549458988</v>
      </c>
      <c r="R26" s="281"/>
      <c r="S26" s="15" t="s">
        <v>31</v>
      </c>
      <c r="T26" s="19">
        <f t="shared" ref="T26:AE26" si="10">T24-T25</f>
        <v>296172</v>
      </c>
      <c r="U26" s="19">
        <f t="shared" si="10"/>
        <v>56861</v>
      </c>
      <c r="V26" s="19">
        <f t="shared" si="10"/>
        <v>104283</v>
      </c>
      <c r="W26" s="19">
        <f t="shared" si="10"/>
        <v>48846</v>
      </c>
      <c r="X26" s="19">
        <f t="shared" si="10"/>
        <v>71096</v>
      </c>
      <c r="Y26" s="19">
        <f t="shared" si="10"/>
        <v>46121</v>
      </c>
      <c r="Z26" s="19">
        <f t="shared" si="10"/>
        <v>50485</v>
      </c>
      <c r="AA26" s="19">
        <f t="shared" si="10"/>
        <v>77521</v>
      </c>
      <c r="AB26" s="19">
        <f t="shared" si="10"/>
        <v>27519</v>
      </c>
      <c r="AC26" s="19">
        <f t="shared" si="10"/>
        <v>89357</v>
      </c>
      <c r="AD26" s="19">
        <f t="shared" si="10"/>
        <v>78525</v>
      </c>
      <c r="AE26" s="19">
        <f t="shared" si="10"/>
        <v>89497</v>
      </c>
    </row>
    <row r="27" spans="2:31" x14ac:dyDescent="0.25">
      <c r="B27" s="283"/>
      <c r="C27" s="277" t="s">
        <v>32</v>
      </c>
      <c r="D27" s="274"/>
      <c r="E27" s="19">
        <f t="shared" ref="E27:P27" si="11">E7-E23-E24</f>
        <v>703044.55800000019</v>
      </c>
      <c r="F27" s="19">
        <f t="shared" si="11"/>
        <v>671998.70600000024</v>
      </c>
      <c r="G27" s="19">
        <f t="shared" si="11"/>
        <v>824455.78999999724</v>
      </c>
      <c r="H27" s="19">
        <f t="shared" si="11"/>
        <v>659783.90799999982</v>
      </c>
      <c r="I27" s="19">
        <f t="shared" si="11"/>
        <v>715397.1400000006</v>
      </c>
      <c r="J27" s="19">
        <f t="shared" si="11"/>
        <v>962206.26999999583</v>
      </c>
      <c r="K27" s="19">
        <f t="shared" si="11"/>
        <v>362433.33999999985</v>
      </c>
      <c r="L27" s="19">
        <f t="shared" si="11"/>
        <v>423285.31999999937</v>
      </c>
      <c r="M27" s="19">
        <f t="shared" si="11"/>
        <v>460346.37670124508</v>
      </c>
      <c r="N27" s="19">
        <f t="shared" si="11"/>
        <v>780535.85851176456</v>
      </c>
      <c r="O27" s="19">
        <f t="shared" si="11"/>
        <v>1108977.9787770994</v>
      </c>
      <c r="P27" s="19">
        <f t="shared" si="11"/>
        <v>514903.76329914201</v>
      </c>
      <c r="R27" s="283"/>
      <c r="S27" s="15" t="s">
        <v>32</v>
      </c>
      <c r="T27" s="19">
        <f t="shared" ref="T27:AE27" si="12">T7-T23-T24</f>
        <v>958894</v>
      </c>
      <c r="U27" s="19">
        <f t="shared" si="12"/>
        <v>883799</v>
      </c>
      <c r="V27" s="19">
        <f t="shared" si="12"/>
        <v>1071797</v>
      </c>
      <c r="W27" s="19">
        <f t="shared" si="12"/>
        <v>560920</v>
      </c>
      <c r="X27" s="19">
        <f t="shared" si="12"/>
        <v>1113411</v>
      </c>
      <c r="Y27" s="19">
        <f t="shared" si="12"/>
        <v>1790466</v>
      </c>
      <c r="Z27" s="19">
        <f t="shared" si="12"/>
        <v>489081</v>
      </c>
      <c r="AA27" s="19">
        <f t="shared" si="12"/>
        <v>644022</v>
      </c>
      <c r="AB27" s="19">
        <f t="shared" si="12"/>
        <v>837179</v>
      </c>
      <c r="AC27" s="19">
        <f t="shared" si="12"/>
        <v>1166489</v>
      </c>
      <c r="AD27" s="19">
        <f t="shared" si="12"/>
        <v>1946604</v>
      </c>
      <c r="AE27" s="19">
        <f t="shared" si="12"/>
        <v>1026286</v>
      </c>
    </row>
    <row r="28" spans="2:31" x14ac:dyDescent="0.25">
      <c r="B28" s="277" t="s">
        <v>33</v>
      </c>
      <c r="C28" s="277" t="s">
        <v>28</v>
      </c>
      <c r="D28" s="274"/>
      <c r="E28" s="17">
        <f t="shared" ref="E28:P28" si="13">IFERROR(E23/E$7,"")</f>
        <v>0.40851216934168583</v>
      </c>
      <c r="F28" s="17">
        <f t="shared" si="13"/>
        <v>0.3799141192466598</v>
      </c>
      <c r="G28" s="17">
        <f t="shared" si="13"/>
        <v>0.29613516225389241</v>
      </c>
      <c r="H28" s="17">
        <f t="shared" si="13"/>
        <v>0.39875995399920944</v>
      </c>
      <c r="I28" s="17">
        <f t="shared" si="13"/>
        <v>0.32661620913294181</v>
      </c>
      <c r="J28" s="17">
        <f t="shared" si="13"/>
        <v>0.35387727655038076</v>
      </c>
      <c r="K28" s="17">
        <f t="shared" si="13"/>
        <v>0.3422068700532761</v>
      </c>
      <c r="L28" s="17">
        <f t="shared" si="13"/>
        <v>0.32388178102609894</v>
      </c>
      <c r="M28" s="17">
        <f t="shared" si="13"/>
        <v>0.29113972543107391</v>
      </c>
      <c r="N28" s="17">
        <f t="shared" si="13"/>
        <v>0.31409741389773954</v>
      </c>
      <c r="O28" s="17">
        <f t="shared" si="13"/>
        <v>0.37108280374759944</v>
      </c>
      <c r="P28" s="17">
        <f t="shared" si="13"/>
        <v>0.39470186267983504</v>
      </c>
      <c r="R28" s="284" t="s">
        <v>33</v>
      </c>
      <c r="S28" s="15" t="s">
        <v>28</v>
      </c>
      <c r="T28" s="17">
        <f t="shared" ref="T28:AE28" si="14">IFERROR(T23/T$7,"")</f>
        <v>0.39535921915529249</v>
      </c>
      <c r="U28" s="17">
        <f t="shared" si="14"/>
        <v>0.34838935875079347</v>
      </c>
      <c r="V28" s="17">
        <f t="shared" si="14"/>
        <v>0.27769368134240968</v>
      </c>
      <c r="W28" s="17">
        <f t="shared" si="14"/>
        <v>0.28735079443264405</v>
      </c>
      <c r="X28" s="17">
        <f t="shared" si="14"/>
        <v>0.30104473456981568</v>
      </c>
      <c r="Y28" s="17">
        <f t="shared" si="14"/>
        <v>0.39133994748583256</v>
      </c>
      <c r="Z28" s="17">
        <f t="shared" si="14"/>
        <v>0.30727103887600249</v>
      </c>
      <c r="AA28" s="17">
        <f t="shared" si="14"/>
        <v>0.36280353501377621</v>
      </c>
      <c r="AB28" s="17">
        <f t="shared" si="14"/>
        <v>0.36891784528995042</v>
      </c>
      <c r="AC28" s="17">
        <f t="shared" si="14"/>
        <v>0.3071278864188004</v>
      </c>
      <c r="AD28" s="17">
        <f t="shared" si="14"/>
        <v>0.36714674242306528</v>
      </c>
      <c r="AE28" s="17">
        <f t="shared" si="14"/>
        <v>0.35435295422049495</v>
      </c>
    </row>
    <row r="29" spans="2:31" x14ac:dyDescent="0.25">
      <c r="B29" s="281"/>
      <c r="C29" s="277" t="s">
        <v>29</v>
      </c>
      <c r="D29" s="274"/>
      <c r="E29" s="17">
        <f t="shared" ref="E29:P29" si="15">IFERROR(E24/E$7,"")</f>
        <v>0.52534479739663364</v>
      </c>
      <c r="F29" s="17">
        <f t="shared" si="15"/>
        <v>0.56574806904311492</v>
      </c>
      <c r="G29" s="17">
        <f t="shared" si="15"/>
        <v>0.6688860909265224</v>
      </c>
      <c r="H29" s="17">
        <f t="shared" si="15"/>
        <v>0.55357272926264223</v>
      </c>
      <c r="I29" s="17">
        <f t="shared" si="15"/>
        <v>0.649218400896027</v>
      </c>
      <c r="J29" s="17">
        <f t="shared" si="15"/>
        <v>0.62083219754173535</v>
      </c>
      <c r="K29" s="17">
        <f t="shared" si="15"/>
        <v>0.61531086794154866</v>
      </c>
      <c r="L29" s="17">
        <f t="shared" si="15"/>
        <v>0.64308383182265338</v>
      </c>
      <c r="M29" s="17">
        <f t="shared" si="15"/>
        <v>0.67408255347847645</v>
      </c>
      <c r="N29" s="17">
        <f t="shared" si="15"/>
        <v>0.6648984647433821</v>
      </c>
      <c r="O29" s="17">
        <f t="shared" si="15"/>
        <v>0.60192453837394488</v>
      </c>
      <c r="P29" s="17">
        <f t="shared" si="15"/>
        <v>0.55918000061401951</v>
      </c>
      <c r="R29" s="281"/>
      <c r="S29" s="15" t="s">
        <v>29</v>
      </c>
      <c r="T29" s="17">
        <f t="shared" ref="T29:AE29" si="16">IFERROR(T24/T$7,"")</f>
        <v>0.55458547379531642</v>
      </c>
      <c r="U29" s="17">
        <f t="shared" si="16"/>
        <v>0.5898721352039884</v>
      </c>
      <c r="V29" s="17">
        <f t="shared" si="16"/>
        <v>0.68564400133473369</v>
      </c>
      <c r="W29" s="17">
        <f t="shared" si="16"/>
        <v>0.67064707925276767</v>
      </c>
      <c r="X29" s="17">
        <f t="shared" si="16"/>
        <v>0.67167539896349293</v>
      </c>
      <c r="Y29" s="17">
        <f t="shared" si="16"/>
        <v>0.5719994821352955</v>
      </c>
      <c r="Z29" s="17">
        <f t="shared" si="16"/>
        <v>0.65118779975923702</v>
      </c>
      <c r="AA29" s="17">
        <f t="shared" si="16"/>
        <v>0.59258227071702607</v>
      </c>
      <c r="AB29" s="17">
        <f t="shared" si="16"/>
        <v>0.59608654682753015</v>
      </c>
      <c r="AC29" s="17">
        <f t="shared" si="16"/>
        <v>0.67085064114993609</v>
      </c>
      <c r="AD29" s="17">
        <f t="shared" si="16"/>
        <v>0.59735240330404926</v>
      </c>
      <c r="AE29" s="17">
        <f t="shared" si="16"/>
        <v>0.60241427743001341</v>
      </c>
    </row>
    <row r="30" spans="2:31" x14ac:dyDescent="0.25">
      <c r="B30" s="281"/>
      <c r="C30" s="277" t="s">
        <v>30</v>
      </c>
      <c r="D30" s="274"/>
      <c r="E30" s="17">
        <f t="shared" ref="E30:P30" si="17">IFERROR(E25/E$7,"")</f>
        <v>0.52392326324022365</v>
      </c>
      <c r="F30" s="17">
        <f t="shared" si="17"/>
        <v>0.56167347820479496</v>
      </c>
      <c r="G30" s="17">
        <f t="shared" si="17"/>
        <v>0.66472766919505233</v>
      </c>
      <c r="H30" s="17">
        <f t="shared" si="17"/>
        <v>0.53877370660836155</v>
      </c>
      <c r="I30" s="17">
        <f t="shared" si="17"/>
        <v>0.64587961937594018</v>
      </c>
      <c r="J30" s="17">
        <f t="shared" si="17"/>
        <v>0.62017895529435096</v>
      </c>
      <c r="K30" s="17">
        <f t="shared" si="17"/>
        <v>0.6137991519332574</v>
      </c>
      <c r="L30" s="17">
        <f t="shared" si="17"/>
        <v>0.64157978715000963</v>
      </c>
      <c r="M30" s="17">
        <f t="shared" si="17"/>
        <v>0.67289671971592868</v>
      </c>
      <c r="N30" s="17">
        <f t="shared" si="17"/>
        <v>0.66432696931781199</v>
      </c>
      <c r="O30" s="17">
        <f t="shared" si="17"/>
        <v>0.60125391141622331</v>
      </c>
      <c r="P30" s="17">
        <f t="shared" si="17"/>
        <v>0.55797057976471875</v>
      </c>
      <c r="R30" s="281"/>
      <c r="S30" s="15" t="s">
        <v>30</v>
      </c>
      <c r="T30" s="17">
        <f t="shared" ref="T30:AE30" si="18">IFERROR(T25/T$7,"")</f>
        <v>0.53912497409521165</v>
      </c>
      <c r="U30" s="17">
        <f t="shared" si="18"/>
        <v>0.58590006328238953</v>
      </c>
      <c r="V30" s="17">
        <f t="shared" si="18"/>
        <v>0.68207685528246875</v>
      </c>
      <c r="W30" s="17">
        <f t="shared" si="18"/>
        <v>0.66698945274281551</v>
      </c>
      <c r="X30" s="17">
        <f t="shared" si="18"/>
        <v>0.66993346414668598</v>
      </c>
      <c r="Y30" s="17">
        <f t="shared" si="18"/>
        <v>0.57105513459312274</v>
      </c>
      <c r="Z30" s="17">
        <f t="shared" si="18"/>
        <v>0.64689974618222235</v>
      </c>
      <c r="AA30" s="17">
        <f t="shared" si="18"/>
        <v>0.58721205517478914</v>
      </c>
      <c r="AB30" s="17">
        <f t="shared" si="18"/>
        <v>0.59493620247665768</v>
      </c>
      <c r="AC30" s="17">
        <f t="shared" si="18"/>
        <v>0.66916372193163187</v>
      </c>
      <c r="AD30" s="17">
        <f t="shared" si="18"/>
        <v>0.59592031717776051</v>
      </c>
      <c r="AE30" s="17">
        <f t="shared" si="18"/>
        <v>0.59864417526650882</v>
      </c>
    </row>
    <row r="31" spans="2:31" x14ac:dyDescent="0.25">
      <c r="B31" s="281"/>
      <c r="C31" s="277" t="s">
        <v>31</v>
      </c>
      <c r="D31" s="274"/>
      <c r="E31" s="17">
        <f t="shared" ref="E31:P31" si="19">IFERROR(E26/E$7,"")</f>
        <v>1.4215341564100569E-3</v>
      </c>
      <c r="F31" s="17">
        <f t="shared" si="19"/>
        <v>4.0745908383199815E-3</v>
      </c>
      <c r="G31" s="17">
        <f t="shared" si="19"/>
        <v>4.1584217314700527E-3</v>
      </c>
      <c r="H31" s="17">
        <f t="shared" si="19"/>
        <v>1.4799022654280758E-2</v>
      </c>
      <c r="I31" s="17">
        <f t="shared" si="19"/>
        <v>3.3387815200867773E-3</v>
      </c>
      <c r="J31" s="17">
        <f t="shared" si="19"/>
        <v>6.5324224738438257E-4</v>
      </c>
      <c r="K31" s="17">
        <f t="shared" si="19"/>
        <v>1.5117160082912015E-3</v>
      </c>
      <c r="L31" s="17">
        <f t="shared" si="19"/>
        <v>1.5040446726438182E-3</v>
      </c>
      <c r="M31" s="17">
        <f t="shared" si="19"/>
        <v>1.1858337625476837E-3</v>
      </c>
      <c r="N31" s="17">
        <f t="shared" si="19"/>
        <v>5.7149542557009955E-4</v>
      </c>
      <c r="O31" s="17">
        <f t="shared" si="19"/>
        <v>6.7062695772160256E-4</v>
      </c>
      <c r="P31" s="17">
        <f t="shared" si="19"/>
        <v>1.2094208493007397E-3</v>
      </c>
      <c r="R31" s="281"/>
      <c r="S31" s="15" t="s">
        <v>31</v>
      </c>
      <c r="T31" s="17">
        <f t="shared" ref="T31:AE31" si="20">IFERROR(T26/T$7,"")</f>
        <v>1.5460499700104768E-2</v>
      </c>
      <c r="U31" s="17">
        <f t="shared" si="20"/>
        <v>3.9720719215988543E-3</v>
      </c>
      <c r="V31" s="17">
        <f t="shared" si="20"/>
        <v>3.5671460522649855E-3</v>
      </c>
      <c r="W31" s="17">
        <f t="shared" si="20"/>
        <v>3.6576265099521796E-3</v>
      </c>
      <c r="X31" s="17">
        <f t="shared" si="20"/>
        <v>1.7419348168069954E-3</v>
      </c>
      <c r="Y31" s="17">
        <f t="shared" si="20"/>
        <v>9.4434754217279299E-4</v>
      </c>
      <c r="Z31" s="17">
        <f t="shared" si="20"/>
        <v>4.2880535770147077E-3</v>
      </c>
      <c r="AA31" s="17">
        <f t="shared" si="20"/>
        <v>5.370215542236872E-3</v>
      </c>
      <c r="AB31" s="17">
        <f t="shared" si="20"/>
        <v>1.1503443508724585E-3</v>
      </c>
      <c r="AC31" s="17">
        <f t="shared" si="20"/>
        <v>1.6869192183041712E-3</v>
      </c>
      <c r="AD31" s="17">
        <f t="shared" si="20"/>
        <v>1.4320861262888229E-3</v>
      </c>
      <c r="AE31" s="17">
        <f t="shared" si="20"/>
        <v>3.7701021635045753E-3</v>
      </c>
    </row>
    <row r="32" spans="2:31" x14ac:dyDescent="0.25">
      <c r="B32" s="283"/>
      <c r="C32" s="277" t="s">
        <v>32</v>
      </c>
      <c r="D32" s="274"/>
      <c r="E32" s="17">
        <f t="shared" ref="E32:P32" si="21">IFERROR(E27/E$7,"")</f>
        <v>6.6143033261680501E-2</v>
      </c>
      <c r="F32" s="17">
        <f t="shared" si="21"/>
        <v>5.4337811710225288E-2</v>
      </c>
      <c r="G32" s="17">
        <f t="shared" si="21"/>
        <v>3.4978746819585127E-2</v>
      </c>
      <c r="H32" s="17">
        <f t="shared" si="21"/>
        <v>4.766731673814828E-2</v>
      </c>
      <c r="I32" s="17">
        <f t="shared" si="21"/>
        <v>2.4165389971031171E-2</v>
      </c>
      <c r="J32" s="17">
        <f t="shared" si="21"/>
        <v>2.5290525907883832E-2</v>
      </c>
      <c r="K32" s="17">
        <f t="shared" si="21"/>
        <v>4.2482262005175214E-2</v>
      </c>
      <c r="L32" s="17">
        <f t="shared" si="21"/>
        <v>3.3034387151247693E-2</v>
      </c>
      <c r="M32" s="17">
        <f t="shared" si="21"/>
        <v>3.477772109044959E-2</v>
      </c>
      <c r="N32" s="17">
        <f t="shared" si="21"/>
        <v>2.1004121358878282E-2</v>
      </c>
      <c r="O32" s="17">
        <f t="shared" si="21"/>
        <v>2.699265787845561E-2</v>
      </c>
      <c r="P32" s="17">
        <f t="shared" si="21"/>
        <v>4.6118136706145466E-2</v>
      </c>
      <c r="R32" s="283"/>
      <c r="S32" s="15" t="s">
        <v>32</v>
      </c>
      <c r="T32" s="17">
        <f t="shared" ref="T32:AE32" si="22">IFERROR(T27/T$7,"")</f>
        <v>5.0055307049391103E-2</v>
      </c>
      <c r="U32" s="17">
        <f t="shared" si="22"/>
        <v>6.1738506045218092E-2</v>
      </c>
      <c r="V32" s="17">
        <f t="shared" si="22"/>
        <v>3.6662317322856595E-2</v>
      </c>
      <c r="W32" s="17">
        <f t="shared" si="22"/>
        <v>4.2002126314588231E-2</v>
      </c>
      <c r="X32" s="17">
        <f t="shared" si="22"/>
        <v>2.7279866466691425E-2</v>
      </c>
      <c r="Y32" s="17">
        <f t="shared" si="22"/>
        <v>3.6660570378871923E-2</v>
      </c>
      <c r="Z32" s="17">
        <f t="shared" si="22"/>
        <v>4.154116136476043E-2</v>
      </c>
      <c r="AA32" s="17">
        <f t="shared" si="22"/>
        <v>4.4614194269197702E-2</v>
      </c>
      <c r="AB32" s="17">
        <f t="shared" si="22"/>
        <v>3.4995607882519486E-2</v>
      </c>
      <c r="AC32" s="17">
        <f t="shared" si="22"/>
        <v>2.2021472431263522E-2</v>
      </c>
      <c r="AD32" s="17">
        <f t="shared" si="22"/>
        <v>3.5500854272885421E-2</v>
      </c>
      <c r="AE32" s="17">
        <f t="shared" si="22"/>
        <v>4.3232768349491676E-2</v>
      </c>
    </row>
    <row r="33" spans="2:31" x14ac:dyDescent="0.25">
      <c r="R33" s="1"/>
      <c r="S33" s="1"/>
      <c r="T33" s="1"/>
      <c r="U33" s="1"/>
      <c r="V33" s="1"/>
      <c r="W33" s="1"/>
      <c r="X33" s="1"/>
      <c r="Y33" s="1"/>
      <c r="Z33" s="1"/>
      <c r="AA33" s="1"/>
      <c r="AB33" s="1"/>
      <c r="AC33" s="1"/>
      <c r="AD33" s="1"/>
      <c r="AE33" s="1"/>
    </row>
    <row r="34" spans="2:31" ht="17.5" customHeight="1" x14ac:dyDescent="0.25">
      <c r="B34" s="272" t="s">
        <v>34</v>
      </c>
      <c r="C34" s="273"/>
      <c r="D34" s="273"/>
      <c r="E34" s="273"/>
      <c r="F34" s="273"/>
      <c r="G34" s="273"/>
      <c r="H34" s="273"/>
      <c r="I34" s="273"/>
      <c r="J34" s="273"/>
      <c r="K34" s="273"/>
      <c r="L34" s="273"/>
      <c r="M34" s="273"/>
      <c r="N34" s="273"/>
      <c r="O34" s="273"/>
      <c r="P34" s="274"/>
      <c r="R34" s="275" t="s">
        <v>35</v>
      </c>
      <c r="S34" s="273"/>
      <c r="T34" s="273"/>
      <c r="U34" s="273"/>
      <c r="V34" s="273"/>
      <c r="W34" s="273"/>
      <c r="X34" s="273"/>
      <c r="Y34" s="273"/>
      <c r="Z34" s="273"/>
      <c r="AA34" s="273"/>
      <c r="AB34" s="273"/>
      <c r="AC34" s="273"/>
      <c r="AD34" s="273"/>
      <c r="AE34" s="274"/>
    </row>
    <row r="35" spans="2:31" ht="16.25" customHeight="1" x14ac:dyDescent="0.25">
      <c r="B35" s="282"/>
      <c r="C35" s="273"/>
      <c r="D35" s="274"/>
      <c r="E35" s="10" t="s">
        <v>4</v>
      </c>
      <c r="F35" s="10" t="s">
        <v>5</v>
      </c>
      <c r="G35" s="10" t="s">
        <v>6</v>
      </c>
      <c r="H35" s="10" t="s">
        <v>7</v>
      </c>
      <c r="I35" s="10" t="s">
        <v>8</v>
      </c>
      <c r="J35" s="10" t="s">
        <v>9</v>
      </c>
      <c r="K35" s="10" t="s">
        <v>10</v>
      </c>
      <c r="L35" s="10" t="s">
        <v>11</v>
      </c>
      <c r="M35" s="10" t="s">
        <v>12</v>
      </c>
      <c r="N35" s="10" t="s">
        <v>13</v>
      </c>
      <c r="O35" s="10" t="s">
        <v>14</v>
      </c>
      <c r="P35" s="10" t="s">
        <v>15</v>
      </c>
      <c r="R35" s="11"/>
      <c r="S35" s="11"/>
      <c r="T35" s="11" t="s">
        <v>4</v>
      </c>
      <c r="U35" s="11" t="s">
        <v>5</v>
      </c>
      <c r="V35" s="11" t="s">
        <v>6</v>
      </c>
      <c r="W35" s="11" t="s">
        <v>7</v>
      </c>
      <c r="X35" s="11" t="s">
        <v>8</v>
      </c>
      <c r="Y35" s="11" t="s">
        <v>9</v>
      </c>
      <c r="Z35" s="11" t="s">
        <v>10</v>
      </c>
      <c r="AA35" s="11" t="s">
        <v>11</v>
      </c>
      <c r="AB35" s="11" t="s">
        <v>12</v>
      </c>
      <c r="AC35" s="11" t="s">
        <v>13</v>
      </c>
      <c r="AD35" s="11" t="s">
        <v>14</v>
      </c>
      <c r="AE35" s="11" t="s">
        <v>15</v>
      </c>
    </row>
    <row r="36" spans="2:31" x14ac:dyDescent="0.25">
      <c r="B36" s="277" t="s">
        <v>16</v>
      </c>
      <c r="C36" s="277" t="s">
        <v>28</v>
      </c>
      <c r="D36" s="274"/>
      <c r="E36" s="21">
        <f>IFERROR(dat_nespresso_shop_overview!BC14,"")</f>
        <v>2985</v>
      </c>
      <c r="F36" s="21">
        <f>IFERROR(dat_nespresso_shop_overview!BC15,"")</f>
        <v>3201</v>
      </c>
      <c r="G36" s="21">
        <f>IFERROR(dat_nespresso_shop_overview!BC16,"")</f>
        <v>5117</v>
      </c>
      <c r="H36" s="21">
        <f>IFERROR(dat_nespresso_shop_overview!BC17,"")</f>
        <v>3994</v>
      </c>
      <c r="I36" s="21">
        <f>IFERROR(dat_nespresso_shop_overview!BC18,"")</f>
        <v>8969</v>
      </c>
      <c r="J36" s="21">
        <f>IFERROR(dat_nespresso_shop_overview!BC19,"")</f>
        <v>11085</v>
      </c>
      <c r="K36" s="21">
        <f>IFERROR(dat_nespresso_shop_overview!BC20,"")</f>
        <v>2215</v>
      </c>
      <c r="L36" s="21">
        <f>IFERROR(dat_nespresso_shop_overview!BC21,"")</f>
        <v>3079</v>
      </c>
      <c r="M36" s="21">
        <f>IFERROR(dat_nespresso_shop_overview!BC22,"")</f>
        <v>3075</v>
      </c>
      <c r="N36" s="21">
        <f>IFERROR(dat_nespresso_shop_overview!BC23,"")</f>
        <v>10240</v>
      </c>
      <c r="O36" s="21">
        <f>IFERROR(dat_nespresso_shop_overview!BC24,"")</f>
        <v>11636</v>
      </c>
      <c r="P36" s="21">
        <f>IFERROR(dat_nespresso_shop_overview!BC25,"")</f>
        <v>3003</v>
      </c>
      <c r="R36" s="284" t="s">
        <v>16</v>
      </c>
      <c r="S36" s="15" t="s">
        <v>28</v>
      </c>
      <c r="T36" s="16">
        <v>5056</v>
      </c>
      <c r="U36" s="16">
        <v>3396</v>
      </c>
      <c r="V36" s="16">
        <v>6729</v>
      </c>
      <c r="W36" s="16">
        <v>2751</v>
      </c>
      <c r="X36" s="16">
        <v>10629</v>
      </c>
      <c r="Y36" s="16">
        <v>14417</v>
      </c>
      <c r="Z36" s="16">
        <v>2632</v>
      </c>
      <c r="AA36" s="16">
        <v>4254</v>
      </c>
      <c r="AB36" s="16">
        <v>7585</v>
      </c>
      <c r="AC36" s="16">
        <v>13923</v>
      </c>
      <c r="AD36" s="16">
        <v>15603</v>
      </c>
      <c r="AE36" s="16">
        <v>6954</v>
      </c>
    </row>
    <row r="37" spans="2:31" x14ac:dyDescent="0.25">
      <c r="B37" s="281"/>
      <c r="C37" s="277" t="s">
        <v>29</v>
      </c>
      <c r="D37" s="274"/>
      <c r="E37" s="21">
        <f>IFERROR(dat_nespresso_shop_overview!BD14,"")</f>
        <v>13967</v>
      </c>
      <c r="F37" s="21">
        <f>IFERROR(dat_nespresso_shop_overview!BD15,"")</f>
        <v>18068</v>
      </c>
      <c r="G37" s="21">
        <f>IFERROR(dat_nespresso_shop_overview!BD16,"")</f>
        <v>35243</v>
      </c>
      <c r="H37" s="21">
        <f>IFERROR(dat_nespresso_shop_overview!BD17,"")</f>
        <v>19990</v>
      </c>
      <c r="I37" s="21">
        <f>IFERROR(dat_nespresso_shop_overview!BD18,"")</f>
        <v>46966</v>
      </c>
      <c r="J37" s="21">
        <f>IFERROR(dat_nespresso_shop_overview!BD19,"")</f>
        <v>50717</v>
      </c>
      <c r="K37" s="21">
        <f>IFERROR(dat_nespresso_shop_overview!BD20,"")</f>
        <v>14732</v>
      </c>
      <c r="L37" s="21">
        <f>IFERROR(dat_nespresso_shop_overview!BD21,"")</f>
        <v>21569</v>
      </c>
      <c r="M37" s="21">
        <f>IFERROR(dat_nespresso_shop_overview!BD22,"")</f>
        <v>22475</v>
      </c>
      <c r="N37" s="21">
        <f>IFERROR(dat_nespresso_shop_overview!BD23,"")</f>
        <v>52710</v>
      </c>
      <c r="O37" s="21">
        <f>IFERROR(dat_nespresso_shop_overview!BD24,"")</f>
        <v>51123</v>
      </c>
      <c r="P37" s="21">
        <f>IFERROR(dat_nespresso_shop_overview!BD25,"")</f>
        <v>17826</v>
      </c>
      <c r="R37" s="281"/>
      <c r="S37" s="15" t="s">
        <v>29</v>
      </c>
      <c r="T37" s="16">
        <v>27656</v>
      </c>
      <c r="U37" s="16">
        <v>23426</v>
      </c>
      <c r="V37" s="16">
        <v>49826</v>
      </c>
      <c r="W37" s="16">
        <v>24746</v>
      </c>
      <c r="X37" s="16">
        <v>57958</v>
      </c>
      <c r="Y37" s="16">
        <v>59632</v>
      </c>
      <c r="Z37" s="16">
        <v>20692</v>
      </c>
      <c r="AA37" s="16">
        <v>22726</v>
      </c>
      <c r="AB37" s="16">
        <v>34949</v>
      </c>
      <c r="AC37" s="16">
        <v>70735</v>
      </c>
      <c r="AD37" s="16">
        <v>67891</v>
      </c>
      <c r="AE37" s="16">
        <v>32102</v>
      </c>
    </row>
    <row r="38" spans="2:31" x14ac:dyDescent="0.25">
      <c r="B38" s="281"/>
      <c r="C38" s="277" t="s">
        <v>30</v>
      </c>
      <c r="D38" s="274"/>
      <c r="E38" s="21">
        <f>IFERROR(dat_nespresso_shop_overview!BE14,"")</f>
        <v>13886</v>
      </c>
      <c r="F38" s="21">
        <f>IFERROR(dat_nespresso_shop_overview!BE15,"")</f>
        <v>17985</v>
      </c>
      <c r="G38" s="21">
        <f>IFERROR(dat_nespresso_shop_overview!BE16,"")</f>
        <v>35164</v>
      </c>
      <c r="H38" s="21">
        <f>IFERROR(dat_nespresso_shop_overview!BE17,"")</f>
        <v>19896</v>
      </c>
      <c r="I38" s="21">
        <f>IFERROR(dat_nespresso_shop_overview!BE18,"")</f>
        <v>46884</v>
      </c>
      <c r="J38" s="21">
        <f>IFERROR(dat_nespresso_shop_overview!BE19,"")</f>
        <v>50630</v>
      </c>
      <c r="K38" s="21">
        <f>IFERROR(dat_nespresso_shop_overview!BE20,"")</f>
        <v>14681</v>
      </c>
      <c r="L38" s="21">
        <f>IFERROR(dat_nespresso_shop_overview!BE21,"")</f>
        <v>21487</v>
      </c>
      <c r="M38" s="21">
        <f>IFERROR(dat_nespresso_shop_overview!BE22,"")</f>
        <v>22401</v>
      </c>
      <c r="N38" s="21">
        <f>IFERROR(dat_nespresso_shop_overview!BE23,"")</f>
        <v>52621</v>
      </c>
      <c r="O38" s="21">
        <f>IFERROR(dat_nespresso_shop_overview!BE24,"")</f>
        <v>51009</v>
      </c>
      <c r="P38" s="21">
        <f>IFERROR(dat_nespresso_shop_overview!BE25,"")</f>
        <v>17756</v>
      </c>
      <c r="R38" s="281"/>
      <c r="S38" s="15" t="s">
        <v>30</v>
      </c>
      <c r="T38" s="16">
        <v>26951</v>
      </c>
      <c r="U38" s="16">
        <v>23326</v>
      </c>
      <c r="V38" s="16">
        <v>49661</v>
      </c>
      <c r="W38" s="16">
        <v>24669</v>
      </c>
      <c r="X38" s="16">
        <v>57852</v>
      </c>
      <c r="Y38" s="16">
        <v>59479</v>
      </c>
      <c r="Z38" s="16">
        <v>20602</v>
      </c>
      <c r="AA38" s="16">
        <v>22648</v>
      </c>
      <c r="AB38" s="16">
        <v>34845</v>
      </c>
      <c r="AC38" s="16">
        <v>70650</v>
      </c>
      <c r="AD38" s="16">
        <v>67739</v>
      </c>
      <c r="AE38" s="16">
        <v>32010</v>
      </c>
    </row>
    <row r="39" spans="2:31" x14ac:dyDescent="0.25">
      <c r="B39" s="283"/>
      <c r="C39" s="277" t="s">
        <v>31</v>
      </c>
      <c r="D39" s="274"/>
      <c r="E39" s="19">
        <f t="shared" ref="E39:P39" si="23">E37-E38</f>
        <v>81</v>
      </c>
      <c r="F39" s="19">
        <f t="shared" si="23"/>
        <v>83</v>
      </c>
      <c r="G39" s="19">
        <f t="shared" si="23"/>
        <v>79</v>
      </c>
      <c r="H39" s="19">
        <f t="shared" si="23"/>
        <v>94</v>
      </c>
      <c r="I39" s="19">
        <f t="shared" si="23"/>
        <v>82</v>
      </c>
      <c r="J39" s="19">
        <f t="shared" si="23"/>
        <v>87</v>
      </c>
      <c r="K39" s="19">
        <f t="shared" si="23"/>
        <v>51</v>
      </c>
      <c r="L39" s="19">
        <f t="shared" si="23"/>
        <v>82</v>
      </c>
      <c r="M39" s="19">
        <f t="shared" si="23"/>
        <v>74</v>
      </c>
      <c r="N39" s="19">
        <f t="shared" si="23"/>
        <v>89</v>
      </c>
      <c r="O39" s="19">
        <f t="shared" si="23"/>
        <v>114</v>
      </c>
      <c r="P39" s="19">
        <f t="shared" si="23"/>
        <v>70</v>
      </c>
      <c r="R39" s="283"/>
      <c r="S39" s="15" t="s">
        <v>31</v>
      </c>
      <c r="T39" s="16">
        <v>705</v>
      </c>
      <c r="U39" s="16">
        <v>100</v>
      </c>
      <c r="V39" s="16">
        <v>165</v>
      </c>
      <c r="W39" s="16">
        <v>77</v>
      </c>
      <c r="X39" s="16">
        <v>106</v>
      </c>
      <c r="Y39" s="16">
        <v>153</v>
      </c>
      <c r="Z39" s="16">
        <v>90</v>
      </c>
      <c r="AA39" s="16">
        <v>78</v>
      </c>
      <c r="AB39" s="16">
        <v>104</v>
      </c>
      <c r="AC39" s="16">
        <v>85</v>
      </c>
      <c r="AD39" s="16">
        <v>152</v>
      </c>
      <c r="AE39" s="16">
        <v>92</v>
      </c>
    </row>
    <row r="40" spans="2:31" x14ac:dyDescent="0.25">
      <c r="B40" s="277" t="s">
        <v>33</v>
      </c>
      <c r="C40" s="277" t="s">
        <v>28</v>
      </c>
      <c r="D40" s="274"/>
      <c r="E40" s="17">
        <f t="shared" ref="E40:P40" si="24">IFERROR(E36/E$8,"")</f>
        <v>0.17069823297306572</v>
      </c>
      <c r="F40" s="17">
        <f t="shared" si="24"/>
        <v>0.14875917836230132</v>
      </c>
      <c r="G40" s="17">
        <f t="shared" si="24"/>
        <v>0.12772383495993811</v>
      </c>
      <c r="H40" s="17">
        <f t="shared" si="24"/>
        <v>0.16589823468328141</v>
      </c>
      <c r="I40" s="17">
        <f t="shared" si="24"/>
        <v>0.16285657218600766</v>
      </c>
      <c r="J40" s="17">
        <f t="shared" si="24"/>
        <v>0.18227111286503553</v>
      </c>
      <c r="K40" s="17">
        <f t="shared" si="24"/>
        <v>0.12950187090739007</v>
      </c>
      <c r="L40" s="17">
        <f t="shared" si="24"/>
        <v>0.12523387293581714</v>
      </c>
      <c r="M40" s="17">
        <f t="shared" si="24"/>
        <v>0.1201031129164551</v>
      </c>
      <c r="N40" s="17">
        <f t="shared" si="24"/>
        <v>0.16678067689501286</v>
      </c>
      <c r="O40" s="17">
        <f t="shared" si="24"/>
        <v>0.1897122360805413</v>
      </c>
      <c r="P40" s="17">
        <f t="shared" si="24"/>
        <v>0.14392523364485982</v>
      </c>
      <c r="R40" s="284" t="s">
        <v>33</v>
      </c>
      <c r="S40" s="15" t="s">
        <v>28</v>
      </c>
      <c r="T40" s="17">
        <f t="shared" ref="T40:AE40" si="25">IFERROR(T36/T$8,"")</f>
        <v>0.15583775120207127</v>
      </c>
      <c r="U40" s="17">
        <f t="shared" si="25"/>
        <v>0.12384217052002042</v>
      </c>
      <c r="V40" s="17">
        <f t="shared" si="25"/>
        <v>0.12166853505948722</v>
      </c>
      <c r="W40" s="17">
        <f t="shared" si="25"/>
        <v>0.10137824292452831</v>
      </c>
      <c r="X40" s="17">
        <f t="shared" si="25"/>
        <v>0.15578648062379083</v>
      </c>
      <c r="Y40" s="17">
        <f t="shared" si="25"/>
        <v>0.20425308851864446</v>
      </c>
      <c r="Z40" s="17">
        <f t="shared" si="25"/>
        <v>0.11194283769989792</v>
      </c>
      <c r="AA40" s="17">
        <f t="shared" si="25"/>
        <v>0.15710750821730621</v>
      </c>
      <c r="AB40" s="17">
        <f t="shared" si="25"/>
        <v>0.17643227652299318</v>
      </c>
      <c r="AC40" s="17">
        <f t="shared" si="25"/>
        <v>0.1621952213977004</v>
      </c>
      <c r="AD40" s="17">
        <f t="shared" si="25"/>
        <v>0.19154186103609133</v>
      </c>
      <c r="AE40" s="17">
        <f t="shared" si="25"/>
        <v>0.18089589511471826</v>
      </c>
    </row>
    <row r="41" spans="2:31" x14ac:dyDescent="0.25">
      <c r="B41" s="281"/>
      <c r="C41" s="277" t="s">
        <v>29</v>
      </c>
      <c r="D41" s="274"/>
      <c r="E41" s="17">
        <f t="shared" ref="E41:P41" si="26">IFERROR(E37/E$8,"")</f>
        <v>0.79870761136844515</v>
      </c>
      <c r="F41" s="17">
        <f t="shared" si="26"/>
        <v>0.83966911422994706</v>
      </c>
      <c r="G41" s="17">
        <f t="shared" si="26"/>
        <v>0.87968948905473876</v>
      </c>
      <c r="H41" s="17">
        <f t="shared" si="26"/>
        <v>0.83032191069574246</v>
      </c>
      <c r="I41" s="17">
        <f t="shared" si="26"/>
        <v>0.85279538067655658</v>
      </c>
      <c r="J41" s="17">
        <f t="shared" si="26"/>
        <v>0.83394172586161541</v>
      </c>
      <c r="K41" s="17">
        <f t="shared" si="26"/>
        <v>0.86131898971000931</v>
      </c>
      <c r="L41" s="17">
        <f t="shared" si="26"/>
        <v>0.87728788741560237</v>
      </c>
      <c r="M41" s="17">
        <f t="shared" si="26"/>
        <v>0.87782681716986288</v>
      </c>
      <c r="N41" s="17">
        <f t="shared" si="26"/>
        <v>0.8584970194468875</v>
      </c>
      <c r="O41" s="17">
        <f t="shared" si="26"/>
        <v>0.83350452433357791</v>
      </c>
      <c r="P41" s="17">
        <f t="shared" si="26"/>
        <v>0.85434938892882817</v>
      </c>
      <c r="R41" s="281"/>
      <c r="S41" s="15" t="s">
        <v>29</v>
      </c>
      <c r="T41" s="17">
        <f t="shared" ref="T41:AE41" si="27">IFERROR(T37/T$8,"")</f>
        <v>0.85242263592651957</v>
      </c>
      <c r="U41" s="17">
        <f t="shared" si="27"/>
        <v>0.85427758733863324</v>
      </c>
      <c r="V41" s="17">
        <f t="shared" si="27"/>
        <v>0.90091490977470801</v>
      </c>
      <c r="W41" s="17">
        <f t="shared" si="27"/>
        <v>0.91192511792452835</v>
      </c>
      <c r="X41" s="17">
        <f t="shared" si="27"/>
        <v>0.84947528873776157</v>
      </c>
      <c r="Y41" s="17">
        <f t="shared" si="27"/>
        <v>0.84483735690808115</v>
      </c>
      <c r="Z41" s="17">
        <f t="shared" si="27"/>
        <v>0.88006124532153795</v>
      </c>
      <c r="AA41" s="17">
        <f t="shared" si="27"/>
        <v>0.83931011559626256</v>
      </c>
      <c r="AB41" s="17">
        <f t="shared" si="27"/>
        <v>0.81293759158893719</v>
      </c>
      <c r="AC41" s="17">
        <f t="shared" si="27"/>
        <v>0.82402348528092639</v>
      </c>
      <c r="AD41" s="17">
        <f t="shared" si="27"/>
        <v>0.83342744905475075</v>
      </c>
      <c r="AE41" s="17">
        <f t="shared" si="27"/>
        <v>0.83507621871910931</v>
      </c>
    </row>
    <row r="42" spans="2:31" x14ac:dyDescent="0.25">
      <c r="B42" s="281"/>
      <c r="C42" s="277" t="s">
        <v>30</v>
      </c>
      <c r="D42" s="274"/>
      <c r="E42" s="17">
        <f t="shared" ref="E42:P42" si="28">IFERROR(E38/E$8,"")</f>
        <v>0.79407559901641223</v>
      </c>
      <c r="F42" s="17">
        <f t="shared" si="28"/>
        <v>0.83581187842736315</v>
      </c>
      <c r="G42" s="17">
        <f t="shared" si="28"/>
        <v>0.87771759478820854</v>
      </c>
      <c r="H42" s="17">
        <f t="shared" si="28"/>
        <v>0.826417445482866</v>
      </c>
      <c r="I42" s="17">
        <f t="shared" si="28"/>
        <v>0.8513064478056398</v>
      </c>
      <c r="J42" s="17">
        <f t="shared" si="28"/>
        <v>0.83251118126808732</v>
      </c>
      <c r="K42" s="17">
        <f t="shared" si="28"/>
        <v>0.85833723105706272</v>
      </c>
      <c r="L42" s="17">
        <f t="shared" si="28"/>
        <v>0.87395265598307981</v>
      </c>
      <c r="M42" s="17">
        <f t="shared" si="28"/>
        <v>0.874936530875288</v>
      </c>
      <c r="N42" s="17">
        <f t="shared" si="28"/>
        <v>0.85704746082934302</v>
      </c>
      <c r="O42" s="17">
        <f t="shared" si="28"/>
        <v>0.83164587918806554</v>
      </c>
      <c r="P42" s="17">
        <f t="shared" si="28"/>
        <v>0.850994488377666</v>
      </c>
      <c r="R42" s="281"/>
      <c r="S42" s="15" t="s">
        <v>30</v>
      </c>
      <c r="T42" s="17">
        <f t="shared" ref="T42:AE42" si="29">IFERROR(T38/T$8,"")</f>
        <v>0.83069288620392057</v>
      </c>
      <c r="U42" s="17">
        <f t="shared" si="29"/>
        <v>0.8506308803150755</v>
      </c>
      <c r="V42" s="17">
        <f t="shared" si="29"/>
        <v>0.89793150833544277</v>
      </c>
      <c r="W42" s="17">
        <f t="shared" si="29"/>
        <v>0.90908755896226412</v>
      </c>
      <c r="X42" s="17">
        <f t="shared" si="29"/>
        <v>0.84792167438588262</v>
      </c>
      <c r="Y42" s="17">
        <f t="shared" si="29"/>
        <v>0.84266972685027763</v>
      </c>
      <c r="Z42" s="17">
        <f t="shared" si="29"/>
        <v>0.87623341272541677</v>
      </c>
      <c r="AA42" s="17">
        <f t="shared" si="29"/>
        <v>0.83642944196181257</v>
      </c>
      <c r="AB42" s="17">
        <f t="shared" si="29"/>
        <v>0.8105184806122212</v>
      </c>
      <c r="AC42" s="17">
        <f t="shared" si="29"/>
        <v>0.82303328246409058</v>
      </c>
      <c r="AD42" s="17">
        <f t="shared" si="29"/>
        <v>0.83156150257795236</v>
      </c>
      <c r="AE42" s="17">
        <f t="shared" si="29"/>
        <v>0.83268300296550646</v>
      </c>
    </row>
    <row r="43" spans="2:31" x14ac:dyDescent="0.25">
      <c r="B43" s="283"/>
      <c r="C43" s="277" t="s">
        <v>31</v>
      </c>
      <c r="D43" s="274"/>
      <c r="E43" s="17">
        <f t="shared" ref="E43:P43" si="30">IFERROR(E39/E$8,"")</f>
        <v>4.6320123520329388E-3</v>
      </c>
      <c r="F43" s="17">
        <f t="shared" si="30"/>
        <v>3.8572358025838831E-3</v>
      </c>
      <c r="G43" s="17">
        <f t="shared" si="30"/>
        <v>1.9718942665302151E-3</v>
      </c>
      <c r="H43" s="17">
        <f t="shared" si="30"/>
        <v>3.9044652128764276E-3</v>
      </c>
      <c r="I43" s="17">
        <f t="shared" si="30"/>
        <v>1.4889328709167832E-3</v>
      </c>
      <c r="J43" s="17">
        <f t="shared" si="30"/>
        <v>1.430544593528019E-3</v>
      </c>
      <c r="K43" s="17">
        <f t="shared" si="30"/>
        <v>2.9817586529466791E-3</v>
      </c>
      <c r="L43" s="17">
        <f t="shared" si="30"/>
        <v>3.3352314325225739E-3</v>
      </c>
      <c r="M43" s="17">
        <f t="shared" si="30"/>
        <v>2.8902862945748547E-3</v>
      </c>
      <c r="N43" s="17">
        <f t="shared" si="30"/>
        <v>1.4495586175445453E-3</v>
      </c>
      <c r="O43" s="17">
        <f t="shared" si="30"/>
        <v>1.8586451455123501E-3</v>
      </c>
      <c r="P43" s="17">
        <f t="shared" si="30"/>
        <v>3.3549005511622335E-3</v>
      </c>
      <c r="R43" s="283"/>
      <c r="S43" s="15" t="s">
        <v>31</v>
      </c>
      <c r="T43" s="17">
        <f t="shared" ref="T43:AE43" si="31">IFERROR(T39/T$8,"")</f>
        <v>2.1729749722598939E-2</v>
      </c>
      <c r="U43" s="17">
        <f t="shared" si="31"/>
        <v>3.6467070235577273E-3</v>
      </c>
      <c r="V43" s="17">
        <f t="shared" si="31"/>
        <v>2.983401439265179E-3</v>
      </c>
      <c r="W43" s="17">
        <f t="shared" si="31"/>
        <v>2.8375589622641507E-3</v>
      </c>
      <c r="X43" s="17">
        <f t="shared" si="31"/>
        <v>1.5536143518789939E-3</v>
      </c>
      <c r="Y43" s="17">
        <f t="shared" si="31"/>
        <v>2.167630057803468E-3</v>
      </c>
      <c r="Z43" s="17">
        <f t="shared" si="31"/>
        <v>3.8278325961211297E-3</v>
      </c>
      <c r="AA43" s="17">
        <f t="shared" si="31"/>
        <v>2.8806736344499022E-3</v>
      </c>
      <c r="AB43" s="17">
        <f t="shared" si="31"/>
        <v>2.4191109767160569E-3</v>
      </c>
      <c r="AC43" s="17">
        <f t="shared" si="31"/>
        <v>9.9020281683577776E-4</v>
      </c>
      <c r="AD43" s="17">
        <f t="shared" si="31"/>
        <v>1.8659464767984287E-3</v>
      </c>
      <c r="AE43" s="17">
        <f t="shared" si="31"/>
        <v>2.3932157536028301E-3</v>
      </c>
    </row>
    <row r="44" spans="2:31" x14ac:dyDescent="0.25">
      <c r="R44" s="1"/>
      <c r="S44" s="1"/>
      <c r="T44" s="1"/>
      <c r="U44" s="1"/>
      <c r="V44" s="1"/>
      <c r="W44" s="1"/>
      <c r="X44" s="1"/>
      <c r="Y44" s="1"/>
      <c r="Z44" s="1"/>
      <c r="AA44" s="1"/>
      <c r="AB44" s="1"/>
      <c r="AC44" s="1"/>
      <c r="AD44" s="1"/>
      <c r="AE44" s="1"/>
    </row>
    <row r="45" spans="2:31" ht="17.5" customHeight="1" x14ac:dyDescent="0.25">
      <c r="B45" s="272" t="s">
        <v>36</v>
      </c>
      <c r="C45" s="273"/>
      <c r="D45" s="273"/>
      <c r="E45" s="273"/>
      <c r="F45" s="273"/>
      <c r="G45" s="273"/>
      <c r="H45" s="273"/>
      <c r="I45" s="273"/>
      <c r="J45" s="273"/>
      <c r="K45" s="273"/>
      <c r="L45" s="273"/>
      <c r="M45" s="273"/>
      <c r="N45" s="273"/>
      <c r="O45" s="273"/>
      <c r="P45" s="274"/>
      <c r="R45" s="275" t="s">
        <v>37</v>
      </c>
      <c r="S45" s="273"/>
      <c r="T45" s="273"/>
      <c r="U45" s="273"/>
      <c r="V45" s="273"/>
      <c r="W45" s="273"/>
      <c r="X45" s="273"/>
      <c r="Y45" s="273"/>
      <c r="Z45" s="273"/>
      <c r="AA45" s="273"/>
      <c r="AB45" s="273"/>
      <c r="AC45" s="273"/>
      <c r="AD45" s="273"/>
      <c r="AE45" s="274"/>
    </row>
    <row r="46" spans="2:31" ht="16.25" customHeight="1" x14ac:dyDescent="0.25">
      <c r="B46" s="282"/>
      <c r="C46" s="273"/>
      <c r="D46" s="274"/>
      <c r="E46" s="10" t="s">
        <v>4</v>
      </c>
      <c r="F46" s="10" t="s">
        <v>5</v>
      </c>
      <c r="G46" s="10" t="s">
        <v>6</v>
      </c>
      <c r="H46" s="10" t="s">
        <v>7</v>
      </c>
      <c r="I46" s="10" t="s">
        <v>8</v>
      </c>
      <c r="J46" s="10" t="s">
        <v>9</v>
      </c>
      <c r="K46" s="10" t="s">
        <v>10</v>
      </c>
      <c r="L46" s="10" t="s">
        <v>11</v>
      </c>
      <c r="M46" s="10" t="s">
        <v>12</v>
      </c>
      <c r="N46" s="10" t="s">
        <v>13</v>
      </c>
      <c r="O46" s="10" t="s">
        <v>14</v>
      </c>
      <c r="P46" s="10" t="s">
        <v>15</v>
      </c>
      <c r="R46" s="11"/>
      <c r="S46" s="11"/>
      <c r="T46" s="11" t="s">
        <v>4</v>
      </c>
      <c r="U46" s="11" t="s">
        <v>5</v>
      </c>
      <c r="V46" s="11" t="s">
        <v>6</v>
      </c>
      <c r="W46" s="11" t="s">
        <v>7</v>
      </c>
      <c r="X46" s="11" t="s">
        <v>8</v>
      </c>
      <c r="Y46" s="11" t="s">
        <v>9</v>
      </c>
      <c r="Z46" s="11" t="s">
        <v>10</v>
      </c>
      <c r="AA46" s="11" t="s">
        <v>11</v>
      </c>
      <c r="AB46" s="11" t="s">
        <v>12</v>
      </c>
      <c r="AC46" s="11" t="s">
        <v>13</v>
      </c>
      <c r="AD46" s="11" t="s">
        <v>14</v>
      </c>
      <c r="AE46" s="11" t="s">
        <v>15</v>
      </c>
    </row>
    <row r="47" spans="2:31" x14ac:dyDescent="0.25">
      <c r="B47" s="277" t="s">
        <v>16</v>
      </c>
      <c r="C47" s="277" t="s">
        <v>28</v>
      </c>
      <c r="D47" s="274"/>
      <c r="E47" s="19">
        <f t="shared" ref="E47:P47" si="32">IFERROR(E23/E36,"")</f>
        <v>1454.6529983249582</v>
      </c>
      <c r="F47" s="19">
        <f t="shared" si="32"/>
        <v>1467.7971908778507</v>
      </c>
      <c r="G47" s="19">
        <f t="shared" si="32"/>
        <v>1364.0732323627126</v>
      </c>
      <c r="H47" s="19">
        <f t="shared" si="32"/>
        <v>1381.9250525788684</v>
      </c>
      <c r="I47" s="19">
        <f t="shared" si="32"/>
        <v>1078.0703489798195</v>
      </c>
      <c r="J47" s="19">
        <f t="shared" si="32"/>
        <v>1214.5832873252143</v>
      </c>
      <c r="K47" s="19">
        <f t="shared" si="32"/>
        <v>1318.0609751693003</v>
      </c>
      <c r="L47" s="19">
        <f t="shared" si="32"/>
        <v>1347.8568886001949</v>
      </c>
      <c r="M47" s="19">
        <f t="shared" si="32"/>
        <v>1253.2564747967483</v>
      </c>
      <c r="N47" s="19">
        <f t="shared" si="32"/>
        <v>1139.8632314453125</v>
      </c>
      <c r="O47" s="19">
        <f t="shared" si="32"/>
        <v>1310.2204958748721</v>
      </c>
      <c r="P47" s="19">
        <f t="shared" si="32"/>
        <v>1467.4663702963703</v>
      </c>
      <c r="R47" s="284" t="s">
        <v>16</v>
      </c>
      <c r="S47" s="15" t="s">
        <v>28</v>
      </c>
      <c r="T47" s="19">
        <f t="shared" ref="T47:AE47" si="33">IFERROR(T23/T36,"")</f>
        <v>1497.9774525316457</v>
      </c>
      <c r="U47" s="19">
        <f t="shared" si="33"/>
        <v>1468.5697879858658</v>
      </c>
      <c r="V47" s="19">
        <f t="shared" si="33"/>
        <v>1206.4465745281616</v>
      </c>
      <c r="W47" s="19">
        <f t="shared" si="33"/>
        <v>1394.9269356597601</v>
      </c>
      <c r="X47" s="19">
        <f t="shared" si="33"/>
        <v>1155.9841941857183</v>
      </c>
      <c r="Y47" s="19">
        <f t="shared" si="33"/>
        <v>1325.7027120760213</v>
      </c>
      <c r="Z47" s="19">
        <f t="shared" si="33"/>
        <v>1374.4783434650456</v>
      </c>
      <c r="AA47" s="19">
        <f t="shared" si="33"/>
        <v>1231.1236483309826</v>
      </c>
      <c r="AB47" s="19">
        <f t="shared" si="33"/>
        <v>1163.5334212261041</v>
      </c>
      <c r="AC47" s="19">
        <f t="shared" si="33"/>
        <v>1168.47848883143</v>
      </c>
      <c r="AD47" s="19">
        <f t="shared" si="33"/>
        <v>1290.2396334038326</v>
      </c>
      <c r="AE47" s="19">
        <f t="shared" si="33"/>
        <v>1209.6416450963475</v>
      </c>
    </row>
    <row r="48" spans="2:31" x14ac:dyDescent="0.25">
      <c r="B48" s="281"/>
      <c r="C48" s="277" t="s">
        <v>29</v>
      </c>
      <c r="D48" s="274"/>
      <c r="E48" s="19">
        <f t="shared" ref="E48:P48" si="34">IFERROR(E24/E37,"")</f>
        <v>399.79747418916014</v>
      </c>
      <c r="F48" s="19">
        <f t="shared" si="34"/>
        <v>387.23917899048041</v>
      </c>
      <c r="G48" s="19">
        <f t="shared" si="34"/>
        <v>447.34482904406548</v>
      </c>
      <c r="H48" s="19">
        <f t="shared" si="34"/>
        <v>383.30360740370185</v>
      </c>
      <c r="I48" s="19">
        <f t="shared" si="34"/>
        <v>409.22356875186301</v>
      </c>
      <c r="J48" s="19">
        <f t="shared" si="34"/>
        <v>465.72655125500324</v>
      </c>
      <c r="K48" s="19">
        <f t="shared" si="34"/>
        <v>356.33081726853106</v>
      </c>
      <c r="L48" s="19">
        <f t="shared" si="34"/>
        <v>382.03621447447728</v>
      </c>
      <c r="M48" s="19">
        <f t="shared" si="34"/>
        <v>397.00593162619589</v>
      </c>
      <c r="N48" s="19">
        <f t="shared" si="34"/>
        <v>468.76011784269019</v>
      </c>
      <c r="O48" s="19">
        <f t="shared" si="34"/>
        <v>483.72996324986559</v>
      </c>
      <c r="P48" s="19">
        <f t="shared" si="34"/>
        <v>350.22894966346109</v>
      </c>
      <c r="R48" s="281"/>
      <c r="S48" s="15" t="s">
        <v>29</v>
      </c>
      <c r="T48" s="19">
        <f t="shared" ref="T48:AE48" si="35">IFERROR(T24/T37,"")</f>
        <v>384.148900781024</v>
      </c>
      <c r="U48" s="19">
        <f t="shared" si="35"/>
        <v>360.46004439511654</v>
      </c>
      <c r="V48" s="19">
        <f t="shared" si="35"/>
        <v>402.28633645084898</v>
      </c>
      <c r="W48" s="19">
        <f t="shared" si="35"/>
        <v>361.92507880061424</v>
      </c>
      <c r="X48" s="19">
        <f t="shared" si="35"/>
        <v>472.99801580454812</v>
      </c>
      <c r="Y48" s="19">
        <f t="shared" si="35"/>
        <v>468.47144150791519</v>
      </c>
      <c r="Z48" s="19">
        <f t="shared" si="35"/>
        <v>370.51512661898317</v>
      </c>
      <c r="AA48" s="19">
        <f t="shared" si="35"/>
        <v>376.40319457889643</v>
      </c>
      <c r="AB48" s="19">
        <f t="shared" si="35"/>
        <v>408.01802626684599</v>
      </c>
      <c r="AC48" s="19">
        <f t="shared" si="35"/>
        <v>502.37240404326008</v>
      </c>
      <c r="AD48" s="19">
        <f t="shared" si="35"/>
        <v>482.45545064883419</v>
      </c>
      <c r="AE48" s="19">
        <f t="shared" si="35"/>
        <v>445.47006417045668</v>
      </c>
    </row>
    <row r="49" spans="2:31" x14ac:dyDescent="0.25">
      <c r="B49" s="283"/>
      <c r="C49" s="277" t="s">
        <v>30</v>
      </c>
      <c r="D49" s="274"/>
      <c r="E49" s="19">
        <f t="shared" ref="E49:P49" si="36">IFERROR(E25/E38,"")</f>
        <v>401.04145290220367</v>
      </c>
      <c r="F49" s="19">
        <f t="shared" si="36"/>
        <v>386.22445354462053</v>
      </c>
      <c r="G49" s="19">
        <f t="shared" si="36"/>
        <v>445.56247895575018</v>
      </c>
      <c r="H49" s="19">
        <f t="shared" si="36"/>
        <v>374.81903151387218</v>
      </c>
      <c r="I49" s="19">
        <f t="shared" si="36"/>
        <v>407.83107584677077</v>
      </c>
      <c r="J49" s="19">
        <f t="shared" si="36"/>
        <v>466.03595042464946</v>
      </c>
      <c r="K49" s="19">
        <f t="shared" si="36"/>
        <v>356.69018050541519</v>
      </c>
      <c r="L49" s="19">
        <f t="shared" si="36"/>
        <v>382.59724810350446</v>
      </c>
      <c r="M49" s="19">
        <f t="shared" si="36"/>
        <v>397.61669778985811</v>
      </c>
      <c r="N49" s="19">
        <f t="shared" si="36"/>
        <v>469.14935906949734</v>
      </c>
      <c r="O49" s="19">
        <f t="shared" si="36"/>
        <v>484.27090483117274</v>
      </c>
      <c r="P49" s="19">
        <f t="shared" si="36"/>
        <v>350.84918957824954</v>
      </c>
      <c r="R49" s="283"/>
      <c r="S49" s="15" t="s">
        <v>30</v>
      </c>
      <c r="T49" s="19">
        <f t="shared" ref="T49:AE49" si="37">IFERROR(T25/T38,"")</f>
        <v>383.20841527216061</v>
      </c>
      <c r="U49" s="19">
        <f t="shared" si="37"/>
        <v>359.56769270342107</v>
      </c>
      <c r="V49" s="19">
        <f t="shared" si="37"/>
        <v>401.52304625359943</v>
      </c>
      <c r="W49" s="19">
        <f t="shared" si="37"/>
        <v>361.07470914913455</v>
      </c>
      <c r="X49" s="19">
        <f t="shared" si="37"/>
        <v>472.63574293023578</v>
      </c>
      <c r="Y49" s="19">
        <f t="shared" si="37"/>
        <v>468.90109114141126</v>
      </c>
      <c r="Z49" s="19">
        <f t="shared" si="37"/>
        <v>369.68323463741382</v>
      </c>
      <c r="AA49" s="19">
        <f t="shared" si="37"/>
        <v>374.27666902154715</v>
      </c>
      <c r="AB49" s="19">
        <f t="shared" si="37"/>
        <v>408.44606112785192</v>
      </c>
      <c r="AC49" s="19">
        <f t="shared" si="37"/>
        <v>501.71203113941965</v>
      </c>
      <c r="AD49" s="19">
        <f t="shared" si="37"/>
        <v>482.37880689115576</v>
      </c>
      <c r="AE49" s="19">
        <f t="shared" si="37"/>
        <v>443.95448297407063</v>
      </c>
    </row>
    <row r="50" spans="2:31" x14ac:dyDescent="0.25">
      <c r="P50" s="39">
        <f>SUM(P47:P49)</f>
        <v>2168.544509538081</v>
      </c>
      <c r="AE50" s="262">
        <f>SUM(AE47:AE49)</f>
        <v>2099.0661922408749</v>
      </c>
    </row>
    <row r="51" spans="2:31" s="5" customFormat="1" ht="23.5" customHeight="1" x14ac:dyDescent="0.25">
      <c r="B51" s="270" t="s">
        <v>38</v>
      </c>
      <c r="C51" s="271"/>
      <c r="D51" s="271"/>
      <c r="E51" s="271"/>
      <c r="F51" s="271"/>
      <c r="N51" s="6"/>
      <c r="O51" s="6"/>
      <c r="P51" s="6"/>
    </row>
    <row r="52" spans="2:31" x14ac:dyDescent="0.25">
      <c r="C52" s="2"/>
    </row>
    <row r="53" spans="2:31" ht="17.5" customHeight="1" x14ac:dyDescent="0.25">
      <c r="B53" s="272" t="s">
        <v>2</v>
      </c>
      <c r="C53" s="273"/>
      <c r="D53" s="273"/>
      <c r="E53" s="273"/>
      <c r="F53" s="273"/>
      <c r="G53" s="273"/>
      <c r="H53" s="273"/>
      <c r="I53" s="273"/>
      <c r="J53" s="273"/>
      <c r="K53" s="273"/>
      <c r="L53" s="273"/>
      <c r="M53" s="273"/>
      <c r="N53" s="273"/>
      <c r="O53" s="273"/>
      <c r="P53" s="274"/>
      <c r="R53" s="1"/>
      <c r="S53" s="275" t="s">
        <v>3</v>
      </c>
      <c r="T53" s="273"/>
      <c r="U53" s="273"/>
      <c r="V53" s="273"/>
      <c r="W53" s="273"/>
      <c r="X53" s="273"/>
      <c r="Y53" s="273"/>
      <c r="Z53" s="273"/>
      <c r="AA53" s="273"/>
      <c r="AB53" s="273"/>
      <c r="AC53" s="273"/>
      <c r="AD53" s="273"/>
      <c r="AE53" s="274"/>
    </row>
    <row r="54" spans="2:31" ht="16.25" customHeight="1" x14ac:dyDescent="0.25">
      <c r="B54" s="10"/>
      <c r="C54" s="285"/>
      <c r="D54" s="274"/>
      <c r="E54" s="10" t="s">
        <v>4</v>
      </c>
      <c r="F54" s="10" t="s">
        <v>5</v>
      </c>
      <c r="G54" s="10" t="s">
        <v>6</v>
      </c>
      <c r="H54" s="10" t="s">
        <v>7</v>
      </c>
      <c r="I54" s="10" t="s">
        <v>8</v>
      </c>
      <c r="J54" s="10" t="s">
        <v>9</v>
      </c>
      <c r="K54" s="10" t="s">
        <v>10</v>
      </c>
      <c r="L54" s="10" t="s">
        <v>11</v>
      </c>
      <c r="M54" s="10" t="s">
        <v>12</v>
      </c>
      <c r="N54" s="10" t="s">
        <v>13</v>
      </c>
      <c r="O54" s="10" t="s">
        <v>14</v>
      </c>
      <c r="P54" s="10" t="s">
        <v>15</v>
      </c>
      <c r="R54" s="1"/>
      <c r="S54" s="11"/>
      <c r="T54" s="11" t="s">
        <v>4</v>
      </c>
      <c r="U54" s="11" t="s">
        <v>5</v>
      </c>
      <c r="V54" s="11" t="s">
        <v>6</v>
      </c>
      <c r="W54" s="11" t="s">
        <v>7</v>
      </c>
      <c r="X54" s="11" t="s">
        <v>8</v>
      </c>
      <c r="Y54" s="11" t="s">
        <v>9</v>
      </c>
      <c r="Z54" s="11" t="s">
        <v>10</v>
      </c>
      <c r="AA54" s="11" t="s">
        <v>11</v>
      </c>
      <c r="AB54" s="11" t="s">
        <v>12</v>
      </c>
      <c r="AC54" s="11" t="s">
        <v>13</v>
      </c>
      <c r="AD54" s="11" t="s">
        <v>14</v>
      </c>
      <c r="AE54" s="11" t="s">
        <v>15</v>
      </c>
    </row>
    <row r="55" spans="2:31" x14ac:dyDescent="0.25">
      <c r="B55" s="277" t="s">
        <v>16</v>
      </c>
      <c r="C55" s="277" t="s">
        <v>39</v>
      </c>
      <c r="D55" s="274"/>
      <c r="E55" s="16">
        <f>IFERROR(dat_nespresso_shop_overview!W14,"")</f>
        <v>5404244.0499999998</v>
      </c>
      <c r="F55" s="16">
        <f>IFERROR(dat_nespresso_shop_overview!W15,"")</f>
        <v>6061434</v>
      </c>
      <c r="G55" s="16">
        <f>IFERROR(dat_nespresso_shop_overview!W16,"")</f>
        <v>9936747.4100000001</v>
      </c>
      <c r="H55" s="16">
        <f>IFERROR(dat_nespresso_shop_overview!W17,"")</f>
        <v>6810897.4800000004</v>
      </c>
      <c r="I55" s="16">
        <f>IFERROR(dat_nespresso_shop_overview!W18,"")</f>
        <v>12580484.550000001</v>
      </c>
      <c r="J55" s="16">
        <f>IFERROR(dat_nespresso_shop_overview!W19,"")</f>
        <v>18499047.870000001</v>
      </c>
      <c r="K55" s="16">
        <f>IFERROR(dat_nespresso_shop_overview!W20,"")</f>
        <v>4022955</v>
      </c>
      <c r="L55" s="16">
        <f>IFERROR(dat_nespresso_shop_overview!W21,"")</f>
        <v>5563896.2000000002</v>
      </c>
      <c r="M55" s="16">
        <f>IFERROR(dat_nespresso_shop_overview!W22,"")</f>
        <v>5412357.7899999982</v>
      </c>
      <c r="N55" s="16">
        <f>IFERROR(dat_nespresso_shop_overview!W23,"")</f>
        <v>16011861.979999971</v>
      </c>
      <c r="O55" s="16">
        <f>IFERROR(dat_nespresso_shop_overview!W24,"")</f>
        <v>21073656.639999989</v>
      </c>
      <c r="P55" s="16">
        <f>IFERROR(dat_nespresso_shop_overview!W25,"")</f>
        <v>5855010.0000000037</v>
      </c>
      <c r="R55" s="1"/>
      <c r="S55" s="15" t="s">
        <v>39</v>
      </c>
      <c r="T55" s="16">
        <v>9962927</v>
      </c>
      <c r="U55" s="16">
        <v>7069184</v>
      </c>
      <c r="V55" s="16">
        <v>12546512</v>
      </c>
      <c r="W55" s="16">
        <v>5920904</v>
      </c>
      <c r="X55" s="16">
        <v>17795323</v>
      </c>
      <c r="Y55" s="16">
        <v>24425311</v>
      </c>
      <c r="Z55" s="16">
        <v>5233579</v>
      </c>
      <c r="AA55" s="16">
        <v>6999305</v>
      </c>
      <c r="AB55" s="16">
        <v>11404318</v>
      </c>
      <c r="AC55" s="16">
        <v>20837678</v>
      </c>
      <c r="AD55" s="16">
        <v>27791787</v>
      </c>
      <c r="AE55" s="16">
        <v>11916621</v>
      </c>
    </row>
    <row r="56" spans="2:31" x14ac:dyDescent="0.25">
      <c r="B56" s="281"/>
      <c r="C56" s="277" t="s">
        <v>40</v>
      </c>
      <c r="D56" s="274"/>
      <c r="E56" s="16">
        <f>IFERROR(dat_nespresso_shop_overview!X14,"")</f>
        <v>6951</v>
      </c>
      <c r="F56" s="16">
        <f>IFERROR(dat_nespresso_shop_overview!X15,"")</f>
        <v>8395</v>
      </c>
      <c r="G56" s="16">
        <f>IFERROR(dat_nespresso_shop_overview!X16,"")</f>
        <v>13869</v>
      </c>
      <c r="H56" s="16">
        <f>IFERROR(dat_nespresso_shop_overview!X17,"")</f>
        <v>9501</v>
      </c>
      <c r="I56" s="16">
        <f>IFERROR(dat_nespresso_shop_overview!X18,"")</f>
        <v>22713</v>
      </c>
      <c r="J56" s="16">
        <f>IFERROR(dat_nespresso_shop_overview!X19,"")</f>
        <v>26498</v>
      </c>
      <c r="K56" s="16">
        <f>IFERROR(dat_nespresso_shop_overview!X20,"")</f>
        <v>6453</v>
      </c>
      <c r="L56" s="16">
        <f>IFERROR(dat_nespresso_shop_overview!X21,"")</f>
        <v>8975</v>
      </c>
      <c r="M56" s="16">
        <f>IFERROR(dat_nespresso_shop_overview!X22,"")</f>
        <v>9045</v>
      </c>
      <c r="N56" s="16">
        <f>IFERROR(dat_nespresso_shop_overview!X23,"")</f>
        <v>23198</v>
      </c>
      <c r="O56" s="16">
        <f>IFERROR(dat_nespresso_shop_overview!X24,"")</f>
        <v>28202</v>
      </c>
      <c r="P56" s="16">
        <f>IFERROR(dat_nespresso_shop_overview!X25,"")</f>
        <v>9031</v>
      </c>
      <c r="R56" s="1"/>
      <c r="S56" s="15" t="s">
        <v>40</v>
      </c>
      <c r="T56" s="16">
        <v>13090</v>
      </c>
      <c r="U56" s="16">
        <v>10764</v>
      </c>
      <c r="V56" s="16">
        <v>20013</v>
      </c>
      <c r="W56" s="16">
        <v>10107</v>
      </c>
      <c r="X56" s="16">
        <v>25903</v>
      </c>
      <c r="Y56" s="16">
        <v>30113</v>
      </c>
      <c r="Z56" s="16">
        <v>8944</v>
      </c>
      <c r="AA56" s="16">
        <v>10724</v>
      </c>
      <c r="AB56" s="16">
        <v>16805</v>
      </c>
      <c r="AC56" s="16">
        <v>31861</v>
      </c>
      <c r="AD56" s="16">
        <v>37338</v>
      </c>
      <c r="AE56" s="16">
        <v>15540</v>
      </c>
    </row>
    <row r="57" spans="2:31" x14ac:dyDescent="0.25">
      <c r="B57" s="281"/>
      <c r="C57" s="277" t="s">
        <v>41</v>
      </c>
      <c r="D57" s="274"/>
      <c r="E57" s="19">
        <f t="shared" ref="E57:P57" si="38">IFERROR(E55/E56,"")</f>
        <v>777.4772047187455</v>
      </c>
      <c r="F57" s="19">
        <f t="shared" si="38"/>
        <v>722.02906491959504</v>
      </c>
      <c r="G57" s="19">
        <f t="shared" si="38"/>
        <v>716.47180113923139</v>
      </c>
      <c r="H57" s="19">
        <f t="shared" si="38"/>
        <v>716.86111777707617</v>
      </c>
      <c r="I57" s="19">
        <f t="shared" si="38"/>
        <v>553.88916259410917</v>
      </c>
      <c r="J57" s="19">
        <f t="shared" si="38"/>
        <v>698.12996716733346</v>
      </c>
      <c r="K57" s="19">
        <f t="shared" si="38"/>
        <v>623.4239888423989</v>
      </c>
      <c r="L57" s="19">
        <f t="shared" si="38"/>
        <v>619.93272423398332</v>
      </c>
      <c r="M57" s="19">
        <f t="shared" si="38"/>
        <v>598.38118186843542</v>
      </c>
      <c r="N57" s="19">
        <f t="shared" si="38"/>
        <v>690.22596689369652</v>
      </c>
      <c r="O57" s="19">
        <f t="shared" si="38"/>
        <v>747.23979292248737</v>
      </c>
      <c r="P57" s="19">
        <f t="shared" si="38"/>
        <v>648.32355220905811</v>
      </c>
      <c r="R57" s="1"/>
      <c r="S57" s="15" t="s">
        <v>41</v>
      </c>
      <c r="T57" s="19">
        <f t="shared" ref="T57:AE57" si="39">IFERROR(T55/T56,"")</f>
        <v>761.10977845683726</v>
      </c>
      <c r="U57" s="19">
        <f t="shared" si="39"/>
        <v>656.74321813452252</v>
      </c>
      <c r="V57" s="19">
        <f t="shared" si="39"/>
        <v>626.9181032328986</v>
      </c>
      <c r="W57" s="19">
        <f t="shared" si="39"/>
        <v>585.82210349262891</v>
      </c>
      <c r="X57" s="19">
        <f t="shared" si="39"/>
        <v>686.99853298845699</v>
      </c>
      <c r="Y57" s="19">
        <f t="shared" si="39"/>
        <v>811.12180785707164</v>
      </c>
      <c r="Z57" s="19">
        <f t="shared" si="39"/>
        <v>585.14970930232562</v>
      </c>
      <c r="AA57" s="19">
        <f t="shared" si="39"/>
        <v>652.67670645281612</v>
      </c>
      <c r="AB57" s="19">
        <f t="shared" si="39"/>
        <v>678.62648021422194</v>
      </c>
      <c r="AC57" s="19">
        <f t="shared" si="39"/>
        <v>654.0183296192838</v>
      </c>
      <c r="AD57" s="19">
        <f t="shared" si="39"/>
        <v>744.32982484332319</v>
      </c>
      <c r="AE57" s="19">
        <f t="shared" si="39"/>
        <v>766.83532818532819</v>
      </c>
    </row>
    <row r="58" spans="2:31" x14ac:dyDescent="0.25">
      <c r="B58" s="281"/>
      <c r="C58" s="277" t="s">
        <v>42</v>
      </c>
      <c r="D58" s="274"/>
      <c r="E58" s="16">
        <f>IFERROR(dat_nespresso_shop_overview!Z14,"")</f>
        <v>5224911.03</v>
      </c>
      <c r="F58" s="16">
        <f>IFERROR(dat_nespresso_shop_overview!Z15,"")</f>
        <v>6305621</v>
      </c>
      <c r="G58" s="16">
        <f>IFERROR(dat_nespresso_shop_overview!Z16,"")</f>
        <v>13633444.92</v>
      </c>
      <c r="H58" s="16">
        <f>IFERROR(dat_nespresso_shop_overview!Z17,"")</f>
        <v>7030534.2000000002</v>
      </c>
      <c r="I58" s="16">
        <f>IFERROR(dat_nespresso_shop_overview!Z18,"")</f>
        <v>17023719.68</v>
      </c>
      <c r="J58" s="16">
        <f>IFERROR(dat_nespresso_shop_overview!Z19,"")</f>
        <v>19547067.640000001</v>
      </c>
      <c r="K58" s="16">
        <f>IFERROR(dat_nespresso_shop_overview!Z20,"")</f>
        <v>4508449</v>
      </c>
      <c r="L58" s="16">
        <f>IFERROR(dat_nespresso_shop_overview!Z21,"")</f>
        <v>7249579.5899999999</v>
      </c>
      <c r="M58" s="16">
        <f>IFERROR(dat_nespresso_shop_overview!Z22,"")</f>
        <v>7824460.5599999996</v>
      </c>
      <c r="N58" s="16">
        <f>IFERROR(dat_nespresso_shop_overview!Z23,"")</f>
        <v>21149219.18</v>
      </c>
      <c r="O58" s="16">
        <f>IFERROR(dat_nespresso_shop_overview!Z24,"")</f>
        <v>20010773.940000001</v>
      </c>
      <c r="P58" s="16">
        <f>IFERROR(dat_nespresso_shop_overview!Z25,"")</f>
        <v>5309876.5299999956</v>
      </c>
      <c r="R58" s="1"/>
      <c r="S58" s="15" t="s">
        <v>42</v>
      </c>
      <c r="T58" s="16">
        <v>9193763</v>
      </c>
      <c r="U58" s="16">
        <v>7246015</v>
      </c>
      <c r="V58" s="16">
        <v>16687783</v>
      </c>
      <c r="W58" s="16">
        <v>7433658</v>
      </c>
      <c r="X58" s="16">
        <v>23019063</v>
      </c>
      <c r="Y58" s="16">
        <v>24413701</v>
      </c>
      <c r="Z58" s="16">
        <v>6539828</v>
      </c>
      <c r="AA58" s="16">
        <v>7436056</v>
      </c>
      <c r="AB58" s="16">
        <v>12518085</v>
      </c>
      <c r="AC58" s="16">
        <v>32132850</v>
      </c>
      <c r="AD58" s="16">
        <v>27040809</v>
      </c>
      <c r="AE58" s="16">
        <v>11821993</v>
      </c>
    </row>
    <row r="59" spans="2:31" x14ac:dyDescent="0.25">
      <c r="B59" s="281"/>
      <c r="C59" s="277" t="s">
        <v>43</v>
      </c>
      <c r="D59" s="274"/>
      <c r="E59" s="16">
        <f>IFERROR(dat_nespresso_shop_overview!AA14,"")</f>
        <v>10536</v>
      </c>
      <c r="F59" s="16">
        <f>IFERROR(dat_nespresso_shop_overview!AA15,"")</f>
        <v>13123</v>
      </c>
      <c r="G59" s="16">
        <f>IFERROR(dat_nespresso_shop_overview!AA16,"")</f>
        <v>26194</v>
      </c>
      <c r="H59" s="16">
        <f>IFERROR(dat_nespresso_shop_overview!AA17,"")</f>
        <v>14574</v>
      </c>
      <c r="I59" s="16">
        <f>IFERROR(dat_nespresso_shop_overview!AA18,"")</f>
        <v>32360</v>
      </c>
      <c r="J59" s="16">
        <f>IFERROR(dat_nespresso_shop_overview!AA19,"")</f>
        <v>34318</v>
      </c>
      <c r="K59" s="16">
        <f>IFERROR(dat_nespresso_shop_overview!AA20,"")</f>
        <v>10651</v>
      </c>
      <c r="L59" s="16">
        <f>IFERROR(dat_nespresso_shop_overview!AA21,"")</f>
        <v>15611</v>
      </c>
      <c r="M59" s="16">
        <f>IFERROR(dat_nespresso_shop_overview!AA22,"")</f>
        <v>16558</v>
      </c>
      <c r="N59" s="16">
        <f>IFERROR(dat_nespresso_shop_overview!AA23,"")</f>
        <v>38200</v>
      </c>
      <c r="O59" s="16">
        <f>IFERROR(dat_nespresso_shop_overview!AA24,"")</f>
        <v>33133</v>
      </c>
      <c r="P59" s="16">
        <f>IFERROR(dat_nespresso_shop_overview!AA25,"")</f>
        <v>11834</v>
      </c>
      <c r="R59" s="1"/>
      <c r="S59" s="15" t="s">
        <v>43</v>
      </c>
      <c r="T59" s="16">
        <v>19354</v>
      </c>
      <c r="U59" s="16">
        <v>16658</v>
      </c>
      <c r="V59" s="16">
        <v>35293</v>
      </c>
      <c r="W59" s="16">
        <v>17029</v>
      </c>
      <c r="X59" s="16">
        <v>42325</v>
      </c>
      <c r="Y59" s="16">
        <v>40471</v>
      </c>
      <c r="Z59" s="16">
        <v>14568</v>
      </c>
      <c r="AA59" s="16">
        <v>16353</v>
      </c>
      <c r="AB59" s="16">
        <v>26186</v>
      </c>
      <c r="AC59" s="16">
        <v>53980</v>
      </c>
      <c r="AD59" s="16">
        <v>44122</v>
      </c>
      <c r="AE59" s="16">
        <v>22902</v>
      </c>
    </row>
    <row r="60" spans="2:31" x14ac:dyDescent="0.25">
      <c r="B60" s="283"/>
      <c r="C60" s="277" t="s">
        <v>44</v>
      </c>
      <c r="D60" s="274"/>
      <c r="E60" s="19">
        <f t="shared" ref="E60:P60" si="40">IFERROR(E58/E59,"")</f>
        <v>495.91031036446469</v>
      </c>
      <c r="F60" s="19">
        <f t="shared" si="40"/>
        <v>480.50148594071476</v>
      </c>
      <c r="G60" s="19">
        <f t="shared" si="40"/>
        <v>520.47968695121017</v>
      </c>
      <c r="H60" s="19">
        <f t="shared" si="40"/>
        <v>482.40251132153151</v>
      </c>
      <c r="I60" s="19">
        <f t="shared" si="40"/>
        <v>526.07291965389368</v>
      </c>
      <c r="J60" s="19">
        <f t="shared" si="40"/>
        <v>569.58644559706283</v>
      </c>
      <c r="K60" s="19">
        <f t="shared" si="40"/>
        <v>423.28879917378651</v>
      </c>
      <c r="L60" s="19">
        <f t="shared" si="40"/>
        <v>464.38918647107806</v>
      </c>
      <c r="M60" s="19">
        <f t="shared" si="40"/>
        <v>472.54865080323708</v>
      </c>
      <c r="N60" s="19">
        <f t="shared" si="40"/>
        <v>553.64448115183245</v>
      </c>
      <c r="O60" s="19">
        <f t="shared" si="40"/>
        <v>603.95297558325535</v>
      </c>
      <c r="P60" s="19">
        <f t="shared" si="40"/>
        <v>448.69668159540271</v>
      </c>
      <c r="Q60" s="14"/>
      <c r="R60" s="1"/>
      <c r="S60" s="15" t="s">
        <v>44</v>
      </c>
      <c r="T60" s="19">
        <f t="shared" ref="T60:AE60" si="41">IFERROR(T58/T59,"")</f>
        <v>475.03167303916501</v>
      </c>
      <c r="U60" s="19">
        <f t="shared" si="41"/>
        <v>434.98709328851004</v>
      </c>
      <c r="V60" s="19">
        <f t="shared" si="41"/>
        <v>472.83549145722947</v>
      </c>
      <c r="W60" s="19">
        <f t="shared" si="41"/>
        <v>436.52933231546189</v>
      </c>
      <c r="X60" s="19">
        <f t="shared" si="41"/>
        <v>543.86445363260486</v>
      </c>
      <c r="Y60" s="19">
        <f t="shared" si="41"/>
        <v>603.23938128536486</v>
      </c>
      <c r="Z60" s="19">
        <f t="shared" si="41"/>
        <v>448.91735310269081</v>
      </c>
      <c r="AA60" s="19">
        <f t="shared" si="41"/>
        <v>454.72121323304594</v>
      </c>
      <c r="AB60" s="19">
        <f t="shared" si="41"/>
        <v>478.04494768196747</v>
      </c>
      <c r="AC60" s="19">
        <f t="shared" si="41"/>
        <v>595.27324935161175</v>
      </c>
      <c r="AD60" s="19">
        <f t="shared" si="41"/>
        <v>612.86453469924299</v>
      </c>
      <c r="AE60" s="19">
        <f t="shared" si="41"/>
        <v>516.19915291240943</v>
      </c>
    </row>
    <row r="61" spans="2:31" x14ac:dyDescent="0.25">
      <c r="B61" s="277" t="s">
        <v>24</v>
      </c>
      <c r="C61" s="277" t="s">
        <v>39</v>
      </c>
      <c r="D61" s="274"/>
      <c r="E61" s="17">
        <f t="shared" ref="E61:P62" si="42">IF(E55/T55-1=-1,"",IFERROR(E55/T55-1,""))</f>
        <v>-0.45756462433178524</v>
      </c>
      <c r="F61" s="17">
        <f t="shared" si="42"/>
        <v>-0.1425553500941551</v>
      </c>
      <c r="G61" s="17">
        <f t="shared" si="42"/>
        <v>-0.20800718080052849</v>
      </c>
      <c r="H61" s="17">
        <f t="shared" si="42"/>
        <v>0.15031378316554367</v>
      </c>
      <c r="I61" s="17">
        <f t="shared" si="42"/>
        <v>-0.29304545076254018</v>
      </c>
      <c r="J61" s="17">
        <f t="shared" si="42"/>
        <v>-0.24262794975261515</v>
      </c>
      <c r="K61" s="17">
        <f t="shared" si="42"/>
        <v>-0.23131856803919459</v>
      </c>
      <c r="L61" s="17">
        <f t="shared" si="42"/>
        <v>-0.20507876139130954</v>
      </c>
      <c r="M61" s="17">
        <f t="shared" si="42"/>
        <v>-0.52541153359630988</v>
      </c>
      <c r="N61" s="17">
        <f t="shared" si="42"/>
        <v>-0.23159087207317575</v>
      </c>
      <c r="O61" s="17">
        <f t="shared" si="42"/>
        <v>-0.24173078039206364</v>
      </c>
      <c r="P61" s="17">
        <f t="shared" si="42"/>
        <v>-0.50866860664612867</v>
      </c>
    </row>
    <row r="62" spans="2:31" x14ac:dyDescent="0.25">
      <c r="B62" s="281"/>
      <c r="C62" s="277" t="s">
        <v>40</v>
      </c>
      <c r="D62" s="274"/>
      <c r="E62" s="17">
        <f t="shared" si="42"/>
        <v>-0.46898395721925135</v>
      </c>
      <c r="F62" s="17">
        <f t="shared" si="42"/>
        <v>-0.22008547008547008</v>
      </c>
      <c r="G62" s="17">
        <f t="shared" si="42"/>
        <v>-0.30700044970769003</v>
      </c>
      <c r="H62" s="17">
        <f t="shared" si="42"/>
        <v>-5.9958444642327136E-2</v>
      </c>
      <c r="I62" s="17">
        <f t="shared" si="42"/>
        <v>-0.12315175848357329</v>
      </c>
      <c r="J62" s="17">
        <f t="shared" si="42"/>
        <v>-0.12004781987845781</v>
      </c>
      <c r="K62" s="17">
        <f t="shared" si="42"/>
        <v>-0.27851073345259392</v>
      </c>
      <c r="L62" s="17">
        <f t="shared" si="42"/>
        <v>-0.16309212980231258</v>
      </c>
      <c r="M62" s="17">
        <f t="shared" si="42"/>
        <v>-0.46176733115144297</v>
      </c>
      <c r="N62" s="17">
        <f t="shared" si="42"/>
        <v>-0.27189981482062708</v>
      </c>
      <c r="O62" s="17">
        <f t="shared" si="42"/>
        <v>-0.24468370025175423</v>
      </c>
      <c r="P62" s="17">
        <f t="shared" si="42"/>
        <v>-0.41885456885456884</v>
      </c>
    </row>
    <row r="63" spans="2:31" x14ac:dyDescent="0.25">
      <c r="B63" s="281"/>
      <c r="C63" s="277" t="s">
        <v>41</v>
      </c>
      <c r="D63" s="274"/>
      <c r="E63" s="17">
        <f t="shared" ref="E63:P63" si="43">IFERROR(E57/T57-1,"")</f>
        <v>2.1504685296638071E-2</v>
      </c>
      <c r="F63" s="17">
        <f t="shared" si="43"/>
        <v>9.9408482619001148E-2</v>
      </c>
      <c r="G63" s="17">
        <f t="shared" si="43"/>
        <v>0.14284752257834188</v>
      </c>
      <c r="H63" s="17">
        <f t="shared" si="43"/>
        <v>0.22368397078772229</v>
      </c>
      <c r="I63" s="17">
        <f t="shared" si="43"/>
        <v>-0.19375495580073432</v>
      </c>
      <c r="J63" s="17">
        <f t="shared" si="43"/>
        <v>-0.13930317197148834</v>
      </c>
      <c r="K63" s="17">
        <f t="shared" si="43"/>
        <v>6.5409379739259865E-2</v>
      </c>
      <c r="L63" s="17">
        <f t="shared" si="43"/>
        <v>-5.0168761800602035E-2</v>
      </c>
      <c r="M63" s="17">
        <f t="shared" si="43"/>
        <v>-0.11824663594096052</v>
      </c>
      <c r="N63" s="17">
        <f t="shared" si="43"/>
        <v>5.5361808124689604E-2</v>
      </c>
      <c r="O63" s="17">
        <f t="shared" si="43"/>
        <v>3.909514279878179E-3</v>
      </c>
      <c r="P63" s="17">
        <f t="shared" si="43"/>
        <v>-0.15454657815090678</v>
      </c>
    </row>
    <row r="64" spans="2:31" x14ac:dyDescent="0.25">
      <c r="B64" s="281"/>
      <c r="C64" s="277" t="s">
        <v>42</v>
      </c>
      <c r="D64" s="274"/>
      <c r="E64" s="17">
        <f t="shared" ref="E64:P65" si="44">IF(E58/T58-1=-1,"",IFERROR(E58/T58-1,""))</f>
        <v>-0.43168961066322897</v>
      </c>
      <c r="F64" s="17">
        <f t="shared" si="44"/>
        <v>-0.12978085195793831</v>
      </c>
      <c r="G64" s="17">
        <f t="shared" si="44"/>
        <v>-0.18302839148855188</v>
      </c>
      <c r="H64" s="17">
        <f t="shared" si="44"/>
        <v>-5.4229532754937027E-2</v>
      </c>
      <c r="I64" s="17">
        <f t="shared" si="44"/>
        <v>-0.26045123209402576</v>
      </c>
      <c r="J64" s="17">
        <f t="shared" si="44"/>
        <v>-0.19934025406471556</v>
      </c>
      <c r="K64" s="17">
        <f t="shared" si="44"/>
        <v>-0.31061657890696814</v>
      </c>
      <c r="L64" s="17">
        <f t="shared" si="44"/>
        <v>-2.5077327282096884E-2</v>
      </c>
      <c r="M64" s="17">
        <f t="shared" si="44"/>
        <v>-0.37494748118422272</v>
      </c>
      <c r="N64" s="17">
        <f t="shared" si="44"/>
        <v>-0.34181937861098532</v>
      </c>
      <c r="O64" s="17">
        <f t="shared" si="44"/>
        <v>-0.25997872548857537</v>
      </c>
      <c r="P64" s="17">
        <f t="shared" si="44"/>
        <v>-0.55084759989284415</v>
      </c>
    </row>
    <row r="65" spans="2:16" x14ac:dyDescent="0.25">
      <c r="B65" s="281"/>
      <c r="C65" s="277" t="s">
        <v>43</v>
      </c>
      <c r="D65" s="274"/>
      <c r="E65" s="17">
        <f t="shared" si="44"/>
        <v>-0.4556164100444352</v>
      </c>
      <c r="F65" s="17">
        <f t="shared" si="44"/>
        <v>-0.21221034938167849</v>
      </c>
      <c r="G65" s="17">
        <f t="shared" si="44"/>
        <v>-0.25781316408352928</v>
      </c>
      <c r="H65" s="17">
        <f t="shared" si="44"/>
        <v>-0.14416583475248101</v>
      </c>
      <c r="I65" s="17">
        <f t="shared" si="44"/>
        <v>-0.23544004725339629</v>
      </c>
      <c r="J65" s="17">
        <f t="shared" si="44"/>
        <v>-0.15203479034370293</v>
      </c>
      <c r="K65" s="17">
        <f t="shared" si="44"/>
        <v>-0.26887699066447002</v>
      </c>
      <c r="L65" s="17">
        <f t="shared" si="44"/>
        <v>-4.5373937503821904E-2</v>
      </c>
      <c r="M65" s="17">
        <f t="shared" si="44"/>
        <v>-0.36767738486214008</v>
      </c>
      <c r="N65" s="17">
        <f t="shared" si="44"/>
        <v>-0.29233049277510192</v>
      </c>
      <c r="O65" s="17">
        <f t="shared" si="44"/>
        <v>-0.24905942613662113</v>
      </c>
      <c r="P65" s="17">
        <f t="shared" si="44"/>
        <v>-0.48327656973190114</v>
      </c>
    </row>
    <row r="66" spans="2:16" x14ac:dyDescent="0.25">
      <c r="B66" s="283"/>
      <c r="C66" s="277" t="s">
        <v>44</v>
      </c>
      <c r="D66" s="274"/>
      <c r="E66" s="17">
        <f t="shared" ref="E66:P66" si="45">IFERROR(E60/T60-1,"")</f>
        <v>4.3952095218666276E-2</v>
      </c>
      <c r="F66" s="17">
        <f t="shared" si="45"/>
        <v>0.10463389225669917</v>
      </c>
      <c r="G66" s="17">
        <f t="shared" si="45"/>
        <v>0.10076273112905776</v>
      </c>
      <c r="H66" s="17">
        <f t="shared" si="45"/>
        <v>0.10508613192782867</v>
      </c>
      <c r="I66" s="17">
        <f t="shared" si="45"/>
        <v>-3.2713176711360981E-2</v>
      </c>
      <c r="J66" s="17">
        <f t="shared" si="45"/>
        <v>-5.5787033692321852E-2</v>
      </c>
      <c r="K66" s="17">
        <f t="shared" si="45"/>
        <v>-5.7089693128974939E-2</v>
      </c>
      <c r="L66" s="17">
        <f t="shared" si="45"/>
        <v>2.1261320027920583E-2</v>
      </c>
      <c r="M66" s="17">
        <f t="shared" si="45"/>
        <v>-1.1497447897696356E-2</v>
      </c>
      <c r="N66" s="17">
        <f t="shared" si="45"/>
        <v>-6.9932200456046867E-2</v>
      </c>
      <c r="O66" s="17">
        <f t="shared" si="45"/>
        <v>-1.4540830169526564E-2</v>
      </c>
      <c r="P66" s="17">
        <f t="shared" si="45"/>
        <v>-0.13076827216037834</v>
      </c>
    </row>
    <row r="67" spans="2:16" x14ac:dyDescent="0.25">
      <c r="B67" s="277" t="s">
        <v>45</v>
      </c>
      <c r="C67" s="277" t="s">
        <v>39</v>
      </c>
      <c r="D67" s="274"/>
      <c r="E67" s="17">
        <f t="shared" ref="E67:P68" si="46">IFERROR(E55/E7-T55/T7,"")</f>
        <v>-1.1639695667300054E-2</v>
      </c>
      <c r="F67" s="17">
        <f t="shared" si="46"/>
        <v>-3.6961422737802341E-3</v>
      </c>
      <c r="G67" s="17">
        <f t="shared" si="46"/>
        <v>-7.589921489683682E-3</v>
      </c>
      <c r="H67" s="17">
        <f t="shared" si="46"/>
        <v>4.8704066786690536E-2</v>
      </c>
      <c r="I67" s="17">
        <f t="shared" si="46"/>
        <v>-1.1050131148540587E-2</v>
      </c>
      <c r="J67" s="17">
        <f t="shared" si="46"/>
        <v>-1.3891889485531272E-2</v>
      </c>
      <c r="K67" s="17">
        <f t="shared" si="46"/>
        <v>2.702120661091878E-2</v>
      </c>
      <c r="L67" s="17">
        <f t="shared" si="46"/>
        <v>-5.0649939824322532E-2</v>
      </c>
      <c r="M67" s="17">
        <f t="shared" si="46"/>
        <v>-6.7834665151021101E-2</v>
      </c>
      <c r="N67" s="17">
        <f t="shared" si="46"/>
        <v>3.7494689710510121E-2</v>
      </c>
      <c r="O67" s="17">
        <f t="shared" si="46"/>
        <v>6.087430823397022E-3</v>
      </c>
      <c r="P67" s="17">
        <f t="shared" si="46"/>
        <v>2.2419729178077774E-2</v>
      </c>
    </row>
    <row r="68" spans="2:16" x14ac:dyDescent="0.25">
      <c r="B68" s="281"/>
      <c r="C68" s="277" t="s">
        <v>40</v>
      </c>
      <c r="D68" s="274"/>
      <c r="E68" s="17">
        <f t="shared" si="46"/>
        <v>-5.9691488099615775E-3</v>
      </c>
      <c r="F68" s="17">
        <f t="shared" si="46"/>
        <v>-2.3930553086248807E-3</v>
      </c>
      <c r="G68" s="17">
        <f t="shared" si="46"/>
        <v>-1.5679705884416029E-2</v>
      </c>
      <c r="H68" s="17">
        <f t="shared" si="46"/>
        <v>2.2184492189796012E-2</v>
      </c>
      <c r="I68" s="17">
        <f t="shared" si="46"/>
        <v>3.2762732839958286E-2</v>
      </c>
      <c r="J68" s="17">
        <f t="shared" si="46"/>
        <v>9.081277578575242E-3</v>
      </c>
      <c r="K68" s="17">
        <f t="shared" si="46"/>
        <v>-3.1213287261946943E-3</v>
      </c>
      <c r="L68" s="17">
        <f t="shared" si="46"/>
        <v>-3.1010545378598153E-2</v>
      </c>
      <c r="M68" s="17">
        <f t="shared" si="46"/>
        <v>-3.7616856254432507E-2</v>
      </c>
      <c r="N68" s="17">
        <f t="shared" si="46"/>
        <v>6.6669326545460983E-3</v>
      </c>
      <c r="O68" s="17">
        <f t="shared" si="46"/>
        <v>1.4427914974955991E-3</v>
      </c>
      <c r="P68" s="17">
        <f t="shared" si="46"/>
        <v>2.8584741609485265E-2</v>
      </c>
    </row>
    <row r="69" spans="2:16" x14ac:dyDescent="0.25">
      <c r="B69" s="281"/>
      <c r="C69" s="277" t="s">
        <v>42</v>
      </c>
      <c r="D69" s="274"/>
      <c r="E69" s="17">
        <f t="shared" ref="E69:P70" si="47">IFERROR(E58/E7-T58/T7,"")</f>
        <v>1.1639695667299998E-2</v>
      </c>
      <c r="F69" s="17">
        <f t="shared" si="47"/>
        <v>3.6961422737803451E-3</v>
      </c>
      <c r="G69" s="17">
        <f t="shared" si="47"/>
        <v>7.5899214896837375E-3</v>
      </c>
      <c r="H69" s="17">
        <f t="shared" si="47"/>
        <v>-4.8704066786690592E-2</v>
      </c>
      <c r="I69" s="17">
        <f t="shared" si="47"/>
        <v>1.1050131148540587E-2</v>
      </c>
      <c r="J69" s="17">
        <f t="shared" si="47"/>
        <v>1.3891869010096258E-2</v>
      </c>
      <c r="K69" s="17">
        <f t="shared" si="47"/>
        <v>-2.702120661091878E-2</v>
      </c>
      <c r="L69" s="17">
        <f t="shared" si="47"/>
        <v>5.0649939824322643E-2</v>
      </c>
      <c r="M69" s="17">
        <f t="shared" si="47"/>
        <v>6.7834623349198542E-2</v>
      </c>
      <c r="N69" s="17">
        <f t="shared" si="47"/>
        <v>-3.7494708588932668E-2</v>
      </c>
      <c r="O69" s="17">
        <f t="shared" si="47"/>
        <v>-6.0874308233969665E-3</v>
      </c>
      <c r="P69" s="17">
        <f t="shared" si="47"/>
        <v>-2.2419729178077774E-2</v>
      </c>
    </row>
    <row r="70" spans="2:16" x14ac:dyDescent="0.25">
      <c r="B70" s="283"/>
      <c r="C70" s="277" t="s">
        <v>43</v>
      </c>
      <c r="D70" s="274"/>
      <c r="E70" s="17">
        <f t="shared" si="47"/>
        <v>5.9691488099615775E-3</v>
      </c>
      <c r="F70" s="17">
        <f t="shared" si="47"/>
        <v>2.3930553086248807E-3</v>
      </c>
      <c r="G70" s="17">
        <f t="shared" si="47"/>
        <v>1.5679705884416029E-2</v>
      </c>
      <c r="H70" s="17">
        <f t="shared" si="47"/>
        <v>-2.2184492189796012E-2</v>
      </c>
      <c r="I70" s="17">
        <f t="shared" si="47"/>
        <v>-3.2762732839958231E-2</v>
      </c>
      <c r="J70" s="17">
        <f t="shared" si="47"/>
        <v>-9.081277578575242E-3</v>
      </c>
      <c r="K70" s="17">
        <f t="shared" si="47"/>
        <v>3.1213287261947498E-3</v>
      </c>
      <c r="L70" s="17">
        <f t="shared" si="47"/>
        <v>3.1010545378598153E-2</v>
      </c>
      <c r="M70" s="17">
        <f t="shared" si="47"/>
        <v>3.7616856254432451E-2</v>
      </c>
      <c r="N70" s="17">
        <f t="shared" si="47"/>
        <v>-6.6669326545460983E-3</v>
      </c>
      <c r="O70" s="17">
        <f t="shared" si="47"/>
        <v>-1.4427914974955991E-3</v>
      </c>
      <c r="P70" s="17">
        <f t="shared" si="47"/>
        <v>-2.858474160948532E-2</v>
      </c>
    </row>
    <row r="72" spans="2:16" s="5" customFormat="1" ht="23.5" customHeight="1" x14ac:dyDescent="0.25">
      <c r="B72" s="270" t="s">
        <v>46</v>
      </c>
      <c r="C72" s="271"/>
      <c r="D72" s="271"/>
      <c r="E72" s="271"/>
      <c r="F72" s="271"/>
      <c r="N72" s="6"/>
      <c r="O72" s="6"/>
      <c r="P72" s="6"/>
    </row>
    <row r="73" spans="2:16" x14ac:dyDescent="0.25">
      <c r="C73" s="2"/>
    </row>
    <row r="74" spans="2:16" ht="16.25" customHeight="1" x14ac:dyDescent="0.25">
      <c r="B74" s="10" t="s">
        <v>47</v>
      </c>
      <c r="C74" s="10" t="s">
        <v>48</v>
      </c>
      <c r="D74" s="10" t="s">
        <v>49</v>
      </c>
      <c r="E74" s="10" t="s">
        <v>50</v>
      </c>
      <c r="F74" s="10" t="s">
        <v>51</v>
      </c>
      <c r="G74" s="10" t="s">
        <v>52</v>
      </c>
      <c r="H74" s="10" t="s">
        <v>53</v>
      </c>
      <c r="I74" s="10" t="s">
        <v>54</v>
      </c>
      <c r="J74" s="10" t="s">
        <v>55</v>
      </c>
      <c r="L74" s="10" t="s">
        <v>56</v>
      </c>
      <c r="M74" s="10" t="s">
        <v>57</v>
      </c>
      <c r="N74" s="10" t="s">
        <v>58</v>
      </c>
    </row>
    <row r="75" spans="2:16" x14ac:dyDescent="0.25">
      <c r="B75" s="287" t="s">
        <v>59</v>
      </c>
      <c r="C75" s="287" t="s">
        <v>60</v>
      </c>
      <c r="D75" s="22" t="s">
        <v>61</v>
      </c>
      <c r="E75" s="16">
        <f>IFERROR(VLOOKUP($B$75&amp;"-"&amp;$C$75&amp;"-"&amp;$D75,dat_nespresso_shop_chl!$E:$N,2,0),"")</f>
        <v>217068</v>
      </c>
      <c r="F75" s="16">
        <f>IFERROR(VLOOKUP($B$75&amp;"-"&amp;$C$75&amp;"-"&amp;$D75,dat_nespresso_shop_chl!$E:$N,3,0),"")</f>
        <v>163291</v>
      </c>
      <c r="G75" s="23">
        <f>IFERROR(VLOOKUP($B$75&amp;"-"&amp;$C$75&amp;"-"&amp;$D75,dat_nespresso_shop_chl!$E:$N,4,0),"")</f>
        <v>2.41905762249617E-2</v>
      </c>
      <c r="H75" s="23">
        <f>IFERROR(VLOOKUP($B$75&amp;"-"&amp;$C$75&amp;"-"&amp;$D75,dat_nespresso_shop_chl!$E:$N,5,0),"")</f>
        <v>1.6400169023399899E-2</v>
      </c>
      <c r="I75" s="16">
        <f>IFERROR(VLOOKUP($B$75&amp;"-"&amp;$C$75&amp;"-"&amp;$D75,dat_nespresso_shop_chl!$E:$N,6,0),"")</f>
        <v>5251</v>
      </c>
      <c r="J75" s="16">
        <f>IFERROR(VLOOKUP($B$75&amp;"-"&amp;$C$75&amp;"-"&amp;$D75,dat_nespresso_shop_chl!$E:$N,7,0),"")</f>
        <v>2678</v>
      </c>
      <c r="L75" s="24">
        <f>IFERROR(J75/I75-1,"-")</f>
        <v>-0.49000190439916202</v>
      </c>
      <c r="M75" s="24">
        <f>IFERROR(F75/E75-1,"-")</f>
        <v>-0.24774264285845915</v>
      </c>
      <c r="N75" s="24">
        <f>IFERROR(H75-G75,"-")</f>
        <v>-7.7904072015618012E-3</v>
      </c>
    </row>
    <row r="76" spans="2:16" x14ac:dyDescent="0.25">
      <c r="B76" s="281"/>
      <c r="C76" s="281"/>
      <c r="D76" s="22" t="s">
        <v>62</v>
      </c>
      <c r="E76" s="16">
        <f>IFERROR(VLOOKUP($B$75&amp;"-"&amp;$C$75&amp;"-"&amp;$D76,dat_nespresso_shop_chl!$E:$N,2,0),"")</f>
        <v>377670</v>
      </c>
      <c r="F76" s="16">
        <f>IFERROR(VLOOKUP($B$75&amp;"-"&amp;$C$75&amp;"-"&amp;$D76,dat_nespresso_shop_chl!$E:$N,3,0),"")</f>
        <v>105023</v>
      </c>
      <c r="G76" s="23">
        <f>IFERROR(VLOOKUP($B$75&amp;"-"&amp;$C$75&amp;"-"&amp;$D76,dat_nespresso_shop_chl!$E:$N,4,0),"")</f>
        <v>2.2479942807212602E-3</v>
      </c>
      <c r="H76" s="23">
        <f>IFERROR(VLOOKUP($B$75&amp;"-"&amp;$C$75&amp;"-"&amp;$D76,dat_nespresso_shop_chl!$E:$N,5,0),"")</f>
        <v>5.9034687639850298E-4</v>
      </c>
      <c r="I76" s="16">
        <f>IFERROR(VLOOKUP($B$75&amp;"-"&amp;$C$75&amp;"-"&amp;$D76,dat_nespresso_shop_chl!$E:$N,6,0),"")</f>
        <v>849</v>
      </c>
      <c r="J76" s="16">
        <f>IFERROR(VLOOKUP($B$75&amp;"-"&amp;$C$75&amp;"-"&amp;$D76,dat_nespresso_shop_chl!$E:$N,7,0),"")</f>
        <v>62</v>
      </c>
      <c r="L76" s="24">
        <f>IFERROR(J76/I76-1,"-")</f>
        <v>-0.92697290930506482</v>
      </c>
      <c r="M76" s="24">
        <f>IFERROR(F76/E76-1,"-")</f>
        <v>-0.72191860619058967</v>
      </c>
      <c r="N76" s="24">
        <f>IFERROR(H76-G76,"-")</f>
        <v>-1.6576474043227571E-3</v>
      </c>
    </row>
    <row r="77" spans="2:16" x14ac:dyDescent="0.25">
      <c r="B77" s="281"/>
      <c r="C77" s="283"/>
      <c r="D77" s="22" t="s">
        <v>63</v>
      </c>
      <c r="E77" s="16">
        <f>IFERROR(VLOOKUP($B$75&amp;"-"&amp;$C$75&amp;"-"&amp;$D77,dat_nespresso_shop_chl!$E:$N,2,0),"")</f>
        <v>102462</v>
      </c>
      <c r="F77" s="16">
        <f>IFERROR(VLOOKUP($B$75&amp;"-"&amp;$C$75&amp;"-"&amp;$D77,dat_nespresso_shop_chl!$E:$N,3,0),"")</f>
        <v>84711</v>
      </c>
      <c r="G77" s="23">
        <f>IFERROR(VLOOKUP($B$75&amp;"-"&amp;$C$75&amp;"-"&amp;$D77,dat_nespresso_shop_chl!$E:$N,4,0),"")</f>
        <v>2.84398118326794E-2</v>
      </c>
      <c r="H77" s="23">
        <f>IFERROR(VLOOKUP($B$75&amp;"-"&amp;$C$75&amp;"-"&amp;$D77,dat_nespresso_shop_chl!$E:$N,5,0),"")</f>
        <v>2.2511834354452101E-2</v>
      </c>
      <c r="I77" s="16">
        <f>IFERROR(VLOOKUP($B$75&amp;"-"&amp;$C$75&amp;"-"&amp;$D77,dat_nespresso_shop_chl!$E:$N,6,0),"")</f>
        <v>2914</v>
      </c>
      <c r="J77" s="16">
        <f>IFERROR(VLOOKUP($B$75&amp;"-"&amp;$C$75&amp;"-"&amp;$D77,dat_nespresso_shop_chl!$E:$N,7,0),"")</f>
        <v>1907</v>
      </c>
      <c r="L77" s="24">
        <f>IFERROR(J77/I77-1,"-")</f>
        <v>-0.34557309540150993</v>
      </c>
      <c r="M77" s="24">
        <f>IFERROR(F77/E77-1,"-")</f>
        <v>-0.17324471511389583</v>
      </c>
      <c r="N77" s="24">
        <f>IFERROR(H77-G77,"-")</f>
        <v>-5.927977478227299E-3</v>
      </c>
    </row>
    <row r="78" spans="2:16" x14ac:dyDescent="0.25">
      <c r="B78" s="281"/>
      <c r="C78" s="287" t="s">
        <v>64</v>
      </c>
      <c r="D78" s="22" t="s">
        <v>65</v>
      </c>
      <c r="E78" s="16">
        <f>IFERROR(VLOOKUP($B$75&amp;"-"&amp;$C$78&amp;"-"&amp;$D78,dat_nespresso_shop_chl!$E:$N,2,0),"")</f>
        <v>27951</v>
      </c>
      <c r="F78" s="16">
        <f>IFERROR(VLOOKUP($B$75&amp;"-"&amp;$C$78&amp;"-"&amp;$D78,dat_nespresso_shop_chl!$E:$N,3,0),"")</f>
        <v>18293</v>
      </c>
      <c r="G78" s="23">
        <f>IFERROR(VLOOKUP($B$75&amp;"-"&amp;$C$78&amp;"-"&amp;$D78,dat_nespresso_shop_chl!$E:$N,4,0),"")</f>
        <v>8.9048692354477404E-2</v>
      </c>
      <c r="H78" s="23">
        <f>IFERROR(VLOOKUP($B$75&amp;"-"&amp;$C$78&amp;"-"&amp;$D78,dat_nespresso_shop_chl!$E:$N,5,0),"")</f>
        <v>8.27638987590881E-2</v>
      </c>
      <c r="I78" s="16">
        <f>IFERROR(VLOOKUP($B$75&amp;"-"&amp;$C$78&amp;"-"&amp;$D78,dat_nespresso_shop_chl!$E:$N,6,0),"")</f>
        <v>2489</v>
      </c>
      <c r="J78" s="16">
        <f>IFERROR(VLOOKUP($B$75&amp;"-"&amp;$C$78&amp;"-"&amp;$D78,dat_nespresso_shop_chl!$E:$N,7,0),"")</f>
        <v>1514</v>
      </c>
      <c r="L78" s="24">
        <f>IFERROR(J78/I78-1,"-")</f>
        <v>-0.39172358376858174</v>
      </c>
      <c r="M78" s="24">
        <f>IFERROR(F78/E78-1,"-")</f>
        <v>-0.34553325462416373</v>
      </c>
      <c r="N78" s="24">
        <f>IFERROR(H78-G78,"-")</f>
        <v>-6.2847935953893042E-3</v>
      </c>
    </row>
    <row r="79" spans="2:16" x14ac:dyDescent="0.25">
      <c r="B79" s="281"/>
      <c r="C79" s="281"/>
      <c r="D79" s="22" t="s">
        <v>66</v>
      </c>
      <c r="E79" s="16" t="str">
        <f>IFERROR(VLOOKUP($B$75&amp;"-"&amp;$C$78&amp;"-"&amp;$D79,dat_nespresso_shop_chl!$E:$N,2,0),"")</f>
        <v/>
      </c>
      <c r="F79" s="16" t="str">
        <f>IFERROR(VLOOKUP($B$75&amp;"-"&amp;$C$78&amp;"-"&amp;$D79,dat_nespresso_shop_chl!$E:$N,3,0),"")</f>
        <v/>
      </c>
      <c r="G79" s="23" t="str">
        <f>IFERROR(VLOOKUP($B$75&amp;"-"&amp;$C$78&amp;"-"&amp;$D79,dat_nespresso_shop_chl!$E:$N,4,0),"")</f>
        <v/>
      </c>
      <c r="H79" s="23" t="str">
        <f>IFERROR(VLOOKUP($B$75&amp;"-"&amp;$C$78&amp;"-"&amp;$D79,dat_nespresso_shop_chl!$E:$N,5,0),"")</f>
        <v/>
      </c>
      <c r="I79" s="16" t="str">
        <f>IFERROR(VLOOKUP($B$75&amp;"-"&amp;$C$78&amp;"-"&amp;$D79,dat_nespresso_shop_chl!$E:$N,6,0),"")</f>
        <v/>
      </c>
      <c r="J79" s="16" t="str">
        <f>IFERROR(VLOOKUP($B$75&amp;"-"&amp;$C$78&amp;"-"&amp;$D79,dat_nespresso_shop_chl!$E:$N,7,0),"")</f>
        <v/>
      </c>
      <c r="L79" s="24" t="str">
        <f>IFERROR(J79/I79-1,"-")</f>
        <v>-</v>
      </c>
      <c r="M79" s="24" t="str">
        <f>IFERROR(F79/E79-1,"-")</f>
        <v>-</v>
      </c>
      <c r="N79" s="24" t="str">
        <f>IFERROR(H79-G79,"-")</f>
        <v>-</v>
      </c>
    </row>
    <row r="80" spans="2:16" x14ac:dyDescent="0.25">
      <c r="B80" s="281"/>
      <c r="C80" s="283"/>
      <c r="D80" s="22" t="s">
        <v>67</v>
      </c>
      <c r="E80" s="16">
        <f>IFERROR(VLOOKUP($B$75&amp;"-"&amp;$C$78&amp;"-"&amp;$D80,dat_nespresso_shop_chl!$E:$N,2,0),"")</f>
        <v>733</v>
      </c>
      <c r="F80" s="16">
        <f>IFERROR(VLOOKUP($B$75&amp;"-"&amp;$C$78&amp;"-"&amp;$D80,dat_nespresso_shop_chl!$E:$N,3,0),"")</f>
        <v>256</v>
      </c>
      <c r="G80" s="23">
        <f>IFERROR(VLOOKUP($B$75&amp;"-"&amp;$C$78&amp;"-"&amp;$D80,dat_nespresso_shop_chl!$E:$N,4,0),"")</f>
        <v>3.8199181446111799E-2</v>
      </c>
      <c r="H80" s="23">
        <f>IFERROR(VLOOKUP($B$75&amp;"-"&amp;$C$78&amp;"-"&amp;$D80,dat_nespresso_shop_chl!$E:$N,5,0),"")</f>
        <v>4.296875E-2</v>
      </c>
      <c r="I80" s="16">
        <f>IFERROR(VLOOKUP($B$75&amp;"-"&amp;$C$78&amp;"-"&amp;$D80,dat_nespresso_shop_chl!$E:$N,6,0),"")</f>
        <v>28</v>
      </c>
      <c r="J80" s="16">
        <f>IFERROR(VLOOKUP($B$75&amp;"-"&amp;$C$78&amp;"-"&amp;$D80,dat_nespresso_shop_chl!$E:$N,7,0),"")</f>
        <v>11</v>
      </c>
      <c r="L80" s="24"/>
      <c r="M80" s="24"/>
      <c r="N80" s="24"/>
    </row>
    <row r="81" spans="2:14" x14ac:dyDescent="0.25">
      <c r="B81" s="281"/>
      <c r="C81" s="287" t="s">
        <v>68</v>
      </c>
      <c r="D81" s="22" t="s">
        <v>69</v>
      </c>
      <c r="E81" s="16">
        <f>IFERROR(VLOOKUP($B$75&amp;"-"&amp;$C$81&amp;"-"&amp;$D81,dat_nespresso_shop_chl!$E:$N,2,0),"")</f>
        <v>1</v>
      </c>
      <c r="F81" s="16">
        <f>IFERROR(VLOOKUP($B$75&amp;"-"&amp;$C$81&amp;"-"&amp;$D81,dat_nespresso_shop_chl!$E:$N,3,0),"")</f>
        <v>88375</v>
      </c>
      <c r="G81" s="23">
        <f>IFERROR(VLOOKUP($B$75&amp;"-"&amp;$C$81&amp;"-"&amp;$D81,dat_nespresso_shop_chl!$E:$N,4,0),"")</f>
        <v>0</v>
      </c>
      <c r="H81" s="23">
        <f>IFERROR(VLOOKUP($B$75&amp;"-"&amp;$C$81&amp;"-"&amp;$D81,dat_nespresso_shop_chl!$E:$N,5,0),"")</f>
        <v>0</v>
      </c>
      <c r="I81" s="16">
        <f>IFERROR(VLOOKUP($B$75&amp;"-"&amp;$C$81&amp;"-"&amp;$D81,dat_nespresso_shop_chl!$E:$N,6,0),"")</f>
        <v>0</v>
      </c>
      <c r="J81" s="16">
        <f>IFERROR(VLOOKUP($B$75&amp;"-"&amp;$C$81&amp;"-"&amp;$D81,dat_nespresso_shop_chl!$E:$N,7,0),"")</f>
        <v>0</v>
      </c>
      <c r="L81" s="24" t="str">
        <f>IFERROR(J81/I81-1,"-")</f>
        <v>-</v>
      </c>
      <c r="M81" s="24">
        <f>IFERROR(F81/E81-1,"-")</f>
        <v>88374</v>
      </c>
      <c r="N81" s="24">
        <f>IFERROR(H81-G81,"-")</f>
        <v>0</v>
      </c>
    </row>
    <row r="82" spans="2:14" x14ac:dyDescent="0.25">
      <c r="B82" s="281"/>
      <c r="C82" s="281"/>
      <c r="D82" s="22" t="s">
        <v>70</v>
      </c>
      <c r="E82" s="16">
        <f>IFERROR(VLOOKUP($B$75&amp;"-"&amp;$C$81&amp;"-"&amp;$D82,dat_nespresso_shop_chl!$E:$N,2,0),"")</f>
        <v>11395</v>
      </c>
      <c r="F82" s="16">
        <f>IFERROR(VLOOKUP($B$75&amp;"-"&amp;$C$81&amp;"-"&amp;$D82,dat_nespresso_shop_chl!$E:$N,3,0),"")</f>
        <v>9456</v>
      </c>
      <c r="G82" s="23">
        <f>IFERROR(VLOOKUP($B$75&amp;"-"&amp;$C$81&amp;"-"&amp;$D82,dat_nespresso_shop_chl!$E:$N,4,0),"")</f>
        <v>0</v>
      </c>
      <c r="H82" s="23">
        <f>IFERROR(VLOOKUP($B$75&amp;"-"&amp;$C$81&amp;"-"&amp;$D82,dat_nespresso_shop_chl!$E:$N,5,0),"")</f>
        <v>0</v>
      </c>
      <c r="I82" s="16">
        <f>IFERROR(VLOOKUP($B$75&amp;"-"&amp;$C$81&amp;"-"&amp;$D82,dat_nespresso_shop_chl!$E:$N,6,0),"")</f>
        <v>0</v>
      </c>
      <c r="J82" s="16">
        <f>IFERROR(VLOOKUP($B$75&amp;"-"&amp;$C$81&amp;"-"&amp;$D82,dat_nespresso_shop_chl!$E:$N,7,0),"")</f>
        <v>0</v>
      </c>
      <c r="L82" s="24" t="str">
        <f>IFERROR(J82/I82-1,"-")</f>
        <v>-</v>
      </c>
      <c r="M82" s="24">
        <f>IFERROR(F82/E82-1,"-")</f>
        <v>-0.17016235190873186</v>
      </c>
      <c r="N82" s="24">
        <f>IFERROR(H82-G82,"-")</f>
        <v>0</v>
      </c>
    </row>
    <row r="83" spans="2:14" x14ac:dyDescent="0.25">
      <c r="B83" s="281"/>
      <c r="C83" s="283"/>
      <c r="D83" s="22" t="s">
        <v>71</v>
      </c>
      <c r="E83" s="20" t="str">
        <f>IFERROR(VLOOKUP($B$75&amp;"-"&amp;$C$81&amp;"-"&amp;$D83,dat_nespresso_shop_chl!$E:$N,2,0),"")</f>
        <v/>
      </c>
      <c r="F83" s="20" t="str">
        <f>IFERROR(VLOOKUP($B$75&amp;"-"&amp;$C$81&amp;"-"&amp;$D83,dat_nespresso_shop_chl!$E:$N,3,0),"")</f>
        <v/>
      </c>
      <c r="G83" s="23" t="str">
        <f>IFERROR(VLOOKUP($B$75&amp;"-"&amp;$C$81&amp;"-"&amp;$D83,dat_nespresso_shop_chl!$E:$N,4,0),"")</f>
        <v/>
      </c>
      <c r="H83" s="23" t="str">
        <f>IFERROR(VLOOKUP($B$75&amp;"-"&amp;$C$81&amp;"-"&amp;$D83,dat_nespresso_shop_chl!$E:$N,5,0),"")</f>
        <v/>
      </c>
      <c r="I83" s="20" t="str">
        <f>IFERROR(VLOOKUP($B$75&amp;"-"&amp;$C$81&amp;"-"&amp;$D83,dat_nespresso_shop_chl!$E:$N,6,0),"")</f>
        <v/>
      </c>
      <c r="J83" s="20" t="str">
        <f>IFERROR(VLOOKUP($B$75&amp;"-"&amp;$C$81&amp;"-"&amp;$D83,dat_nespresso_shop_chl!$E:$N,7,0),"")</f>
        <v/>
      </c>
      <c r="L83" s="24" t="str">
        <f>IFERROR(J83/I83-1,"-")</f>
        <v>-</v>
      </c>
      <c r="M83" s="24" t="str">
        <f>IFERROR(F83/E83-1,"-")</f>
        <v>-</v>
      </c>
      <c r="N83" s="24" t="str">
        <f>IFERROR(H83-G83,"-")</f>
        <v>-</v>
      </c>
    </row>
    <row r="84" spans="2:14" x14ac:dyDescent="0.25">
      <c r="B84" s="281"/>
      <c r="C84" s="287" t="s">
        <v>72</v>
      </c>
      <c r="D84" s="22" t="s">
        <v>73</v>
      </c>
      <c r="E84" s="20">
        <f>IFERROR(VLOOKUP($B$75&amp;"-"&amp;$C$84&amp;"-"&amp;$D84,dat_nespresso_shop_chl!$E:$N,2,0),"")</f>
        <v>17914</v>
      </c>
      <c r="F84" s="20">
        <f>IFERROR(VLOOKUP($B$75&amp;"-"&amp;$C$84&amp;"-"&amp;$D84,dat_nespresso_shop_chl!$E:$N,3,0),"")</f>
        <v>13327</v>
      </c>
      <c r="G84" s="23">
        <f>IFERROR(VLOOKUP($B$75&amp;"-"&amp;$C$84&amp;"-"&amp;$D84,dat_nespresso_shop_chl!$E:$N,4,0),"")</f>
        <v>0.10466674109634901</v>
      </c>
      <c r="H84" s="23">
        <f>IFERROR(VLOOKUP($B$75&amp;"-"&amp;$C$84&amp;"-"&amp;$D84,dat_nespresso_shop_chl!$E:$N,5,0),"")</f>
        <v>4.5246492083739702E-2</v>
      </c>
      <c r="I84" s="20">
        <f>IFERROR(VLOOKUP($B$75&amp;"-"&amp;$C$84&amp;"-"&amp;$D84,dat_nespresso_shop_chl!$E:$N,6,0),"")</f>
        <v>1875</v>
      </c>
      <c r="J84" s="20">
        <f>IFERROR(VLOOKUP($B$75&amp;"-"&amp;$C$84&amp;"-"&amp;$D84,dat_nespresso_shop_chl!$E:$N,7,0),"")</f>
        <v>603</v>
      </c>
      <c r="L84" s="24">
        <f>IFERROR(J84/I84-1,"-")</f>
        <v>-0.6784</v>
      </c>
      <c r="M84" s="24">
        <f>IFERROR(F84/E84-1,"-")</f>
        <v>-0.2560567154181087</v>
      </c>
      <c r="N84" s="24">
        <f>IFERROR(H84-G84,"-")</f>
        <v>-5.9420249012609304E-2</v>
      </c>
    </row>
    <row r="85" spans="2:14" x14ac:dyDescent="0.25">
      <c r="B85" s="281"/>
      <c r="C85" s="281"/>
      <c r="D85" s="22" t="s">
        <v>74</v>
      </c>
      <c r="G85" s="23"/>
      <c r="H85" s="23"/>
      <c r="I85" s="20"/>
      <c r="J85" s="20"/>
      <c r="L85" s="24"/>
      <c r="M85" s="24"/>
      <c r="N85" s="24"/>
    </row>
    <row r="86" spans="2:14" x14ac:dyDescent="0.25">
      <c r="B86" s="283"/>
      <c r="C86" s="283"/>
      <c r="D86" s="22" t="s">
        <v>75</v>
      </c>
      <c r="E86" s="16">
        <f>IFERROR(VLOOKUP($B$75&amp;"-"&amp;$C$84&amp;"-"&amp;$D86,dat_nespresso_shop_chl!$E:$N,2,0),"")</f>
        <v>210</v>
      </c>
      <c r="F86" s="16">
        <f>IFERROR(VLOOKUP($B$75&amp;"-"&amp;$C$84&amp;"-"&amp;$D86,dat_nespresso_shop_chl!$E:$N,3,0),"")</f>
        <v>164</v>
      </c>
      <c r="G86" s="23">
        <f>IFERROR(VLOOKUP($B$75&amp;"-"&amp;$C$84&amp;"-"&amp;$D86,dat_nespresso_shop_chl!$E:$N,4,0),"")</f>
        <v>0</v>
      </c>
      <c r="H86" s="23">
        <f>IFERROR(VLOOKUP($B$75&amp;"-"&amp;$C$84&amp;"-"&amp;$D86,dat_nespresso_shop_chl!$E:$N,5,0),"")</f>
        <v>0</v>
      </c>
      <c r="I86" s="16">
        <f>IFERROR(VLOOKUP($B$75&amp;"-"&amp;$C$84&amp;"-"&amp;$D86,dat_nespresso_shop_chl!$E:$N,6,0),"")</f>
        <v>0</v>
      </c>
      <c r="J86" s="16">
        <f>IFERROR(VLOOKUP($B$75&amp;"-"&amp;$C$84&amp;"-"&amp;$D86,dat_nespresso_shop_chl!$E:$N,7,0),"")</f>
        <v>0</v>
      </c>
      <c r="L86" s="24" t="str">
        <f t="shared" ref="L86:L93" si="48">IFERROR(J86/I86-1,"-")</f>
        <v>-</v>
      </c>
      <c r="M86" s="24">
        <f t="shared" ref="M86:M93" si="49">IFERROR(F86/E86-1,"-")</f>
        <v>-0.21904761904761905</v>
      </c>
      <c r="N86" s="24">
        <f t="shared" ref="N86:N93" si="50">IFERROR(H86-G86,"-")</f>
        <v>0</v>
      </c>
    </row>
    <row r="87" spans="2:14" x14ac:dyDescent="0.25">
      <c r="B87" s="287" t="s">
        <v>76</v>
      </c>
      <c r="C87" s="22" t="s">
        <v>77</v>
      </c>
      <c r="D87" s="22" t="s">
        <v>78</v>
      </c>
      <c r="E87" s="16">
        <f>IFERROR(VLOOKUP($B$87&amp;"-"&amp;$C87&amp;"-"&amp;$D87,dat_nespresso_shop_chl!$E:$N,2,0),"")</f>
        <v>51267</v>
      </c>
      <c r="F87" s="16">
        <f>IFERROR(VLOOKUP($B$87&amp;"-"&amp;$C87&amp;"-"&amp;$D87,dat_nespresso_shop_chl!$E:$N,3,0),"")</f>
        <v>25801</v>
      </c>
      <c r="G87" s="23">
        <f>IFERROR(VLOOKUP($B$87&amp;"-"&amp;$C87&amp;"-"&amp;$D87,dat_nespresso_shop_chl!$E:$N,4,0),"")</f>
        <v>6.20282052782491E-2</v>
      </c>
      <c r="H87" s="23">
        <f>IFERROR(VLOOKUP($B$87&amp;"-"&amp;$C87&amp;"-"&amp;$D87,dat_nespresso_shop_chl!$E:$N,5,0),"")</f>
        <v>8.1275919538002395E-2</v>
      </c>
      <c r="I87" s="16">
        <f>IFERROR(VLOOKUP($B$87&amp;"-"&amp;$C87&amp;"-"&amp;$D87,dat_nespresso_shop_chl!$E:$N,6,0),"")</f>
        <v>3180</v>
      </c>
      <c r="J87" s="16">
        <f>IFERROR(VLOOKUP($B$87&amp;"-"&amp;$C87&amp;"-"&amp;$D87,dat_nespresso_shop_chl!$E:$N,7,0),"")</f>
        <v>2097</v>
      </c>
      <c r="L87" s="24">
        <f t="shared" si="48"/>
        <v>-0.34056603773584904</v>
      </c>
      <c r="M87" s="24">
        <f t="shared" si="49"/>
        <v>-0.49673279107418022</v>
      </c>
      <c r="N87" s="24">
        <f t="shared" si="50"/>
        <v>1.9247714259753294E-2</v>
      </c>
    </row>
    <row r="88" spans="2:14" x14ac:dyDescent="0.25">
      <c r="B88" s="281"/>
      <c r="C88" s="22" t="s">
        <v>79</v>
      </c>
      <c r="D88" s="22" t="s">
        <v>78</v>
      </c>
      <c r="E88" s="16">
        <f>IFERROR(VLOOKUP($B$87&amp;"-"&amp;$C88&amp;"-"&amp;$D88,dat_nespresso_shop_chl!$E:$N,2,0),"")</f>
        <v>79405</v>
      </c>
      <c r="F88" s="16">
        <f>IFERROR(VLOOKUP($B$87&amp;"-"&amp;$C88&amp;"-"&amp;$D88,dat_nespresso_shop_chl!$E:$N,3,0),"")</f>
        <v>68500</v>
      </c>
      <c r="G88" s="23">
        <f>IFERROR(VLOOKUP($B$87&amp;"-"&amp;$C88&amp;"-"&amp;$D88,dat_nespresso_shop_chl!$E:$N,4,0),"")</f>
        <v>1.4558277186575101E-2</v>
      </c>
      <c r="H88" s="23">
        <f>IFERROR(VLOOKUP($B$87&amp;"-"&amp;$C88&amp;"-"&amp;$D88,dat_nespresso_shop_chl!$E:$N,5,0),"")</f>
        <v>6.87591240875912E-3</v>
      </c>
      <c r="I88" s="16">
        <f>IFERROR(VLOOKUP($B$87&amp;"-"&amp;$C88&amp;"-"&amp;$D88,dat_nespresso_shop_chl!$E:$N,6,0),"")</f>
        <v>1156</v>
      </c>
      <c r="J88" s="16">
        <f>IFERROR(VLOOKUP($B$87&amp;"-"&amp;$C88&amp;"-"&amp;$D88,dat_nespresso_shop_chl!$E:$N,7,0),"")</f>
        <v>471</v>
      </c>
      <c r="L88" s="24">
        <f t="shared" si="48"/>
        <v>-0.59256055363321791</v>
      </c>
      <c r="M88" s="24">
        <f t="shared" si="49"/>
        <v>-0.13733392103771802</v>
      </c>
      <c r="N88" s="24">
        <f t="shared" si="50"/>
        <v>-7.6823647778159806E-3</v>
      </c>
    </row>
    <row r="89" spans="2:14" x14ac:dyDescent="0.25">
      <c r="B89" s="281"/>
      <c r="C89" s="22" t="s">
        <v>80</v>
      </c>
      <c r="D89" s="22" t="s">
        <v>78</v>
      </c>
      <c r="E89" s="16">
        <f>IFERROR(VLOOKUP($B$87&amp;"-"&amp;$C89&amp;"-"&amp;$D89,dat_nespresso_shop_chl!$E:$N,2,0),"")</f>
        <v>94156</v>
      </c>
      <c r="F89" s="16">
        <f>IFERROR(VLOOKUP($B$87&amp;"-"&amp;$C89&amp;"-"&amp;$D89,dat_nespresso_shop_chl!$E:$N,3,0),"")</f>
        <v>96599</v>
      </c>
      <c r="G89" s="23">
        <f>IFERROR(VLOOKUP($B$87&amp;"-"&amp;$C89&amp;"-"&amp;$D89,dat_nespresso_shop_chl!$E:$N,4,0),"")</f>
        <v>4.7612472917286201E-2</v>
      </c>
      <c r="H89" s="23">
        <f>IFERROR(VLOOKUP($B$87&amp;"-"&amp;$C89&amp;"-"&amp;$D89,dat_nespresso_shop_chl!$E:$N,5,0),"")</f>
        <v>4.8892845681632303E-2</v>
      </c>
      <c r="I89" s="16">
        <f>IFERROR(VLOOKUP($B$87&amp;"-"&amp;$C89&amp;"-"&amp;$D89,dat_nespresso_shop_chl!$E:$N,6,0),"")</f>
        <v>4483</v>
      </c>
      <c r="J89" s="16">
        <f>IFERROR(VLOOKUP($B$87&amp;"-"&amp;$C89&amp;"-"&amp;$D89,dat_nespresso_shop_chl!$E:$N,7,0),"")</f>
        <v>4723</v>
      </c>
      <c r="L89" s="24">
        <f t="shared" si="48"/>
        <v>5.3535578853446397E-2</v>
      </c>
      <c r="M89" s="24">
        <f t="shared" si="49"/>
        <v>2.5946301881982992E-2</v>
      </c>
      <c r="N89" s="24">
        <f t="shared" si="50"/>
        <v>1.2803727643461021E-3</v>
      </c>
    </row>
    <row r="90" spans="2:14" x14ac:dyDescent="0.25">
      <c r="B90" s="281"/>
      <c r="C90" s="22" t="s">
        <v>81</v>
      </c>
      <c r="D90" s="22" t="s">
        <v>78</v>
      </c>
      <c r="E90" s="16">
        <f>IFERROR(VLOOKUP($B$87&amp;"-"&amp;$C90&amp;"-"&amp;$D90,dat_nespresso_shop_chl!$E:$N,2,0),"")</f>
        <v>76790</v>
      </c>
      <c r="F90" s="16">
        <f>IFERROR(VLOOKUP($B$87&amp;"-"&amp;$C90&amp;"-"&amp;$D90,dat_nespresso_shop_chl!$E:$N,3,0),"")</f>
        <v>38139</v>
      </c>
      <c r="G90" s="23">
        <f>IFERROR(VLOOKUP($B$87&amp;"-"&amp;$C90&amp;"-"&amp;$D90,dat_nespresso_shop_chl!$E:$N,4,0),"")</f>
        <v>1.3751790597733999E-2</v>
      </c>
      <c r="H90" s="23">
        <f>IFERROR(VLOOKUP($B$87&amp;"-"&amp;$C90&amp;"-"&amp;$D90,dat_nespresso_shop_chl!$E:$N,5,0),"")</f>
        <v>1.253310259839E-2</v>
      </c>
      <c r="I90" s="16">
        <f>IFERROR(VLOOKUP($B$87&amp;"-"&amp;$C90&amp;"-"&amp;$D90,dat_nespresso_shop_chl!$E:$N,6,0),"")</f>
        <v>1056</v>
      </c>
      <c r="J90" s="16">
        <f>IFERROR(VLOOKUP($B$87&amp;"-"&amp;$C90&amp;"-"&amp;$D90,dat_nespresso_shop_chl!$E:$N,7,0),"")</f>
        <v>478</v>
      </c>
      <c r="L90" s="24">
        <f t="shared" si="48"/>
        <v>-0.54734848484848486</v>
      </c>
      <c r="M90" s="24">
        <f t="shared" si="49"/>
        <v>-0.50333376741763258</v>
      </c>
      <c r="N90" s="24">
        <f t="shared" si="50"/>
        <v>-1.2186879993439995E-3</v>
      </c>
    </row>
    <row r="91" spans="2:14" x14ac:dyDescent="0.25">
      <c r="B91" s="281"/>
      <c r="C91" s="22" t="s">
        <v>82</v>
      </c>
      <c r="D91" s="22" t="s">
        <v>78</v>
      </c>
      <c r="E91" s="16">
        <f>IFERROR(VLOOKUP($B$87&amp;"-"&amp;$C91&amp;"-"&amp;$D91,dat_nespresso_shop_chl!$E:$N,2,0),"")</f>
        <v>57297</v>
      </c>
      <c r="F91" s="16">
        <f>IFERROR(VLOOKUP($B$87&amp;"-"&amp;$C91&amp;"-"&amp;$D91,dat_nespresso_shop_chl!$E:$N,3,0),"")</f>
        <v>35280</v>
      </c>
      <c r="G91" s="23">
        <f>IFERROR(VLOOKUP($B$87&amp;"-"&amp;$C91&amp;"-"&amp;$D91,dat_nespresso_shop_chl!$E:$N,4,0),"")</f>
        <v>0.13887289037820399</v>
      </c>
      <c r="H91" s="23">
        <f>IFERROR(VLOOKUP($B$87&amp;"-"&amp;$C91&amp;"-"&amp;$D91,dat_nespresso_shop_chl!$E:$N,5,0),"")</f>
        <v>0.128628117913832</v>
      </c>
      <c r="I91" s="16">
        <f>IFERROR(VLOOKUP($B$87&amp;"-"&amp;$C91&amp;"-"&amp;$D91,dat_nespresso_shop_chl!$E:$N,6,0),"")</f>
        <v>7957</v>
      </c>
      <c r="J91" s="16">
        <f>IFERROR(VLOOKUP($B$87&amp;"-"&amp;$C91&amp;"-"&amp;$D91,dat_nespresso_shop_chl!$E:$N,7,0),"")</f>
        <v>4538</v>
      </c>
      <c r="L91" s="24">
        <f t="shared" si="48"/>
        <v>-0.42968455448033183</v>
      </c>
      <c r="M91" s="24">
        <f t="shared" si="49"/>
        <v>-0.38426095607099853</v>
      </c>
      <c r="N91" s="24">
        <f t="shared" si="50"/>
        <v>-1.0244772464371998E-2</v>
      </c>
    </row>
    <row r="92" spans="2:14" x14ac:dyDescent="0.25">
      <c r="B92" s="281"/>
      <c r="C92" s="22" t="s">
        <v>83</v>
      </c>
      <c r="D92" s="22" t="s">
        <v>78</v>
      </c>
      <c r="E92" s="16">
        <f>IFERROR(VLOOKUP($B$87&amp;"-"&amp;$C92&amp;"-"&amp;$D92,dat_nespresso_shop_chl!$E:$N,2,0),"")</f>
        <v>53648</v>
      </c>
      <c r="F92" s="16">
        <f>IFERROR(VLOOKUP($B$87&amp;"-"&amp;$C92&amp;"-"&amp;$D92,dat_nespresso_shop_chl!$E:$N,3,0),"")</f>
        <v>31071</v>
      </c>
      <c r="G92" s="23">
        <f>IFERROR(VLOOKUP($B$87&amp;"-"&amp;$C92&amp;"-"&amp;$D92,dat_nespresso_shop_chl!$E:$N,4,0),"")</f>
        <v>0.34252907843722002</v>
      </c>
      <c r="H92" s="23">
        <f>IFERROR(VLOOKUP($B$87&amp;"-"&amp;$C92&amp;"-"&amp;$D92,dat_nespresso_shop_chl!$E:$N,5,0),"")</f>
        <v>0.23900099771491101</v>
      </c>
      <c r="I92" s="16">
        <f>IFERROR(VLOOKUP($B$87&amp;"-"&amp;$C92&amp;"-"&amp;$D92,dat_nespresso_shop_chl!$E:$N,6,0),"")</f>
        <v>18376</v>
      </c>
      <c r="J92" s="16">
        <f>IFERROR(VLOOKUP($B$87&amp;"-"&amp;$C92&amp;"-"&amp;$D92,dat_nespresso_shop_chl!$E:$N,7,0),"")</f>
        <v>7426</v>
      </c>
      <c r="L92" s="24">
        <f t="shared" si="48"/>
        <v>-0.59588593818023505</v>
      </c>
      <c r="M92" s="24">
        <f t="shared" si="49"/>
        <v>-0.42083581866984787</v>
      </c>
      <c r="N92" s="24">
        <f t="shared" si="50"/>
        <v>-0.10352808072230901</v>
      </c>
    </row>
    <row r="93" spans="2:14" x14ac:dyDescent="0.25">
      <c r="B93" s="283"/>
      <c r="C93" s="22" t="s">
        <v>84</v>
      </c>
      <c r="D93" s="22" t="s">
        <v>78</v>
      </c>
      <c r="E93" s="16">
        <f>IFERROR(VLOOKUP($B$87&amp;"-"&amp;$C93&amp;"-"&amp;$D93,dat_nespresso_shop_chl!$E:$N,2,0),"")</f>
        <v>14464</v>
      </c>
      <c r="F93" s="16">
        <f>IFERROR(VLOOKUP($B$87&amp;"-"&amp;$C93&amp;"-"&amp;$D93,dat_nespresso_shop_chl!$E:$N,3,0),"")</f>
        <v>10836</v>
      </c>
      <c r="G93" s="23">
        <f>IFERROR(VLOOKUP($B$87&amp;"-"&amp;$C93&amp;"-"&amp;$D93,dat_nespresso_shop_chl!$E:$N,4,0),"")</f>
        <v>0.122995022123893</v>
      </c>
      <c r="H93" s="23">
        <f>IFERROR(VLOOKUP($B$87&amp;"-"&amp;$C93&amp;"-"&amp;$D93,dat_nespresso_shop_chl!$E:$N,5,0),"")</f>
        <v>0.13713547434477599</v>
      </c>
      <c r="I93" s="16">
        <f>IFERROR(VLOOKUP($B$87&amp;"-"&amp;$C93&amp;"-"&amp;$D93,dat_nespresso_shop_chl!$E:$N,6,0),"")</f>
        <v>1779</v>
      </c>
      <c r="J93" s="16">
        <f>IFERROR(VLOOKUP($B$87&amp;"-"&amp;$C93&amp;"-"&amp;$D93,dat_nespresso_shop_chl!$E:$N,7,0),"")</f>
        <v>1486</v>
      </c>
      <c r="L93" s="24">
        <f t="shared" si="48"/>
        <v>-0.16469926925238898</v>
      </c>
      <c r="M93" s="24">
        <f t="shared" si="49"/>
        <v>-0.25082964601769908</v>
      </c>
      <c r="N93" s="24">
        <f t="shared" si="50"/>
        <v>1.414045222088299E-2</v>
      </c>
    </row>
    <row r="94" spans="2:14" x14ac:dyDescent="0.25">
      <c r="B94" s="2"/>
      <c r="C94" s="2"/>
      <c r="D94" s="2"/>
      <c r="F94" s="1"/>
      <c r="G94" s="20"/>
    </row>
    <row r="95" spans="2:14" x14ac:dyDescent="0.25">
      <c r="B95" s="3" t="s">
        <v>59</v>
      </c>
      <c r="C95" s="3" t="s">
        <v>78</v>
      </c>
      <c r="D95" s="3" t="s">
        <v>78</v>
      </c>
      <c r="E95" s="16">
        <f>IFERROR(VLOOKUP($B95&amp;"-"&amp;$C95&amp;"-"&amp;$D95,dat_nespresso_shop_chl!$E:$N,2,0),"")</f>
        <v>680174</v>
      </c>
      <c r="F95" s="16">
        <f>IFERROR(VLOOKUP($B95&amp;"-"&amp;$C95&amp;"-"&amp;$D95,dat_nespresso_shop_chl!$E:$N,3,0),"")</f>
        <v>415768</v>
      </c>
      <c r="G95" s="23">
        <f>IFERROR(VLOOKUP($B95&amp;"-"&amp;$C95&amp;"-"&amp;$D95,dat_nespresso_shop_chl!$E:$N,4,0),"")</f>
        <v>1.81115420465939E-2</v>
      </c>
      <c r="H95" s="23">
        <f>IFERROR(VLOOKUP($B95&amp;"-"&amp;$C95&amp;"-"&amp;$D95,dat_nespresso_shop_chl!$E:$N,5,0),"")</f>
        <v>1.5234457678320599E-2</v>
      </c>
      <c r="I95" s="16">
        <f>IFERROR(VLOOKUP($B95&amp;"-"&amp;$C95&amp;"-"&amp;$D95,dat_nespresso_shop_chl!$E:$N,6,0),"")</f>
        <v>12319</v>
      </c>
      <c r="J95" s="16">
        <f>IFERROR(VLOOKUP($B95&amp;"-"&amp;$C95&amp;"-"&amp;$D95,dat_nespresso_shop_chl!$E:$N,7,0),"")</f>
        <v>6334</v>
      </c>
      <c r="L95" s="24">
        <f>IFERROR(J95/I95-1,"-")</f>
        <v>-0.48583488919555162</v>
      </c>
      <c r="M95" s="24">
        <f>IFERROR(F95/E95-1,"-")</f>
        <v>-0.38873288305639442</v>
      </c>
      <c r="N95" s="24">
        <f>IFERROR(H95-G95,"-")</f>
        <v>-2.877084368273301E-3</v>
      </c>
    </row>
    <row r="96" spans="2:14" x14ac:dyDescent="0.25">
      <c r="B96" s="3" t="s">
        <v>76</v>
      </c>
      <c r="C96" s="3" t="s">
        <v>78</v>
      </c>
      <c r="D96" s="3" t="s">
        <v>78</v>
      </c>
      <c r="E96" s="16">
        <f>IFERROR(VLOOKUP($B96&amp;"-"&amp;$C96&amp;"-"&amp;$D96,dat_nespresso_shop_chl!$E:$N,2,0),"")</f>
        <v>448956</v>
      </c>
      <c r="F96" s="16">
        <f>IFERROR(VLOOKUP($B96&amp;"-"&amp;$C96&amp;"-"&amp;$D96,dat_nespresso_shop_chl!$E:$N,3,0),"")</f>
        <v>276477</v>
      </c>
      <c r="G96" s="23">
        <f>IFERROR(VLOOKUP($B96&amp;"-"&amp;$C96&amp;"-"&amp;$D96,dat_nespresso_shop_chl!$E:$N,4,0),"")</f>
        <v>6.52758844964762E-2</v>
      </c>
      <c r="H96" s="23">
        <f>IFERROR(VLOOKUP($B96&amp;"-"&amp;$C96&amp;"-"&amp;$D96,dat_nespresso_shop_chl!$E:$N,5,0),"")</f>
        <v>5.6984848649254703E-2</v>
      </c>
      <c r="I96" s="16">
        <f>IFERROR(VLOOKUP($B96&amp;"-"&amp;$C96&amp;"-"&amp;$D96,dat_nespresso_shop_chl!$E:$N,6,0),"")</f>
        <v>29306</v>
      </c>
      <c r="J96" s="16">
        <f>IFERROR(VLOOKUP($B96&amp;"-"&amp;$C96&amp;"-"&amp;$D96,dat_nespresso_shop_chl!$E:$N,7,0),"")</f>
        <v>15755</v>
      </c>
      <c r="L96" s="24">
        <f>IFERROR(J96/I96-1,"-")</f>
        <v>-0.46239677881662455</v>
      </c>
      <c r="M96" s="24">
        <f>IFERROR(F96/E96-1,"-")</f>
        <v>-0.38417795953278278</v>
      </c>
      <c r="N96" s="24">
        <f>IFERROR(H96-G96,"-")</f>
        <v>-8.2910358472214965E-3</v>
      </c>
    </row>
    <row r="97" spans="2:16" x14ac:dyDescent="0.25">
      <c r="B97" s="2"/>
      <c r="C97" s="2"/>
      <c r="D97" s="2"/>
    </row>
    <row r="98" spans="2:16" x14ac:dyDescent="0.25">
      <c r="C98" s="2"/>
    </row>
    <row r="99" spans="2:16" s="5" customFormat="1" ht="23.5" customHeight="1" x14ac:dyDescent="0.25">
      <c r="B99" s="270" t="s">
        <v>85</v>
      </c>
      <c r="C99" s="271"/>
      <c r="D99" s="271"/>
      <c r="E99" s="271"/>
      <c r="F99" s="271"/>
      <c r="N99" s="6"/>
      <c r="O99" s="6"/>
      <c r="P99" s="6"/>
    </row>
    <row r="101" spans="2:16" ht="16.25" customHeight="1" x14ac:dyDescent="0.25">
      <c r="B101" s="272" t="s">
        <v>86</v>
      </c>
      <c r="C101" s="273"/>
      <c r="D101" s="273"/>
      <c r="E101" s="274"/>
    </row>
    <row r="102" spans="2:16" ht="16.25" customHeight="1" x14ac:dyDescent="0.25">
      <c r="B102" s="26"/>
      <c r="C102" s="199" t="s">
        <v>87</v>
      </c>
      <c r="D102" s="200" t="s">
        <v>88</v>
      </c>
      <c r="E102" s="199" t="s">
        <v>89</v>
      </c>
    </row>
    <row r="103" spans="2:16" x14ac:dyDescent="0.25">
      <c r="B103" s="27">
        <v>1</v>
      </c>
      <c r="C103" s="27" t="str">
        <f>dat_nespresso_shop_rk_se!C2</f>
        <v>nespresso</v>
      </c>
      <c r="D103" s="16">
        <f>dat_nespresso_shop_rk_se!D2</f>
        <v>18382</v>
      </c>
      <c r="E103" s="16">
        <f>dat_nespresso_shop_rk_se!E2</f>
        <v>13678</v>
      </c>
    </row>
    <row r="104" spans="2:16" x14ac:dyDescent="0.25">
      <c r="B104" s="27">
        <v>2</v>
      </c>
      <c r="C104" s="27" t="str">
        <f>dat_nespresso_shop_rk_se!C3</f>
        <v>nespresso胶囊</v>
      </c>
      <c r="D104" s="16">
        <f>dat_nespresso_shop_rk_se!D3</f>
        <v>14313</v>
      </c>
      <c r="E104" s="16">
        <f>dat_nespresso_shop_rk_se!E3</f>
        <v>10102</v>
      </c>
    </row>
    <row r="105" spans="2:16" x14ac:dyDescent="0.25">
      <c r="B105" s="27">
        <v>3</v>
      </c>
      <c r="C105" s="27" t="str">
        <f>dat_nespresso_shop_rk_se!C4</f>
        <v>nespresso咖啡机</v>
      </c>
      <c r="D105" s="16">
        <f>dat_nespresso_shop_rk_se!D4</f>
        <v>7358</v>
      </c>
      <c r="E105" s="16">
        <f>dat_nespresso_shop_rk_se!E4</f>
        <v>8040</v>
      </c>
    </row>
    <row r="106" spans="2:16" x14ac:dyDescent="0.25">
      <c r="B106" s="27">
        <v>4</v>
      </c>
      <c r="C106" s="27" t="str">
        <f>dat_nespresso_shop_rk_se!C5</f>
        <v>nespresso官方旗舰店</v>
      </c>
      <c r="D106" s="16">
        <f>dat_nespresso_shop_rk_se!D5</f>
        <v>5217</v>
      </c>
      <c r="E106" s="16">
        <f>dat_nespresso_shop_rk_se!E5</f>
        <v>3282</v>
      </c>
    </row>
    <row r="107" spans="2:16" x14ac:dyDescent="0.25">
      <c r="B107" s="27">
        <v>5</v>
      </c>
      <c r="C107" s="27" t="str">
        <f>dat_nespresso_shop_rk_se!C6</f>
        <v>nespresso胶囊咖啡机</v>
      </c>
      <c r="D107" s="16">
        <f>dat_nespresso_shop_rk_se!D6</f>
        <v>4253</v>
      </c>
      <c r="E107" s="16">
        <f>dat_nespresso_shop_rk_se!E6</f>
        <v>3159</v>
      </c>
    </row>
    <row r="108" spans="2:16" x14ac:dyDescent="0.25">
      <c r="B108" s="27">
        <v>6</v>
      </c>
      <c r="C108" s="27" t="str">
        <f>dat_nespresso_shop_rk_se!C7</f>
        <v>咖啡胶囊nespresso</v>
      </c>
      <c r="D108" s="16">
        <f>dat_nespresso_shop_rk_se!D7</f>
        <v>3194</v>
      </c>
      <c r="E108" s="16">
        <f>dat_nespresso_shop_rk_se!E7</f>
        <v>2732</v>
      </c>
    </row>
    <row r="109" spans="2:16" x14ac:dyDescent="0.25">
      <c r="B109" s="27">
        <v>7</v>
      </c>
      <c r="C109" s="27" t="str">
        <f>dat_nespresso_shop_rk_se!C8</f>
        <v>nespresso 咖啡机</v>
      </c>
      <c r="D109" s="16">
        <f>dat_nespresso_shop_rk_se!D8</f>
        <v>4364</v>
      </c>
      <c r="E109" s="16">
        <f>dat_nespresso_shop_rk_se!E8</f>
        <v>2009</v>
      </c>
    </row>
    <row r="110" spans="2:16" x14ac:dyDescent="0.25">
      <c r="B110" s="27">
        <v>8</v>
      </c>
      <c r="C110" s="27" t="str">
        <f>dat_nespresso_shop_rk_se!C9</f>
        <v>胶囊咖啡nespresso</v>
      </c>
      <c r="D110" s="16">
        <f>dat_nespresso_shop_rk_se!D9</f>
        <v>739</v>
      </c>
      <c r="E110" s="16">
        <f>dat_nespresso_shop_rk_se!E9</f>
        <v>1538</v>
      </c>
    </row>
    <row r="111" spans="2:16" x14ac:dyDescent="0.25">
      <c r="B111" s="27">
        <v>9</v>
      </c>
      <c r="C111" s="27" t="str">
        <f>dat_nespresso_shop_rk_se!C10</f>
        <v>胶囊咖啡机nespresso</v>
      </c>
      <c r="D111" s="16">
        <f>dat_nespresso_shop_rk_se!D10</f>
        <v>884</v>
      </c>
      <c r="E111" s="16">
        <f>dat_nespresso_shop_rk_se!E10</f>
        <v>1219</v>
      </c>
    </row>
    <row r="112" spans="2:16" x14ac:dyDescent="0.25">
      <c r="B112" s="27">
        <v>10</v>
      </c>
      <c r="C112" s="27" t="str">
        <f>dat_nespresso_shop_rk_se!C11</f>
        <v>nespresso胶囊机</v>
      </c>
      <c r="D112" s="16">
        <f>dat_nespresso_shop_rk_se!D11</f>
        <v>1270</v>
      </c>
      <c r="E112" s="16">
        <f>dat_nespresso_shop_rk_se!E11</f>
        <v>984</v>
      </c>
    </row>
    <row r="114" spans="1:17" ht="16.25" customHeight="1" x14ac:dyDescent="0.25">
      <c r="B114" s="286" t="s">
        <v>90</v>
      </c>
      <c r="C114" s="273"/>
      <c r="D114" s="273"/>
      <c r="E114" s="274"/>
      <c r="G114" s="28" t="s">
        <v>91</v>
      </c>
    </row>
    <row r="115" spans="1:17" s="205" customFormat="1" ht="16.25" customHeight="1" x14ac:dyDescent="0.25">
      <c r="A115" s="201"/>
      <c r="B115" s="202"/>
      <c r="C115" s="203" t="s">
        <v>10949</v>
      </c>
      <c r="D115" s="202" t="s">
        <v>10948</v>
      </c>
      <c r="E115" s="203" t="s">
        <v>10947</v>
      </c>
      <c r="F115" s="204"/>
      <c r="G115" s="203" t="s">
        <v>92</v>
      </c>
      <c r="H115" s="202">
        <v>22.4</v>
      </c>
      <c r="I115" s="202">
        <v>22.5</v>
      </c>
      <c r="J115" s="202">
        <v>22.6</v>
      </c>
      <c r="K115" s="202">
        <v>22.7</v>
      </c>
      <c r="L115" s="202">
        <v>22.8</v>
      </c>
      <c r="M115" s="202">
        <v>22.9</v>
      </c>
      <c r="N115" s="201"/>
      <c r="O115" s="201"/>
      <c r="P115" s="201"/>
      <c r="Q115" s="201"/>
    </row>
    <row r="116" spans="1:17" x14ac:dyDescent="0.25">
      <c r="B116" s="27">
        <v>1</v>
      </c>
      <c r="C116" s="27" t="s">
        <v>93</v>
      </c>
      <c r="D116" s="27">
        <v>554</v>
      </c>
      <c r="E116" s="27">
        <v>758</v>
      </c>
      <c r="G116" s="29" t="s">
        <v>93</v>
      </c>
      <c r="H116" s="27">
        <v>481</v>
      </c>
      <c r="I116" s="27">
        <v>577</v>
      </c>
      <c r="J116" s="27">
        <v>484</v>
      </c>
      <c r="K116" s="27">
        <v>356</v>
      </c>
      <c r="L116" s="27">
        <v>363</v>
      </c>
      <c r="M116" s="27">
        <v>360</v>
      </c>
    </row>
    <row r="117" spans="1:17" x14ac:dyDescent="0.25">
      <c r="B117" s="27">
        <v>2</v>
      </c>
      <c r="C117" s="27" t="s">
        <v>94</v>
      </c>
      <c r="D117" s="27">
        <v>142</v>
      </c>
      <c r="E117" s="27">
        <v>229</v>
      </c>
      <c r="G117" s="29" t="s">
        <v>94</v>
      </c>
      <c r="H117" s="27">
        <v>173</v>
      </c>
      <c r="I117" s="27">
        <v>93</v>
      </c>
      <c r="J117" s="27">
        <v>167</v>
      </c>
      <c r="K117" s="27">
        <v>210</v>
      </c>
      <c r="L117" s="27">
        <v>185</v>
      </c>
      <c r="M117" s="27">
        <v>164</v>
      </c>
    </row>
    <row r="118" spans="1:17" x14ac:dyDescent="0.25">
      <c r="B118" s="27">
        <v>3</v>
      </c>
      <c r="C118" s="27" t="s">
        <v>95</v>
      </c>
      <c r="D118" s="27">
        <v>122</v>
      </c>
      <c r="E118" s="27">
        <v>185</v>
      </c>
      <c r="G118" s="29" t="s">
        <v>95</v>
      </c>
      <c r="H118" s="27">
        <v>101</v>
      </c>
      <c r="I118" s="27">
        <v>65</v>
      </c>
      <c r="J118" s="27">
        <v>131</v>
      </c>
      <c r="K118" s="27">
        <v>165</v>
      </c>
      <c r="L118" s="27">
        <v>169</v>
      </c>
      <c r="M118" s="27">
        <v>139</v>
      </c>
    </row>
    <row r="119" spans="1:17" x14ac:dyDescent="0.25">
      <c r="B119" s="27">
        <v>4</v>
      </c>
      <c r="C119" s="27" t="s">
        <v>10941</v>
      </c>
      <c r="D119" s="27">
        <v>68</v>
      </c>
      <c r="E119" s="27">
        <v>180</v>
      </c>
      <c r="G119" s="29" t="s">
        <v>96</v>
      </c>
      <c r="H119" s="27">
        <v>100</v>
      </c>
      <c r="I119" s="27">
        <v>77</v>
      </c>
      <c r="J119" s="27">
        <v>91</v>
      </c>
      <c r="K119" s="27">
        <v>72</v>
      </c>
      <c r="L119" s="27">
        <v>43</v>
      </c>
      <c r="M119" s="27">
        <v>72</v>
      </c>
    </row>
    <row r="120" spans="1:17" x14ac:dyDescent="0.25">
      <c r="B120" s="27">
        <v>5</v>
      </c>
      <c r="C120" s="27" t="s">
        <v>10944</v>
      </c>
      <c r="D120" s="27">
        <v>90</v>
      </c>
      <c r="E120" s="27">
        <v>94</v>
      </c>
      <c r="G120" s="29" t="s">
        <v>97</v>
      </c>
      <c r="H120" s="27">
        <v>79</v>
      </c>
      <c r="I120" s="27">
        <v>70</v>
      </c>
      <c r="J120" s="27">
        <v>82</v>
      </c>
      <c r="K120" s="27">
        <v>55</v>
      </c>
      <c r="L120" s="27">
        <v>28</v>
      </c>
      <c r="M120" s="27">
        <v>52</v>
      </c>
    </row>
    <row r="121" spans="1:17" x14ac:dyDescent="0.25">
      <c r="B121" s="27">
        <v>6</v>
      </c>
      <c r="C121" s="27" t="s">
        <v>10942</v>
      </c>
      <c r="D121" s="27">
        <v>33</v>
      </c>
      <c r="E121" s="27">
        <v>69</v>
      </c>
      <c r="G121" s="29" t="s">
        <v>98</v>
      </c>
      <c r="H121" s="27">
        <v>20</v>
      </c>
      <c r="I121" s="27">
        <v>16</v>
      </c>
      <c r="J121" s="27">
        <v>56</v>
      </c>
      <c r="K121" s="27">
        <v>21</v>
      </c>
      <c r="L121" s="27">
        <v>38</v>
      </c>
      <c r="M121" s="27">
        <v>43</v>
      </c>
    </row>
    <row r="122" spans="1:17" x14ac:dyDescent="0.25">
      <c r="B122" s="27">
        <v>7</v>
      </c>
      <c r="C122" s="27" t="s">
        <v>10943</v>
      </c>
      <c r="D122" s="27">
        <v>25</v>
      </c>
      <c r="E122" s="27">
        <v>51</v>
      </c>
      <c r="G122" s="29" t="s">
        <v>99</v>
      </c>
      <c r="H122" s="27">
        <v>63</v>
      </c>
      <c r="I122" s="27">
        <v>7</v>
      </c>
      <c r="J122" s="27">
        <v>51</v>
      </c>
      <c r="K122" s="27">
        <v>18</v>
      </c>
      <c r="L122" s="27">
        <v>21</v>
      </c>
      <c r="M122" s="27">
        <v>45</v>
      </c>
    </row>
    <row r="123" spans="1:17" x14ac:dyDescent="0.25">
      <c r="B123" s="27">
        <v>8</v>
      </c>
      <c r="C123" s="27" t="s">
        <v>100</v>
      </c>
      <c r="D123" s="27">
        <v>46</v>
      </c>
      <c r="E123" s="27">
        <v>45</v>
      </c>
      <c r="G123" s="29" t="s">
        <v>100</v>
      </c>
      <c r="H123" s="27">
        <v>18</v>
      </c>
      <c r="I123" s="27">
        <v>38</v>
      </c>
      <c r="J123" s="27">
        <v>40</v>
      </c>
      <c r="K123" s="27">
        <v>26</v>
      </c>
      <c r="L123" s="27">
        <v>32</v>
      </c>
      <c r="M123" s="27">
        <v>22</v>
      </c>
    </row>
    <row r="124" spans="1:17" x14ac:dyDescent="0.25">
      <c r="B124" s="27">
        <v>9</v>
      </c>
      <c r="C124" s="27" t="s">
        <v>10945</v>
      </c>
      <c r="D124" s="27">
        <v>50</v>
      </c>
      <c r="E124" s="27">
        <v>15</v>
      </c>
      <c r="G124" s="29" t="s">
        <v>101</v>
      </c>
      <c r="H124" s="27">
        <v>43</v>
      </c>
      <c r="I124" s="27">
        <v>20</v>
      </c>
      <c r="J124" s="27">
        <v>36</v>
      </c>
      <c r="K124" s="27">
        <v>24</v>
      </c>
      <c r="L124" s="27">
        <v>13</v>
      </c>
      <c r="M124" s="27">
        <v>15</v>
      </c>
    </row>
    <row r="125" spans="1:17" x14ac:dyDescent="0.25">
      <c r="B125" s="27">
        <v>10</v>
      </c>
      <c r="C125" s="27" t="s">
        <v>10946</v>
      </c>
      <c r="D125" s="27">
        <v>17</v>
      </c>
      <c r="E125" s="27">
        <v>4</v>
      </c>
      <c r="G125" s="29" t="s">
        <v>102</v>
      </c>
      <c r="H125" s="27">
        <v>19</v>
      </c>
      <c r="I125" s="27">
        <v>9</v>
      </c>
      <c r="J125" s="27">
        <v>33</v>
      </c>
      <c r="K125" s="27">
        <v>28</v>
      </c>
      <c r="L125" s="27">
        <v>5</v>
      </c>
      <c r="M125" s="27">
        <v>18</v>
      </c>
    </row>
    <row r="127" spans="1:17" x14ac:dyDescent="0.25">
      <c r="E127" s="1"/>
      <c r="F127" s="1"/>
      <c r="M127" s="4"/>
      <c r="N127" s="4"/>
      <c r="O127" s="4"/>
      <c r="P127" s="4"/>
      <c r="Q127" s="4"/>
    </row>
    <row r="128" spans="1:17" x14ac:dyDescent="0.25">
      <c r="B128" s="4"/>
      <c r="C128" s="4"/>
      <c r="D128" s="4"/>
      <c r="E128" s="4"/>
      <c r="F128" s="4"/>
      <c r="G128" s="4"/>
      <c r="H128" s="4"/>
      <c r="I128" s="4"/>
      <c r="J128" s="4"/>
      <c r="K128" s="4"/>
      <c r="L128" s="4"/>
      <c r="M128" s="4"/>
      <c r="N128" s="4"/>
      <c r="O128" s="4"/>
      <c r="P128" s="4"/>
      <c r="Q128" s="4"/>
    </row>
    <row r="129" spans="2:17" x14ac:dyDescent="0.25">
      <c r="B129" s="4"/>
      <c r="C129" s="4"/>
      <c r="D129" s="4"/>
      <c r="E129" s="4"/>
      <c r="F129" s="4"/>
      <c r="G129" s="4"/>
      <c r="H129" s="4"/>
      <c r="I129" s="4"/>
      <c r="J129" s="4"/>
      <c r="K129" s="4"/>
      <c r="L129" s="4"/>
      <c r="M129" s="4"/>
      <c r="N129" s="4"/>
      <c r="O129" s="4"/>
      <c r="P129" s="4"/>
      <c r="Q129" s="4"/>
    </row>
    <row r="130" spans="2:17" x14ac:dyDescent="0.25">
      <c r="B130" s="4"/>
      <c r="C130" s="4"/>
      <c r="D130" s="4"/>
      <c r="E130" s="4"/>
      <c r="F130" s="4"/>
      <c r="G130" s="4"/>
      <c r="H130" s="4"/>
      <c r="I130" s="4"/>
      <c r="J130" s="4"/>
      <c r="K130" s="4"/>
      <c r="L130" s="4"/>
      <c r="M130" s="4"/>
      <c r="N130" s="4"/>
      <c r="O130" s="4"/>
      <c r="P130" s="4"/>
      <c r="Q130" s="4"/>
    </row>
    <row r="131" spans="2:17" x14ac:dyDescent="0.25">
      <c r="B131" s="4"/>
      <c r="C131" s="4"/>
      <c r="D131" s="4"/>
      <c r="E131" s="4"/>
      <c r="F131" s="4"/>
      <c r="G131" s="4"/>
      <c r="H131" s="4"/>
      <c r="I131" s="4"/>
      <c r="J131" s="4"/>
      <c r="K131" s="4"/>
      <c r="L131" s="4"/>
      <c r="M131" s="4"/>
      <c r="N131" s="4"/>
      <c r="O131" s="4"/>
      <c r="P131" s="4"/>
      <c r="Q131" s="4"/>
    </row>
    <row r="132" spans="2:17" x14ac:dyDescent="0.25">
      <c r="B132" s="4"/>
      <c r="C132" s="4"/>
      <c r="D132" s="4"/>
      <c r="E132" s="4"/>
      <c r="F132" s="4"/>
      <c r="G132" s="4"/>
      <c r="H132" s="4"/>
      <c r="I132" s="4"/>
      <c r="J132" s="4"/>
      <c r="K132" s="4"/>
      <c r="L132" s="4"/>
      <c r="M132" s="4"/>
      <c r="N132" s="4"/>
      <c r="O132" s="4"/>
      <c r="P132" s="4"/>
      <c r="Q132" s="4"/>
    </row>
    <row r="133" spans="2:17" x14ac:dyDescent="0.25">
      <c r="B133" s="4"/>
      <c r="C133" s="4"/>
      <c r="D133" s="4"/>
      <c r="E133" s="4"/>
      <c r="F133" s="4"/>
      <c r="G133" s="4"/>
      <c r="H133" s="4"/>
      <c r="I133" s="4"/>
      <c r="J133" s="4"/>
      <c r="K133" s="4"/>
      <c r="L133" s="4"/>
      <c r="M133" s="4"/>
      <c r="N133" s="4"/>
      <c r="O133" s="4"/>
      <c r="P133" s="4"/>
      <c r="Q133" s="4"/>
    </row>
    <row r="134" spans="2:17" x14ac:dyDescent="0.25">
      <c r="B134" s="4"/>
      <c r="C134" s="4"/>
      <c r="D134" s="4"/>
      <c r="E134" s="4"/>
      <c r="F134" s="4"/>
      <c r="G134" s="4"/>
      <c r="H134" s="4"/>
      <c r="I134" s="4"/>
      <c r="J134" s="4"/>
      <c r="K134" s="4"/>
      <c r="L134" s="4"/>
      <c r="M134" s="4"/>
      <c r="N134" s="4"/>
      <c r="O134" s="4"/>
      <c r="P134" s="4"/>
      <c r="Q134" s="4"/>
    </row>
    <row r="135" spans="2:17" x14ac:dyDescent="0.25">
      <c r="B135" s="4"/>
      <c r="C135" s="4"/>
      <c r="D135" s="4"/>
      <c r="E135" s="4"/>
      <c r="F135" s="4"/>
      <c r="G135" s="4"/>
      <c r="H135" s="4"/>
      <c r="I135" s="4"/>
      <c r="J135" s="4"/>
      <c r="K135" s="4"/>
      <c r="L135" s="4"/>
      <c r="M135" s="4"/>
      <c r="N135" s="4"/>
      <c r="O135" s="4"/>
      <c r="P135" s="4"/>
      <c r="Q135" s="4"/>
    </row>
    <row r="136" spans="2:17" x14ac:dyDescent="0.25">
      <c r="B136" s="4"/>
      <c r="C136" s="4"/>
      <c r="D136" s="4"/>
      <c r="E136" s="4"/>
      <c r="F136" s="4"/>
      <c r="G136" s="4"/>
      <c r="H136" s="4"/>
      <c r="I136" s="4"/>
      <c r="J136" s="4"/>
      <c r="K136" s="4"/>
      <c r="L136" s="4"/>
      <c r="M136" s="4"/>
      <c r="N136" s="4"/>
      <c r="O136" s="4"/>
      <c r="P136" s="4"/>
      <c r="Q136" s="4"/>
    </row>
    <row r="137" spans="2:17" x14ac:dyDescent="0.25">
      <c r="B137" s="4"/>
      <c r="C137" s="4"/>
      <c r="D137" s="4"/>
      <c r="E137" s="4"/>
      <c r="F137" s="4"/>
      <c r="G137" s="4"/>
      <c r="H137" s="4"/>
      <c r="I137" s="4"/>
      <c r="J137" s="4"/>
      <c r="K137" s="4"/>
      <c r="L137" s="4"/>
      <c r="M137" s="4"/>
      <c r="N137" s="4"/>
      <c r="O137" s="4"/>
      <c r="P137" s="4"/>
      <c r="Q137" s="4"/>
    </row>
    <row r="138" spans="2:17" x14ac:dyDescent="0.25">
      <c r="B138" s="4"/>
      <c r="C138" s="4"/>
      <c r="D138" s="4"/>
      <c r="E138" s="4"/>
      <c r="F138" s="4"/>
      <c r="G138" s="4"/>
      <c r="H138" s="4"/>
      <c r="I138" s="4"/>
      <c r="J138" s="4"/>
      <c r="K138" s="4"/>
      <c r="L138" s="4"/>
      <c r="M138" s="4"/>
      <c r="N138" s="4"/>
      <c r="O138" s="4"/>
      <c r="P138" s="4"/>
      <c r="Q138" s="4"/>
    </row>
    <row r="139" spans="2:17" x14ac:dyDescent="0.25">
      <c r="B139" s="4"/>
      <c r="C139" s="4"/>
      <c r="D139" s="4"/>
      <c r="E139" s="4"/>
      <c r="F139" s="4"/>
      <c r="G139" s="4"/>
      <c r="H139" s="4"/>
      <c r="I139" s="4"/>
      <c r="J139" s="4"/>
      <c r="K139" s="4"/>
      <c r="L139" s="4"/>
      <c r="M139" s="4"/>
      <c r="N139" s="4"/>
      <c r="O139" s="4"/>
      <c r="P139" s="4"/>
      <c r="Q139" s="4"/>
    </row>
    <row r="140" spans="2:17" x14ac:dyDescent="0.25">
      <c r="B140" s="4"/>
      <c r="C140" s="4"/>
      <c r="D140" s="4"/>
      <c r="E140" s="4"/>
      <c r="F140" s="4"/>
      <c r="G140" s="4"/>
      <c r="H140" s="4"/>
      <c r="I140" s="4"/>
      <c r="J140" s="4"/>
      <c r="K140" s="4"/>
      <c r="L140" s="4"/>
      <c r="M140" s="4"/>
      <c r="N140" s="4"/>
      <c r="O140" s="4"/>
      <c r="P140" s="4"/>
      <c r="Q140" s="4"/>
    </row>
    <row r="141" spans="2:17" x14ac:dyDescent="0.25">
      <c r="B141" s="4"/>
      <c r="C141" s="4"/>
      <c r="D141" s="4"/>
      <c r="E141" s="4"/>
      <c r="F141" s="4"/>
      <c r="G141" s="4"/>
      <c r="H141" s="4"/>
      <c r="I141" s="4"/>
      <c r="J141" s="4"/>
      <c r="K141" s="4"/>
      <c r="L141" s="4"/>
      <c r="M141" s="4"/>
      <c r="N141" s="4"/>
      <c r="O141" s="4"/>
      <c r="P141" s="4"/>
      <c r="Q141" s="4"/>
    </row>
    <row r="142" spans="2:17" x14ac:dyDescent="0.25">
      <c r="C142" s="3"/>
      <c r="D142" s="206"/>
      <c r="E142" s="206"/>
      <c r="F142" s="4"/>
      <c r="G142" s="4"/>
      <c r="H142" s="4"/>
      <c r="I142" s="4"/>
      <c r="J142" s="4"/>
      <c r="K142" s="4"/>
      <c r="L142" s="4"/>
      <c r="M142" s="4"/>
      <c r="N142" s="4"/>
      <c r="O142" s="4"/>
      <c r="P142" s="4"/>
      <c r="Q142" s="4"/>
    </row>
    <row r="143" spans="2:17" x14ac:dyDescent="0.25">
      <c r="E143" s="4"/>
      <c r="F143" s="4"/>
      <c r="G143" s="4"/>
      <c r="H143" s="4"/>
      <c r="I143" s="4"/>
      <c r="J143" s="4"/>
      <c r="K143" s="4"/>
      <c r="L143" s="4"/>
      <c r="M143" s="4"/>
      <c r="N143" s="4"/>
      <c r="O143" s="4"/>
      <c r="P143" s="4"/>
      <c r="Q143" s="4"/>
    </row>
    <row r="144" spans="2:17" x14ac:dyDescent="0.25">
      <c r="E144" s="4"/>
      <c r="F144" s="4"/>
      <c r="G144" s="4"/>
      <c r="H144" s="4"/>
      <c r="I144" s="4"/>
      <c r="J144" s="4"/>
      <c r="K144" s="4"/>
      <c r="L144" s="4"/>
      <c r="M144" s="4"/>
      <c r="N144" s="4"/>
      <c r="O144" s="4"/>
      <c r="P144" s="4"/>
      <c r="Q144" s="4"/>
    </row>
    <row r="145" spans="5:17" x14ac:dyDescent="0.25">
      <c r="E145" s="4"/>
      <c r="F145" s="4"/>
      <c r="G145" s="4"/>
      <c r="H145" s="4"/>
      <c r="I145" s="4"/>
      <c r="J145" s="4"/>
      <c r="K145" s="4"/>
      <c r="L145" s="4"/>
      <c r="M145" s="4"/>
      <c r="N145" s="4"/>
      <c r="O145" s="4"/>
      <c r="P145" s="4"/>
      <c r="Q145" s="4"/>
    </row>
    <row r="146" spans="5:17" x14ac:dyDescent="0.25">
      <c r="E146" s="4"/>
      <c r="F146" s="4"/>
      <c r="G146" s="4"/>
      <c r="H146" s="4"/>
      <c r="I146" s="4"/>
      <c r="J146" s="4"/>
      <c r="K146" s="4"/>
      <c r="L146" s="4"/>
      <c r="M146" s="4"/>
      <c r="N146" s="4"/>
      <c r="O146" s="4"/>
      <c r="P146" s="4"/>
      <c r="Q146" s="4"/>
    </row>
    <row r="147" spans="5:17" x14ac:dyDescent="0.25">
      <c r="E147" s="4"/>
      <c r="F147" s="4"/>
      <c r="G147" s="4"/>
      <c r="H147" s="4"/>
      <c r="I147" s="4"/>
      <c r="J147" s="4"/>
      <c r="K147" s="4"/>
      <c r="L147" s="4"/>
      <c r="M147" s="4"/>
      <c r="N147" s="4"/>
      <c r="O147" s="4"/>
      <c r="P147" s="4"/>
      <c r="Q147" s="4"/>
    </row>
    <row r="148" spans="5:17" x14ac:dyDescent="0.25">
      <c r="E148" s="4"/>
      <c r="F148" s="4"/>
      <c r="G148" s="4"/>
      <c r="H148" s="4"/>
      <c r="I148" s="4"/>
      <c r="J148" s="4"/>
      <c r="K148" s="4"/>
      <c r="L148" s="4"/>
      <c r="M148" s="4"/>
      <c r="N148" s="4"/>
      <c r="O148" s="4"/>
      <c r="P148" s="4"/>
      <c r="Q148" s="4"/>
    </row>
    <row r="149" spans="5:17" x14ac:dyDescent="0.25">
      <c r="E149" s="4"/>
      <c r="F149" s="4"/>
      <c r="G149" s="4"/>
      <c r="H149" s="4"/>
      <c r="I149" s="4"/>
      <c r="J149" s="4"/>
      <c r="K149" s="4"/>
      <c r="L149" s="4"/>
      <c r="M149" s="4"/>
      <c r="N149" s="4"/>
      <c r="O149" s="4"/>
      <c r="P149" s="4"/>
      <c r="Q149" s="4"/>
    </row>
    <row r="150" spans="5:17" x14ac:dyDescent="0.25">
      <c r="E150" s="4"/>
      <c r="F150" s="4"/>
      <c r="G150" s="4"/>
      <c r="H150" s="4"/>
      <c r="I150" s="4"/>
      <c r="J150" s="4"/>
      <c r="K150" s="4"/>
      <c r="L150" s="4"/>
      <c r="M150" s="4"/>
      <c r="N150" s="4"/>
      <c r="O150" s="4"/>
      <c r="P150" s="4"/>
      <c r="Q150" s="4"/>
    </row>
    <row r="151" spans="5:17" x14ac:dyDescent="0.25">
      <c r="E151" s="4"/>
      <c r="F151" s="4"/>
      <c r="G151" s="4"/>
      <c r="H151" s="4"/>
      <c r="I151" s="4"/>
      <c r="J151" s="4"/>
      <c r="K151" s="4"/>
      <c r="L151" s="4"/>
      <c r="M151" s="4"/>
      <c r="N151" s="4"/>
      <c r="O151" s="4"/>
      <c r="P151" s="4"/>
      <c r="Q151" s="4"/>
    </row>
    <row r="152" spans="5:17" x14ac:dyDescent="0.25">
      <c r="E152" s="4"/>
      <c r="F152" s="4"/>
      <c r="G152" s="4"/>
      <c r="H152" s="4"/>
      <c r="I152" s="4"/>
      <c r="J152" s="4"/>
      <c r="K152" s="4"/>
      <c r="L152" s="4"/>
      <c r="M152" s="4"/>
      <c r="N152" s="4"/>
      <c r="O152" s="4"/>
      <c r="P152" s="4"/>
      <c r="Q152" s="4"/>
    </row>
    <row r="153" spans="5:17" x14ac:dyDescent="0.25">
      <c r="E153" s="4"/>
      <c r="F153" s="4"/>
      <c r="G153" s="4"/>
      <c r="H153" s="4"/>
      <c r="I153" s="4"/>
      <c r="J153" s="4"/>
      <c r="K153" s="4"/>
      <c r="L153" s="4"/>
      <c r="M153" s="4"/>
      <c r="N153" s="4"/>
      <c r="O153" s="4"/>
      <c r="P153" s="4"/>
      <c r="Q153" s="4"/>
    </row>
    <row r="154" spans="5:17" x14ac:dyDescent="0.25">
      <c r="E154" s="4"/>
      <c r="F154" s="4"/>
      <c r="G154" s="4"/>
      <c r="H154" s="4"/>
      <c r="I154" s="4"/>
      <c r="J154" s="4"/>
      <c r="K154" s="4"/>
      <c r="L154" s="4"/>
      <c r="M154" s="4"/>
      <c r="N154" s="4"/>
      <c r="O154" s="4"/>
      <c r="P154" s="4"/>
      <c r="Q154" s="4"/>
    </row>
    <row r="155" spans="5:17" x14ac:dyDescent="0.25">
      <c r="E155" s="4"/>
      <c r="F155" s="4"/>
      <c r="G155" s="4"/>
      <c r="H155" s="4"/>
      <c r="I155" s="4"/>
      <c r="J155" s="4"/>
      <c r="K155" s="4"/>
      <c r="L155" s="4"/>
      <c r="M155" s="4"/>
      <c r="N155" s="4"/>
      <c r="O155" s="4"/>
      <c r="P155" s="4"/>
      <c r="Q155" s="4"/>
    </row>
    <row r="156" spans="5:17" x14ac:dyDescent="0.25">
      <c r="E156" s="4"/>
      <c r="F156" s="4"/>
      <c r="G156" s="4"/>
      <c r="H156" s="4"/>
      <c r="I156" s="4"/>
      <c r="J156" s="4"/>
      <c r="K156" s="4"/>
      <c r="L156" s="4"/>
      <c r="M156" s="4"/>
      <c r="N156" s="4"/>
      <c r="O156" s="4"/>
      <c r="P156" s="4"/>
      <c r="Q156" s="4"/>
    </row>
    <row r="157" spans="5:17" x14ac:dyDescent="0.25">
      <c r="E157" s="4"/>
      <c r="F157" s="4"/>
      <c r="G157" s="4"/>
      <c r="H157" s="4"/>
      <c r="I157" s="4"/>
      <c r="J157" s="4"/>
      <c r="K157" s="4"/>
      <c r="L157" s="4"/>
      <c r="M157" s="4"/>
      <c r="N157" s="4"/>
      <c r="O157" s="4"/>
      <c r="P157" s="4"/>
      <c r="Q157" s="4"/>
    </row>
    <row r="158" spans="5:17" x14ac:dyDescent="0.25">
      <c r="E158" s="4"/>
      <c r="F158" s="4"/>
      <c r="G158" s="4"/>
      <c r="H158" s="4"/>
      <c r="I158" s="4"/>
      <c r="J158" s="4"/>
      <c r="K158" s="4"/>
      <c r="L158" s="4"/>
      <c r="M158" s="4"/>
      <c r="N158" s="4"/>
      <c r="O158" s="4"/>
      <c r="P158" s="4"/>
      <c r="Q158" s="4"/>
    </row>
    <row r="159" spans="5:17" x14ac:dyDescent="0.25">
      <c r="E159" s="4"/>
      <c r="F159" s="4"/>
      <c r="G159" s="4"/>
      <c r="H159" s="4"/>
      <c r="I159" s="4"/>
      <c r="J159" s="4"/>
      <c r="K159" s="4"/>
      <c r="L159" s="4"/>
      <c r="M159" s="4"/>
      <c r="N159" s="4"/>
      <c r="O159" s="4"/>
      <c r="P159" s="4"/>
      <c r="Q159" s="4"/>
    </row>
    <row r="160" spans="5:17" x14ac:dyDescent="0.25">
      <c r="E160" s="4"/>
      <c r="F160" s="4"/>
      <c r="G160" s="4"/>
      <c r="H160" s="4"/>
      <c r="I160" s="4"/>
      <c r="J160" s="4"/>
      <c r="K160" s="4"/>
      <c r="L160" s="4"/>
      <c r="M160" s="4"/>
      <c r="N160" s="4"/>
      <c r="O160" s="4"/>
      <c r="P160" s="4"/>
      <c r="Q160" s="4"/>
    </row>
    <row r="161" spans="5:17" x14ac:dyDescent="0.25">
      <c r="E161" s="4"/>
      <c r="F161" s="4"/>
      <c r="G161" s="4"/>
      <c r="H161" s="4"/>
      <c r="I161" s="4"/>
      <c r="J161" s="4"/>
      <c r="K161" s="4"/>
      <c r="L161" s="4"/>
      <c r="M161" s="4"/>
      <c r="N161" s="4"/>
      <c r="O161" s="4"/>
      <c r="P161" s="4"/>
      <c r="Q161" s="4"/>
    </row>
    <row r="162" spans="5:17" x14ac:dyDescent="0.25">
      <c r="E162" s="4"/>
      <c r="F162" s="4"/>
      <c r="G162" s="4"/>
      <c r="H162" s="4"/>
      <c r="I162" s="4"/>
      <c r="J162" s="4"/>
      <c r="K162" s="4"/>
      <c r="L162" s="4"/>
      <c r="M162" s="4"/>
      <c r="N162" s="4"/>
      <c r="O162" s="4"/>
      <c r="P162" s="4"/>
      <c r="Q162" s="4"/>
    </row>
    <row r="163" spans="5:17" x14ac:dyDescent="0.25">
      <c r="E163" s="4"/>
      <c r="F163" s="4"/>
      <c r="G163" s="4"/>
      <c r="H163" s="4"/>
      <c r="I163" s="4"/>
      <c r="J163" s="4"/>
      <c r="K163" s="4"/>
      <c r="L163" s="4"/>
      <c r="M163" s="4"/>
      <c r="N163" s="4"/>
      <c r="O163" s="4"/>
      <c r="P163" s="4"/>
      <c r="Q163" s="4"/>
    </row>
    <row r="164" spans="5:17" x14ac:dyDescent="0.25">
      <c r="E164" s="4"/>
      <c r="F164" s="4"/>
      <c r="G164" s="4"/>
      <c r="H164" s="4"/>
      <c r="I164" s="4"/>
      <c r="J164" s="4"/>
      <c r="K164" s="4"/>
      <c r="L164" s="4"/>
      <c r="M164" s="4"/>
      <c r="N164" s="4"/>
      <c r="O164" s="4"/>
      <c r="P164" s="4"/>
      <c r="Q164" s="4"/>
    </row>
    <row r="165" spans="5:17" x14ac:dyDescent="0.25">
      <c r="E165" s="4"/>
      <c r="F165" s="4"/>
      <c r="G165" s="4"/>
      <c r="H165" s="4"/>
      <c r="I165" s="4"/>
      <c r="J165" s="4"/>
      <c r="K165" s="4"/>
      <c r="L165" s="4"/>
      <c r="M165" s="4"/>
      <c r="N165" s="4"/>
      <c r="O165" s="4"/>
      <c r="P165" s="4"/>
      <c r="Q165" s="4"/>
    </row>
    <row r="166" spans="5:17" x14ac:dyDescent="0.25">
      <c r="E166" s="4"/>
      <c r="F166" s="4"/>
      <c r="G166" s="4"/>
      <c r="H166" s="4"/>
      <c r="I166" s="4"/>
      <c r="J166" s="4"/>
      <c r="K166" s="4"/>
      <c r="L166" s="4"/>
      <c r="M166" s="4"/>
      <c r="N166" s="4"/>
      <c r="O166" s="4"/>
      <c r="P166" s="4"/>
      <c r="Q166" s="4"/>
    </row>
    <row r="167" spans="5:17" x14ac:dyDescent="0.25">
      <c r="E167" s="4"/>
      <c r="F167" s="4"/>
      <c r="G167" s="4"/>
      <c r="H167" s="4"/>
      <c r="I167" s="4"/>
      <c r="J167" s="4"/>
      <c r="K167" s="4"/>
      <c r="L167" s="4"/>
      <c r="M167" s="4"/>
      <c r="N167" s="4"/>
      <c r="O167" s="4"/>
      <c r="P167" s="4"/>
      <c r="Q167" s="4"/>
    </row>
    <row r="168" spans="5:17" x14ac:dyDescent="0.25">
      <c r="E168" s="4"/>
      <c r="F168" s="4"/>
      <c r="G168" s="4"/>
      <c r="H168" s="4"/>
      <c r="I168" s="4"/>
      <c r="J168" s="4"/>
      <c r="K168" s="4"/>
      <c r="L168" s="4"/>
      <c r="M168" s="4"/>
      <c r="N168" s="4"/>
      <c r="O168" s="4"/>
      <c r="P168" s="4"/>
      <c r="Q168" s="4"/>
    </row>
    <row r="169" spans="5:17" x14ac:dyDescent="0.25">
      <c r="E169" s="4"/>
      <c r="F169" s="4"/>
      <c r="G169" s="4"/>
      <c r="H169" s="4"/>
      <c r="I169" s="4"/>
      <c r="J169" s="4"/>
      <c r="K169" s="4"/>
      <c r="L169" s="4"/>
      <c r="M169" s="4"/>
      <c r="N169" s="4"/>
      <c r="O169" s="4"/>
      <c r="P169" s="4"/>
      <c r="Q169" s="4"/>
    </row>
    <row r="170" spans="5:17" x14ac:dyDescent="0.25">
      <c r="E170" s="4"/>
      <c r="F170" s="4"/>
      <c r="G170" s="4"/>
      <c r="H170" s="4"/>
      <c r="I170" s="4"/>
      <c r="J170" s="4"/>
      <c r="K170" s="4"/>
      <c r="L170" s="4"/>
      <c r="M170" s="4"/>
      <c r="N170" s="4"/>
      <c r="O170" s="4"/>
      <c r="P170" s="4"/>
      <c r="Q170" s="4"/>
    </row>
    <row r="171" spans="5:17" x14ac:dyDescent="0.25">
      <c r="E171" s="4"/>
      <c r="F171" s="4"/>
      <c r="G171" s="4"/>
      <c r="H171" s="4"/>
      <c r="I171" s="4"/>
      <c r="J171" s="4"/>
      <c r="K171" s="4"/>
      <c r="L171" s="4"/>
      <c r="M171" s="4"/>
      <c r="N171" s="4"/>
      <c r="O171" s="4"/>
      <c r="P171" s="4"/>
      <c r="Q171" s="4"/>
    </row>
  </sheetData>
  <mergeCells count="93">
    <mergeCell ref="B99:F99"/>
    <mergeCell ref="B101:E101"/>
    <mergeCell ref="B114:E114"/>
    <mergeCell ref="B75:B86"/>
    <mergeCell ref="C75:C77"/>
    <mergeCell ref="C78:C80"/>
    <mergeCell ref="C81:C83"/>
    <mergeCell ref="C84:C86"/>
    <mergeCell ref="B87:B93"/>
    <mergeCell ref="B72:F72"/>
    <mergeCell ref="C60:D60"/>
    <mergeCell ref="B61:B66"/>
    <mergeCell ref="C61:D61"/>
    <mergeCell ref="C62:D62"/>
    <mergeCell ref="C63:D63"/>
    <mergeCell ref="C64:D64"/>
    <mergeCell ref="C65:D65"/>
    <mergeCell ref="C66:D66"/>
    <mergeCell ref="B67:B70"/>
    <mergeCell ref="C67:D67"/>
    <mergeCell ref="C68:D68"/>
    <mergeCell ref="C69:D69"/>
    <mergeCell ref="C70:D70"/>
    <mergeCell ref="B51:F51"/>
    <mergeCell ref="B53:P53"/>
    <mergeCell ref="S53:AE53"/>
    <mergeCell ref="C54:D54"/>
    <mergeCell ref="B55:B60"/>
    <mergeCell ref="C55:D55"/>
    <mergeCell ref="C56:D56"/>
    <mergeCell ref="C57:D57"/>
    <mergeCell ref="C58:D58"/>
    <mergeCell ref="C59:D59"/>
    <mergeCell ref="B45:P45"/>
    <mergeCell ref="R45:AE45"/>
    <mergeCell ref="B46:D46"/>
    <mergeCell ref="B47:B49"/>
    <mergeCell ref="C47:D47"/>
    <mergeCell ref="R47:R49"/>
    <mergeCell ref="C48:D48"/>
    <mergeCell ref="C49:D49"/>
    <mergeCell ref="B40:B43"/>
    <mergeCell ref="C40:D40"/>
    <mergeCell ref="R40:R43"/>
    <mergeCell ref="C41:D41"/>
    <mergeCell ref="C42:D42"/>
    <mergeCell ref="C43:D43"/>
    <mergeCell ref="B34:P34"/>
    <mergeCell ref="R34:AE34"/>
    <mergeCell ref="B35:D35"/>
    <mergeCell ref="B36:B39"/>
    <mergeCell ref="C36:D36"/>
    <mergeCell ref="R36:R39"/>
    <mergeCell ref="C37:D37"/>
    <mergeCell ref="C38:D38"/>
    <mergeCell ref="C39:D39"/>
    <mergeCell ref="B28:B32"/>
    <mergeCell ref="C28:D28"/>
    <mergeCell ref="R28:R32"/>
    <mergeCell ref="C29:D29"/>
    <mergeCell ref="C30:D30"/>
    <mergeCell ref="C31:D31"/>
    <mergeCell ref="C32:D32"/>
    <mergeCell ref="B21:P21"/>
    <mergeCell ref="R21:AE21"/>
    <mergeCell ref="B22:D22"/>
    <mergeCell ref="B23:B27"/>
    <mergeCell ref="C23:D23"/>
    <mergeCell ref="R23:R27"/>
    <mergeCell ref="C24:D24"/>
    <mergeCell ref="C25:D25"/>
    <mergeCell ref="C26:D26"/>
    <mergeCell ref="C27:D27"/>
    <mergeCell ref="C11:D11"/>
    <mergeCell ref="C12:D12"/>
    <mergeCell ref="C13:D13"/>
    <mergeCell ref="B14:B19"/>
    <mergeCell ref="C14:D14"/>
    <mergeCell ref="C15:D15"/>
    <mergeCell ref="C16:D16"/>
    <mergeCell ref="C17:D17"/>
    <mergeCell ref="C18:D18"/>
    <mergeCell ref="C19:D19"/>
    <mergeCell ref="B7:B13"/>
    <mergeCell ref="C7:D7"/>
    <mergeCell ref="C8:D8"/>
    <mergeCell ref="C9:D9"/>
    <mergeCell ref="C10:D10"/>
    <mergeCell ref="B2:C2"/>
    <mergeCell ref="B3:F3"/>
    <mergeCell ref="B5:P5"/>
    <mergeCell ref="S5:AE5"/>
    <mergeCell ref="C6:D6"/>
  </mergeCells>
  <phoneticPr fontId="22" type="noConversion"/>
  <conditionalFormatting sqref="E14:E18">
    <cfRule type="dataBar" priority="44">
      <dataBar>
        <cfvo type="min"/>
        <cfvo type="max"/>
        <color rgb="FF63C384"/>
      </dataBar>
    </cfRule>
  </conditionalFormatting>
  <conditionalFormatting sqref="F14:F18">
    <cfRule type="dataBar" priority="43">
      <dataBar>
        <cfvo type="min"/>
        <cfvo type="max"/>
        <color rgb="FF63C384"/>
      </dataBar>
    </cfRule>
  </conditionalFormatting>
  <conditionalFormatting sqref="G14:G18">
    <cfRule type="dataBar" priority="42">
      <dataBar>
        <cfvo type="min"/>
        <cfvo type="max"/>
        <color rgb="FF63C384"/>
      </dataBar>
    </cfRule>
  </conditionalFormatting>
  <conditionalFormatting sqref="H14:H18">
    <cfRule type="dataBar" priority="41">
      <dataBar>
        <cfvo type="min"/>
        <cfvo type="max"/>
        <color rgb="FF63C384"/>
      </dataBar>
    </cfRule>
  </conditionalFormatting>
  <conditionalFormatting sqref="I14:I18">
    <cfRule type="dataBar" priority="40">
      <dataBar>
        <cfvo type="min"/>
        <cfvo type="max"/>
        <color rgb="FF63C384"/>
      </dataBar>
    </cfRule>
  </conditionalFormatting>
  <conditionalFormatting sqref="J14:J18">
    <cfRule type="dataBar" priority="39">
      <dataBar>
        <cfvo type="min"/>
        <cfvo type="max"/>
        <color rgb="FF63C384"/>
      </dataBar>
    </cfRule>
  </conditionalFormatting>
  <conditionalFormatting sqref="K14:K18">
    <cfRule type="dataBar" priority="38">
      <dataBar>
        <cfvo type="min"/>
        <cfvo type="max"/>
        <color rgb="FF63C384"/>
      </dataBar>
    </cfRule>
  </conditionalFormatting>
  <conditionalFormatting sqref="L14:L18">
    <cfRule type="dataBar" priority="37">
      <dataBar>
        <cfvo type="min"/>
        <cfvo type="max"/>
        <color rgb="FF63C384"/>
      </dataBar>
    </cfRule>
  </conditionalFormatting>
  <conditionalFormatting sqref="M14:M18">
    <cfRule type="dataBar" priority="36">
      <dataBar>
        <cfvo type="min"/>
        <cfvo type="max"/>
        <color rgb="FF63C384"/>
      </dataBar>
    </cfRule>
  </conditionalFormatting>
  <conditionalFormatting sqref="N14:N18">
    <cfRule type="dataBar" priority="35">
      <dataBar>
        <cfvo type="min"/>
        <cfvo type="max"/>
        <color rgb="FF63C384"/>
      </dataBar>
    </cfRule>
  </conditionalFormatting>
  <conditionalFormatting sqref="O14:O18">
    <cfRule type="dataBar" priority="34">
      <dataBar>
        <cfvo type="min"/>
        <cfvo type="max"/>
        <color rgb="FF63C384"/>
      </dataBar>
    </cfRule>
  </conditionalFormatting>
  <conditionalFormatting sqref="P14:P18">
    <cfRule type="dataBar" priority="33">
      <dataBar>
        <cfvo type="min"/>
        <cfvo type="max"/>
        <color rgb="FF63C384"/>
      </dataBar>
    </cfRule>
  </conditionalFormatting>
  <conditionalFormatting sqref="E61:E70">
    <cfRule type="dataBar" priority="32">
      <dataBar>
        <cfvo type="min"/>
        <cfvo type="max"/>
        <color rgb="FF63C384"/>
      </dataBar>
    </cfRule>
  </conditionalFormatting>
  <conditionalFormatting sqref="F61:F70">
    <cfRule type="dataBar" priority="31">
      <dataBar>
        <cfvo type="min"/>
        <cfvo type="max"/>
        <color rgb="FF63C384"/>
      </dataBar>
    </cfRule>
  </conditionalFormatting>
  <conditionalFormatting sqref="G61:G70">
    <cfRule type="dataBar" priority="30">
      <dataBar>
        <cfvo type="min"/>
        <cfvo type="max"/>
        <color rgb="FF63C384"/>
      </dataBar>
    </cfRule>
  </conditionalFormatting>
  <conditionalFormatting sqref="H61:H70">
    <cfRule type="dataBar" priority="29">
      <dataBar>
        <cfvo type="min"/>
        <cfvo type="max"/>
        <color rgb="FF63C384"/>
      </dataBar>
    </cfRule>
  </conditionalFormatting>
  <conditionalFormatting sqref="I61:I70">
    <cfRule type="dataBar" priority="28">
      <dataBar>
        <cfvo type="min"/>
        <cfvo type="max"/>
        <color rgb="FF63C384"/>
      </dataBar>
    </cfRule>
  </conditionalFormatting>
  <conditionalFormatting sqref="J61:J70">
    <cfRule type="dataBar" priority="27">
      <dataBar>
        <cfvo type="min"/>
        <cfvo type="max"/>
        <color rgb="FF63C384"/>
      </dataBar>
    </cfRule>
  </conditionalFormatting>
  <conditionalFormatting sqref="K61:K70">
    <cfRule type="dataBar" priority="26">
      <dataBar>
        <cfvo type="min"/>
        <cfvo type="max"/>
        <color rgb="FF63C384"/>
      </dataBar>
    </cfRule>
  </conditionalFormatting>
  <conditionalFormatting sqref="L61:L70">
    <cfRule type="dataBar" priority="25">
      <dataBar>
        <cfvo type="min"/>
        <cfvo type="max"/>
        <color rgb="FF63C384"/>
      </dataBar>
    </cfRule>
  </conditionalFormatting>
  <conditionalFormatting sqref="M61:M70">
    <cfRule type="dataBar" priority="24">
      <dataBar>
        <cfvo type="min"/>
        <cfvo type="max"/>
        <color rgb="FF63C384"/>
      </dataBar>
    </cfRule>
  </conditionalFormatting>
  <conditionalFormatting sqref="N61:N70">
    <cfRule type="dataBar" priority="23">
      <dataBar>
        <cfvo type="min"/>
        <cfvo type="max"/>
        <color rgb="FF63C384"/>
      </dataBar>
    </cfRule>
  </conditionalFormatting>
  <conditionalFormatting sqref="O61:O70">
    <cfRule type="dataBar" priority="22">
      <dataBar>
        <cfvo type="min"/>
        <cfvo type="max"/>
        <color rgb="FF63C384"/>
      </dataBar>
    </cfRule>
  </conditionalFormatting>
  <conditionalFormatting sqref="P61:P70">
    <cfRule type="dataBar" priority="21">
      <dataBar>
        <cfvo type="min"/>
        <cfvo type="max"/>
        <color rgb="FF63C384"/>
      </dataBar>
    </cfRule>
  </conditionalFormatting>
  <conditionalFormatting sqref="L95:L96">
    <cfRule type="dataBar" priority="17">
      <dataBar>
        <cfvo type="min"/>
        <cfvo type="max"/>
        <color rgb="FF638EC6"/>
      </dataBar>
    </cfRule>
  </conditionalFormatting>
  <conditionalFormatting sqref="M95:M96">
    <cfRule type="dataBar" priority="16">
      <dataBar>
        <cfvo type="min"/>
        <cfvo type="max"/>
        <color rgb="FF63C384"/>
      </dataBar>
    </cfRule>
  </conditionalFormatting>
  <conditionalFormatting sqref="N95:N96">
    <cfRule type="dataBar" priority="15">
      <dataBar>
        <cfvo type="min"/>
        <cfvo type="max"/>
        <color rgb="FFFFB628"/>
      </dataBar>
    </cfRule>
  </conditionalFormatting>
  <conditionalFormatting sqref="E19">
    <cfRule type="dataBar" priority="14">
      <dataBar>
        <cfvo type="min"/>
        <cfvo type="max"/>
        <color rgb="FF63C384"/>
      </dataBar>
    </cfRule>
  </conditionalFormatting>
  <conditionalFormatting sqref="F19">
    <cfRule type="dataBar" priority="13">
      <dataBar>
        <cfvo type="min"/>
        <cfvo type="max"/>
        <color rgb="FF63C384"/>
      </dataBar>
    </cfRule>
  </conditionalFormatting>
  <conditionalFormatting sqref="G19">
    <cfRule type="dataBar" priority="12">
      <dataBar>
        <cfvo type="min"/>
        <cfvo type="max"/>
        <color rgb="FF63C384"/>
      </dataBar>
    </cfRule>
  </conditionalFormatting>
  <conditionalFormatting sqref="H19">
    <cfRule type="dataBar" priority="11">
      <dataBar>
        <cfvo type="min"/>
        <cfvo type="max"/>
        <color rgb="FF63C384"/>
      </dataBar>
    </cfRule>
  </conditionalFormatting>
  <conditionalFormatting sqref="I19">
    <cfRule type="dataBar" priority="10">
      <dataBar>
        <cfvo type="min"/>
        <cfvo type="max"/>
        <color rgb="FF63C384"/>
      </dataBar>
    </cfRule>
  </conditionalFormatting>
  <conditionalFormatting sqref="J19">
    <cfRule type="dataBar" priority="9">
      <dataBar>
        <cfvo type="min"/>
        <cfvo type="max"/>
        <color rgb="FF63C384"/>
      </dataBar>
    </cfRule>
  </conditionalFormatting>
  <conditionalFormatting sqref="K19">
    <cfRule type="dataBar" priority="8">
      <dataBar>
        <cfvo type="min"/>
        <cfvo type="max"/>
        <color rgb="FF63C384"/>
      </dataBar>
    </cfRule>
  </conditionalFormatting>
  <conditionalFormatting sqref="L19">
    <cfRule type="dataBar" priority="7">
      <dataBar>
        <cfvo type="min"/>
        <cfvo type="max"/>
        <color rgb="FF63C384"/>
      </dataBar>
    </cfRule>
  </conditionalFormatting>
  <conditionalFormatting sqref="M19">
    <cfRule type="dataBar" priority="6">
      <dataBar>
        <cfvo type="min"/>
        <cfvo type="max"/>
        <color rgb="FF63C384"/>
      </dataBar>
    </cfRule>
  </conditionalFormatting>
  <conditionalFormatting sqref="N19">
    <cfRule type="dataBar" priority="5">
      <dataBar>
        <cfvo type="min"/>
        <cfvo type="max"/>
        <color rgb="FF63C384"/>
      </dataBar>
    </cfRule>
  </conditionalFormatting>
  <conditionalFormatting sqref="O19">
    <cfRule type="dataBar" priority="4">
      <dataBar>
        <cfvo type="min"/>
        <cfvo type="max"/>
        <color rgb="FF63C384"/>
      </dataBar>
    </cfRule>
  </conditionalFormatting>
  <conditionalFormatting sqref="P19">
    <cfRule type="dataBar" priority="3">
      <dataBar>
        <cfvo type="min"/>
        <cfvo type="max"/>
        <color rgb="FF63C384"/>
      </dataBar>
    </cfRule>
  </conditionalFormatting>
  <conditionalFormatting sqref="Q14:Q18">
    <cfRule type="dataBar" priority="2">
      <dataBar>
        <cfvo type="min"/>
        <cfvo type="max"/>
        <color rgb="FF63C384"/>
      </dataBar>
    </cfRule>
  </conditionalFormatting>
  <conditionalFormatting sqref="Q19">
    <cfRule type="dataBar" priority="1">
      <dataBar>
        <cfvo type="min"/>
        <cfvo type="max"/>
        <color rgb="FF63C384"/>
      </dataBar>
    </cfRule>
  </conditionalFormatting>
  <conditionalFormatting sqref="L75:L93">
    <cfRule type="dataBar" priority="58">
      <dataBar>
        <cfvo type="min"/>
        <cfvo type="max"/>
        <color rgb="FF638EC6"/>
      </dataBar>
    </cfRule>
  </conditionalFormatting>
  <conditionalFormatting sqref="M75:M93">
    <cfRule type="dataBar" priority="60">
      <dataBar>
        <cfvo type="min"/>
        <cfvo type="max"/>
        <color rgb="FF63C384"/>
      </dataBar>
    </cfRule>
  </conditionalFormatting>
  <conditionalFormatting sqref="N75:N93">
    <cfRule type="dataBar" priority="62">
      <dataBar>
        <cfvo type="min"/>
        <cfvo type="max"/>
        <color rgb="FFFFB628"/>
      </dataBar>
    </cfRule>
  </conditionalFormatting>
  <pageMargins left="0.75" right="0.75" top="1" bottom="1" header="0.5" footer="0.5"/>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heetViews>
  <sheetFormatPr defaultColWidth="8.81640625" defaultRowHeight="14" x14ac:dyDescent="0.25"/>
  <sheetData>
    <row r="1" spans="1:5" x14ac:dyDescent="0.25">
      <c r="A1" t="s">
        <v>482</v>
      </c>
      <c r="B1" t="s">
        <v>137</v>
      </c>
      <c r="C1" t="s">
        <v>355</v>
      </c>
      <c r="D1" t="s">
        <v>3128</v>
      </c>
      <c r="E1" t="s">
        <v>3129</v>
      </c>
    </row>
    <row r="2" spans="1:5" x14ac:dyDescent="0.25">
      <c r="A2" s="240" t="s">
        <v>564</v>
      </c>
      <c r="B2">
        <v>1</v>
      </c>
      <c r="C2" t="s">
        <v>93</v>
      </c>
      <c r="D2">
        <v>18382</v>
      </c>
      <c r="E2">
        <v>13678</v>
      </c>
    </row>
    <row r="3" spans="1:5" x14ac:dyDescent="0.25">
      <c r="A3" s="240" t="s">
        <v>564</v>
      </c>
      <c r="B3">
        <v>2</v>
      </c>
      <c r="C3" t="s">
        <v>94</v>
      </c>
      <c r="D3">
        <v>14313</v>
      </c>
      <c r="E3">
        <v>10102</v>
      </c>
    </row>
    <row r="4" spans="1:5" x14ac:dyDescent="0.25">
      <c r="A4" s="240" t="s">
        <v>564</v>
      </c>
      <c r="B4">
        <v>3</v>
      </c>
      <c r="C4" t="s">
        <v>99</v>
      </c>
      <c r="D4">
        <v>7358</v>
      </c>
      <c r="E4">
        <v>8040</v>
      </c>
    </row>
    <row r="5" spans="1:5" x14ac:dyDescent="0.25">
      <c r="A5" s="240" t="s">
        <v>564</v>
      </c>
      <c r="B5">
        <v>4</v>
      </c>
      <c r="C5" t="s">
        <v>3130</v>
      </c>
      <c r="D5">
        <v>5217</v>
      </c>
      <c r="E5">
        <v>3282</v>
      </c>
    </row>
    <row r="6" spans="1:5" x14ac:dyDescent="0.25">
      <c r="A6" s="240" t="s">
        <v>564</v>
      </c>
      <c r="B6">
        <v>5</v>
      </c>
      <c r="C6" t="s">
        <v>95</v>
      </c>
      <c r="D6">
        <v>4253</v>
      </c>
      <c r="E6">
        <v>3159</v>
      </c>
    </row>
    <row r="7" spans="1:5" x14ac:dyDescent="0.25">
      <c r="A7" s="240" t="s">
        <v>564</v>
      </c>
      <c r="B7">
        <v>6</v>
      </c>
      <c r="C7" t="s">
        <v>3131</v>
      </c>
      <c r="D7">
        <v>3194</v>
      </c>
      <c r="E7">
        <v>2732</v>
      </c>
    </row>
    <row r="8" spans="1:5" x14ac:dyDescent="0.25">
      <c r="A8" s="240" t="s">
        <v>564</v>
      </c>
      <c r="B8">
        <v>7</v>
      </c>
      <c r="C8" t="s">
        <v>3132</v>
      </c>
      <c r="D8">
        <v>4364</v>
      </c>
      <c r="E8">
        <v>2009</v>
      </c>
    </row>
    <row r="9" spans="1:5" x14ac:dyDescent="0.25">
      <c r="A9" s="240" t="s">
        <v>564</v>
      </c>
      <c r="B9">
        <v>8</v>
      </c>
      <c r="C9" t="s">
        <v>102</v>
      </c>
      <c r="D9">
        <v>739</v>
      </c>
      <c r="E9">
        <v>1538</v>
      </c>
    </row>
    <row r="10" spans="1:5" x14ac:dyDescent="0.25">
      <c r="A10" s="240" t="s">
        <v>564</v>
      </c>
      <c r="B10">
        <v>9</v>
      </c>
      <c r="C10" t="s">
        <v>100</v>
      </c>
      <c r="D10">
        <v>884</v>
      </c>
      <c r="E10">
        <v>1219</v>
      </c>
    </row>
    <row r="11" spans="1:5" x14ac:dyDescent="0.25">
      <c r="A11" s="240" t="s">
        <v>564</v>
      </c>
      <c r="B11">
        <v>10</v>
      </c>
      <c r="C11" t="s">
        <v>3133</v>
      </c>
      <c r="D11">
        <v>1270</v>
      </c>
      <c r="E11">
        <v>984</v>
      </c>
    </row>
  </sheetData>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9"/>
  <sheetViews>
    <sheetView workbookViewId="0">
      <selection sqref="A1:H39"/>
    </sheetView>
  </sheetViews>
  <sheetFormatPr defaultColWidth="8.81640625" defaultRowHeight="14" x14ac:dyDescent="0.25"/>
  <sheetData>
    <row r="1" spans="1:8" x14ac:dyDescent="0.25">
      <c r="A1" t="s">
        <v>711</v>
      </c>
      <c r="B1" t="s">
        <v>3134</v>
      </c>
      <c r="C1" t="s">
        <v>3135</v>
      </c>
      <c r="D1" t="s">
        <v>167</v>
      </c>
      <c r="E1" t="s">
        <v>3136</v>
      </c>
      <c r="F1" t="s">
        <v>3137</v>
      </c>
      <c r="G1" t="s">
        <v>3138</v>
      </c>
      <c r="H1" t="s">
        <v>3139</v>
      </c>
    </row>
    <row r="2" spans="1:8" x14ac:dyDescent="0.25">
      <c r="A2" t="s">
        <v>28</v>
      </c>
      <c r="B2">
        <v>1</v>
      </c>
      <c r="C2">
        <v>1</v>
      </c>
      <c r="D2" t="s">
        <v>174</v>
      </c>
      <c r="E2" t="s">
        <v>175</v>
      </c>
      <c r="F2">
        <v>0.33029073698444888</v>
      </c>
      <c r="G2">
        <v>0.34348697394789579</v>
      </c>
      <c r="H2">
        <v>0.25917926565874733</v>
      </c>
    </row>
    <row r="3" spans="1:8" x14ac:dyDescent="0.25">
      <c r="A3" t="s">
        <v>28</v>
      </c>
      <c r="B3">
        <v>1</v>
      </c>
      <c r="C3">
        <v>2</v>
      </c>
      <c r="D3" t="s">
        <v>174</v>
      </c>
      <c r="E3" t="s">
        <v>176</v>
      </c>
      <c r="F3">
        <v>0.66903313049357671</v>
      </c>
      <c r="G3">
        <v>0.65571142284569139</v>
      </c>
      <c r="H3">
        <v>0.74082073434125273</v>
      </c>
    </row>
    <row r="4" spans="1:8" x14ac:dyDescent="0.25">
      <c r="A4" t="s">
        <v>28</v>
      </c>
      <c r="B4">
        <v>2</v>
      </c>
      <c r="C4">
        <v>1</v>
      </c>
      <c r="D4" t="s">
        <v>177</v>
      </c>
      <c r="E4" t="s">
        <v>178</v>
      </c>
      <c r="F4">
        <v>5.4766734279918863E-2</v>
      </c>
      <c r="G4">
        <v>6.0921843687374751E-2</v>
      </c>
      <c r="H4">
        <v>2.159827213822894E-2</v>
      </c>
    </row>
    <row r="5" spans="1:8" x14ac:dyDescent="0.25">
      <c r="A5" t="s">
        <v>28</v>
      </c>
      <c r="B5">
        <v>2</v>
      </c>
      <c r="C5">
        <v>2</v>
      </c>
      <c r="D5" t="s">
        <v>177</v>
      </c>
      <c r="E5" t="s">
        <v>179</v>
      </c>
      <c r="F5">
        <v>0.21129141311697089</v>
      </c>
      <c r="G5">
        <v>0.22444889779559121</v>
      </c>
      <c r="H5">
        <v>0.14038876889848809</v>
      </c>
    </row>
    <row r="6" spans="1:8" x14ac:dyDescent="0.25">
      <c r="A6" t="s">
        <v>28</v>
      </c>
      <c r="B6">
        <v>2</v>
      </c>
      <c r="C6">
        <v>3</v>
      </c>
      <c r="D6" t="s">
        <v>177</v>
      </c>
      <c r="E6" t="s">
        <v>180</v>
      </c>
      <c r="F6">
        <v>0.21839080459770119</v>
      </c>
      <c r="G6">
        <v>0.21643286573146289</v>
      </c>
      <c r="H6">
        <v>0.2289416846652268</v>
      </c>
    </row>
    <row r="7" spans="1:8" x14ac:dyDescent="0.25">
      <c r="A7" t="s">
        <v>28</v>
      </c>
      <c r="B7">
        <v>2</v>
      </c>
      <c r="C7">
        <v>4</v>
      </c>
      <c r="D7" t="s">
        <v>177</v>
      </c>
      <c r="E7" t="s">
        <v>181</v>
      </c>
      <c r="F7">
        <v>0.18356997971602429</v>
      </c>
      <c r="G7">
        <v>0.18316633266533069</v>
      </c>
      <c r="H7">
        <v>0.18574514038876891</v>
      </c>
    </row>
    <row r="8" spans="1:8" x14ac:dyDescent="0.25">
      <c r="A8" t="s">
        <v>28</v>
      </c>
      <c r="B8">
        <v>2</v>
      </c>
      <c r="C8">
        <v>5</v>
      </c>
      <c r="D8" t="s">
        <v>177</v>
      </c>
      <c r="E8" t="s">
        <v>200</v>
      </c>
      <c r="F8">
        <v>0.20216362407031779</v>
      </c>
      <c r="G8">
        <v>0.1907815631262525</v>
      </c>
      <c r="H8">
        <v>0.26349892008639308</v>
      </c>
    </row>
    <row r="9" spans="1:8" x14ac:dyDescent="0.25">
      <c r="A9" t="s">
        <v>28</v>
      </c>
      <c r="B9">
        <v>2</v>
      </c>
      <c r="C9">
        <v>6</v>
      </c>
      <c r="D9" t="s">
        <v>177</v>
      </c>
      <c r="E9" t="s">
        <v>184</v>
      </c>
      <c r="F9">
        <v>0.12609871534820821</v>
      </c>
      <c r="G9">
        <v>0.12064128256513031</v>
      </c>
      <c r="H9">
        <v>0.15550755939524841</v>
      </c>
    </row>
    <row r="10" spans="1:8" x14ac:dyDescent="0.25">
      <c r="A10" t="s">
        <v>28</v>
      </c>
      <c r="B10">
        <v>3</v>
      </c>
      <c r="C10">
        <v>1</v>
      </c>
      <c r="D10" t="s">
        <v>185</v>
      </c>
      <c r="E10" t="s">
        <v>3140</v>
      </c>
      <c r="F10">
        <v>0.33637592968221769</v>
      </c>
      <c r="G10">
        <v>0.32024048096192392</v>
      </c>
      <c r="H10">
        <v>0.42332613390928719</v>
      </c>
    </row>
    <row r="11" spans="1:8" x14ac:dyDescent="0.25">
      <c r="A11" t="s">
        <v>28</v>
      </c>
      <c r="B11">
        <v>3</v>
      </c>
      <c r="C11">
        <v>2</v>
      </c>
      <c r="D11" t="s">
        <v>185</v>
      </c>
      <c r="E11" t="s">
        <v>201</v>
      </c>
      <c r="F11">
        <v>0.29783637592968221</v>
      </c>
      <c r="G11">
        <v>0.29498997995991982</v>
      </c>
      <c r="H11">
        <v>0.31317494600431972</v>
      </c>
    </row>
    <row r="12" spans="1:8" x14ac:dyDescent="0.25">
      <c r="A12" t="s">
        <v>28</v>
      </c>
      <c r="B12">
        <v>3</v>
      </c>
      <c r="C12">
        <v>3</v>
      </c>
      <c r="D12" t="s">
        <v>185</v>
      </c>
      <c r="E12" t="s">
        <v>3141</v>
      </c>
      <c r="F12">
        <v>0.15652467883705209</v>
      </c>
      <c r="G12">
        <v>0.1615230460921844</v>
      </c>
      <c r="H12">
        <v>0.12958963282937369</v>
      </c>
    </row>
    <row r="13" spans="1:8" x14ac:dyDescent="0.25">
      <c r="A13" t="s">
        <v>28</v>
      </c>
      <c r="B13">
        <v>3</v>
      </c>
      <c r="C13">
        <v>4</v>
      </c>
      <c r="D13" t="s">
        <v>185</v>
      </c>
      <c r="E13" t="s">
        <v>3142</v>
      </c>
      <c r="F13">
        <v>3.9553752535496957E-2</v>
      </c>
      <c r="G13">
        <v>4.3286573146292577E-2</v>
      </c>
      <c r="H13">
        <v>1.9438444924406051E-2</v>
      </c>
    </row>
    <row r="14" spans="1:8" x14ac:dyDescent="0.25">
      <c r="A14" t="s">
        <v>28</v>
      </c>
      <c r="B14">
        <v>3</v>
      </c>
      <c r="C14">
        <v>5</v>
      </c>
      <c r="D14" t="s">
        <v>185</v>
      </c>
      <c r="E14" t="s">
        <v>3143</v>
      </c>
      <c r="F14">
        <v>4.1920216362407031E-2</v>
      </c>
      <c r="G14">
        <v>4.3286573146292577E-2</v>
      </c>
      <c r="H14">
        <v>3.4557235421166309E-2</v>
      </c>
    </row>
    <row r="15" spans="1:8" x14ac:dyDescent="0.25">
      <c r="A15" t="s">
        <v>28</v>
      </c>
      <c r="B15">
        <v>3</v>
      </c>
      <c r="C15">
        <v>6</v>
      </c>
      <c r="D15" t="s">
        <v>185</v>
      </c>
      <c r="E15" t="s">
        <v>3144</v>
      </c>
      <c r="F15">
        <v>2.0622041920216359E-2</v>
      </c>
      <c r="G15">
        <v>2.1643286573146289E-2</v>
      </c>
      <c r="H15">
        <v>1.511879049676026E-2</v>
      </c>
    </row>
    <row r="16" spans="1:8" x14ac:dyDescent="0.25">
      <c r="A16" t="s">
        <v>28</v>
      </c>
      <c r="B16">
        <v>4</v>
      </c>
      <c r="C16">
        <v>1</v>
      </c>
      <c r="D16" t="s">
        <v>186</v>
      </c>
      <c r="E16" t="s">
        <v>187</v>
      </c>
      <c r="F16">
        <v>1.690331304935767E-2</v>
      </c>
      <c r="G16">
        <v>1.88376753507014E-2</v>
      </c>
      <c r="H16">
        <v>6.4794816414686816E-3</v>
      </c>
    </row>
    <row r="17" spans="1:8" x14ac:dyDescent="0.25">
      <c r="A17" t="s">
        <v>28</v>
      </c>
      <c r="B17">
        <v>4</v>
      </c>
      <c r="C17">
        <v>2</v>
      </c>
      <c r="D17" t="s">
        <v>186</v>
      </c>
      <c r="E17" t="s">
        <v>188</v>
      </c>
      <c r="F17">
        <v>4.3272481406355652E-2</v>
      </c>
      <c r="G17">
        <v>4.6893787575150302E-2</v>
      </c>
      <c r="H17">
        <v>2.375809935205184E-2</v>
      </c>
    </row>
    <row r="18" spans="1:8" x14ac:dyDescent="0.25">
      <c r="A18" t="s">
        <v>28</v>
      </c>
      <c r="B18">
        <v>4</v>
      </c>
      <c r="C18">
        <v>3</v>
      </c>
      <c r="D18" t="s">
        <v>186</v>
      </c>
      <c r="E18" t="s">
        <v>189</v>
      </c>
      <c r="F18">
        <v>9.9729546991210283E-2</v>
      </c>
      <c r="G18">
        <v>0.1110220440881764</v>
      </c>
      <c r="H18">
        <v>3.8876889848812088E-2</v>
      </c>
    </row>
    <row r="19" spans="1:8" x14ac:dyDescent="0.25">
      <c r="A19" t="s">
        <v>28</v>
      </c>
      <c r="B19">
        <v>4</v>
      </c>
      <c r="C19">
        <v>4</v>
      </c>
      <c r="D19" t="s">
        <v>186</v>
      </c>
      <c r="E19" t="s">
        <v>190</v>
      </c>
      <c r="F19">
        <v>0.21129141311697089</v>
      </c>
      <c r="G19">
        <v>0.22244488977955909</v>
      </c>
      <c r="H19">
        <v>0.15118790496760259</v>
      </c>
    </row>
    <row r="20" spans="1:8" x14ac:dyDescent="0.25">
      <c r="A20" t="s">
        <v>28</v>
      </c>
      <c r="B20">
        <v>4</v>
      </c>
      <c r="C20">
        <v>5</v>
      </c>
      <c r="D20" t="s">
        <v>186</v>
      </c>
      <c r="E20" t="s">
        <v>191</v>
      </c>
      <c r="F20">
        <v>0.62373225152129819</v>
      </c>
      <c r="G20">
        <v>0.59519038076152309</v>
      </c>
      <c r="H20">
        <v>0.77753779697624192</v>
      </c>
    </row>
    <row r="21" spans="1:8" x14ac:dyDescent="0.25">
      <c r="A21" t="s">
        <v>30</v>
      </c>
      <c r="B21">
        <v>1</v>
      </c>
      <c r="C21">
        <v>1</v>
      </c>
      <c r="D21" t="s">
        <v>174</v>
      </c>
      <c r="E21" t="s">
        <v>175</v>
      </c>
      <c r="F21">
        <v>0.30184105730940147</v>
      </c>
      <c r="G21">
        <v>0.3158799624882776</v>
      </c>
      <c r="H21">
        <v>0.29362247232134692</v>
      </c>
    </row>
    <row r="22" spans="1:8" x14ac:dyDescent="0.25">
      <c r="A22" t="s">
        <v>30</v>
      </c>
      <c r="B22">
        <v>1</v>
      </c>
      <c r="C22">
        <v>2</v>
      </c>
      <c r="D22" t="s">
        <v>174</v>
      </c>
      <c r="E22" t="s">
        <v>176</v>
      </c>
      <c r="F22">
        <v>0.69792808910948234</v>
      </c>
      <c r="G22">
        <v>0.68349484213816813</v>
      </c>
      <c r="H22">
        <v>0.70637752767865314</v>
      </c>
    </row>
    <row r="23" spans="1:8" x14ac:dyDescent="0.25">
      <c r="A23" t="s">
        <v>30</v>
      </c>
      <c r="B23">
        <v>2</v>
      </c>
      <c r="C23">
        <v>1</v>
      </c>
      <c r="D23" t="s">
        <v>177</v>
      </c>
      <c r="E23" t="s">
        <v>178</v>
      </c>
      <c r="F23">
        <v>3.2261787960985742E-2</v>
      </c>
      <c r="G23">
        <v>4.0950296967802439E-2</v>
      </c>
      <c r="H23">
        <v>2.7175404886082902E-2</v>
      </c>
    </row>
    <row r="24" spans="1:8" x14ac:dyDescent="0.25">
      <c r="A24" t="s">
        <v>30</v>
      </c>
      <c r="B24">
        <v>2</v>
      </c>
      <c r="C24">
        <v>2</v>
      </c>
      <c r="D24" t="s">
        <v>177</v>
      </c>
      <c r="E24" t="s">
        <v>179</v>
      </c>
      <c r="F24">
        <v>0.1157730709297628</v>
      </c>
      <c r="G24">
        <v>0.1473898093154111</v>
      </c>
      <c r="H24">
        <v>9.7264159575441489E-2</v>
      </c>
    </row>
    <row r="25" spans="1:8" x14ac:dyDescent="0.25">
      <c r="A25" t="s">
        <v>30</v>
      </c>
      <c r="B25">
        <v>2</v>
      </c>
      <c r="C25">
        <v>3</v>
      </c>
      <c r="D25" t="s">
        <v>177</v>
      </c>
      <c r="E25" t="s">
        <v>180</v>
      </c>
      <c r="F25">
        <v>0.19518670283372769</v>
      </c>
      <c r="G25">
        <v>0.21522350734604559</v>
      </c>
      <c r="H25">
        <v>0.18345685790099731</v>
      </c>
    </row>
    <row r="26" spans="1:8" x14ac:dyDescent="0.25">
      <c r="A26" t="s">
        <v>30</v>
      </c>
      <c r="B26">
        <v>2</v>
      </c>
      <c r="C26">
        <v>4</v>
      </c>
      <c r="D26" t="s">
        <v>177</v>
      </c>
      <c r="E26" t="s">
        <v>181</v>
      </c>
      <c r="F26">
        <v>0.21013447221100021</v>
      </c>
      <c r="G26">
        <v>0.1974054391997499</v>
      </c>
      <c r="H26">
        <v>0.21758623844816541</v>
      </c>
    </row>
    <row r="27" spans="1:8" x14ac:dyDescent="0.25">
      <c r="A27" t="s">
        <v>30</v>
      </c>
      <c r="B27">
        <v>2</v>
      </c>
      <c r="C27">
        <v>5</v>
      </c>
      <c r="D27" t="s">
        <v>177</v>
      </c>
      <c r="E27" t="s">
        <v>200</v>
      </c>
      <c r="F27">
        <v>0.27904426617417899</v>
      </c>
      <c r="G27">
        <v>0.23382306970928421</v>
      </c>
      <c r="H27">
        <v>0.30551743068899262</v>
      </c>
    </row>
    <row r="28" spans="1:8" x14ac:dyDescent="0.25">
      <c r="A28" t="s">
        <v>30</v>
      </c>
      <c r="B28">
        <v>2</v>
      </c>
      <c r="C28">
        <v>6</v>
      </c>
      <c r="D28" t="s">
        <v>177</v>
      </c>
      <c r="E28" t="s">
        <v>184</v>
      </c>
      <c r="F28">
        <v>0.16413689617360189</v>
      </c>
      <c r="G28">
        <v>0.16145670522038141</v>
      </c>
      <c r="H28">
        <v>0.16570592002927989</v>
      </c>
    </row>
    <row r="29" spans="1:8" x14ac:dyDescent="0.25">
      <c r="A29" t="s">
        <v>30</v>
      </c>
      <c r="B29">
        <v>3</v>
      </c>
      <c r="C29">
        <v>1</v>
      </c>
      <c r="D29" t="s">
        <v>185</v>
      </c>
      <c r="E29" t="s">
        <v>3140</v>
      </c>
      <c r="F29">
        <v>0.4156518727996768</v>
      </c>
      <c r="G29">
        <v>0.37824320100031261</v>
      </c>
      <c r="H29">
        <v>0.43755146856985999</v>
      </c>
    </row>
    <row r="30" spans="1:8" x14ac:dyDescent="0.25">
      <c r="A30" t="s">
        <v>30</v>
      </c>
      <c r="B30">
        <v>3</v>
      </c>
      <c r="C30">
        <v>2</v>
      </c>
      <c r="D30" t="s">
        <v>185</v>
      </c>
      <c r="E30" t="s">
        <v>201</v>
      </c>
      <c r="F30">
        <v>0.29670456512956661</v>
      </c>
      <c r="G30">
        <v>0.30947170990934669</v>
      </c>
      <c r="H30">
        <v>0.28923048769329313</v>
      </c>
    </row>
    <row r="31" spans="1:8" x14ac:dyDescent="0.25">
      <c r="A31" t="s">
        <v>30</v>
      </c>
      <c r="B31">
        <v>3</v>
      </c>
      <c r="C31">
        <v>3</v>
      </c>
      <c r="D31" t="s">
        <v>185</v>
      </c>
      <c r="E31" t="s">
        <v>3141</v>
      </c>
      <c r="F31">
        <v>0.12870087147226869</v>
      </c>
      <c r="G31">
        <v>0.12691466083150979</v>
      </c>
      <c r="H31">
        <v>0.12974654588708939</v>
      </c>
    </row>
    <row r="32" spans="1:8" x14ac:dyDescent="0.25">
      <c r="A32" t="s">
        <v>30</v>
      </c>
      <c r="B32">
        <v>3</v>
      </c>
      <c r="C32">
        <v>4</v>
      </c>
      <c r="D32" t="s">
        <v>185</v>
      </c>
      <c r="E32" t="s">
        <v>3142</v>
      </c>
      <c r="F32">
        <v>2.902983782535927E-2</v>
      </c>
      <c r="G32">
        <v>3.219756173804314E-2</v>
      </c>
      <c r="H32">
        <v>2.7175404886082902E-2</v>
      </c>
    </row>
    <row r="33" spans="1:8" x14ac:dyDescent="0.25">
      <c r="A33" t="s">
        <v>30</v>
      </c>
      <c r="B33">
        <v>3</v>
      </c>
      <c r="C33">
        <v>5</v>
      </c>
      <c r="D33" t="s">
        <v>185</v>
      </c>
      <c r="E33" t="s">
        <v>3143</v>
      </c>
      <c r="F33">
        <v>3.3185202285450452E-2</v>
      </c>
      <c r="G33">
        <v>3.9074710847139732E-2</v>
      </c>
      <c r="H33">
        <v>2.9737395919114281E-2</v>
      </c>
    </row>
    <row r="34" spans="1:8" x14ac:dyDescent="0.25">
      <c r="A34" t="s">
        <v>30</v>
      </c>
      <c r="B34">
        <v>3</v>
      </c>
      <c r="C34">
        <v>6</v>
      </c>
      <c r="D34" t="s">
        <v>185</v>
      </c>
      <c r="E34" t="s">
        <v>3144</v>
      </c>
      <c r="F34">
        <v>1.448606221504011E-2</v>
      </c>
      <c r="G34">
        <v>1.6411378555798689E-2</v>
      </c>
      <c r="H34">
        <v>1.335895324366365E-2</v>
      </c>
    </row>
    <row r="35" spans="1:8" x14ac:dyDescent="0.25">
      <c r="A35" t="s">
        <v>30</v>
      </c>
      <c r="B35">
        <v>4</v>
      </c>
      <c r="C35">
        <v>1</v>
      </c>
      <c r="D35" t="s">
        <v>186</v>
      </c>
      <c r="E35" t="s">
        <v>187</v>
      </c>
      <c r="F35">
        <v>8.8301494776937724E-3</v>
      </c>
      <c r="G35">
        <v>1.7349171616130039E-2</v>
      </c>
      <c r="H35">
        <v>3.8429865495470772E-3</v>
      </c>
    </row>
    <row r="36" spans="1:8" x14ac:dyDescent="0.25">
      <c r="A36" t="s">
        <v>30</v>
      </c>
      <c r="B36">
        <v>4</v>
      </c>
      <c r="C36">
        <v>2</v>
      </c>
      <c r="D36" t="s">
        <v>186</v>
      </c>
      <c r="E36" t="s">
        <v>188</v>
      </c>
      <c r="F36">
        <v>3.6359439025797892E-2</v>
      </c>
      <c r="G36">
        <v>5.4391997499218497E-2</v>
      </c>
      <c r="H36">
        <v>2.5802909689816089E-2</v>
      </c>
    </row>
    <row r="37" spans="1:8" x14ac:dyDescent="0.25">
      <c r="A37" t="s">
        <v>30</v>
      </c>
      <c r="B37">
        <v>4</v>
      </c>
      <c r="C37">
        <v>3</v>
      </c>
      <c r="D37" t="s">
        <v>186</v>
      </c>
      <c r="E37" t="s">
        <v>189</v>
      </c>
      <c r="F37">
        <v>9.5284815605702081E-2</v>
      </c>
      <c r="G37">
        <v>0.1245701781806815</v>
      </c>
      <c r="H37">
        <v>7.8140726507457223E-2</v>
      </c>
    </row>
    <row r="38" spans="1:8" x14ac:dyDescent="0.25">
      <c r="A38" t="s">
        <v>30</v>
      </c>
      <c r="B38">
        <v>4</v>
      </c>
      <c r="C38">
        <v>4</v>
      </c>
      <c r="D38" t="s">
        <v>186</v>
      </c>
      <c r="E38" t="s">
        <v>190</v>
      </c>
      <c r="F38">
        <v>0.20280487101056149</v>
      </c>
      <c r="G38">
        <v>0.21741169115348549</v>
      </c>
      <c r="H38">
        <v>0.19425382011162959</v>
      </c>
    </row>
    <row r="39" spans="1:8" x14ac:dyDescent="0.25">
      <c r="A39" t="s">
        <v>30</v>
      </c>
      <c r="B39">
        <v>4</v>
      </c>
      <c r="C39">
        <v>5</v>
      </c>
      <c r="D39" t="s">
        <v>186</v>
      </c>
      <c r="E39" t="s">
        <v>191</v>
      </c>
      <c r="F39">
        <v>0.65389276851157152</v>
      </c>
      <c r="G39">
        <v>0.57986870897155363</v>
      </c>
      <c r="H39">
        <v>0.697227559703541</v>
      </c>
    </row>
  </sheetData>
  <phoneticPr fontId="2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1"/>
  <sheetViews>
    <sheetView workbookViewId="0">
      <selection activeCell="P12" sqref="P12"/>
    </sheetView>
  </sheetViews>
  <sheetFormatPr defaultColWidth="8.81640625" defaultRowHeight="14" x14ac:dyDescent="0.25"/>
  <sheetData>
    <row r="1" spans="1:14" x14ac:dyDescent="0.25">
      <c r="A1" t="s">
        <v>711</v>
      </c>
      <c r="B1" t="s">
        <v>3134</v>
      </c>
      <c r="C1" t="s">
        <v>3135</v>
      </c>
      <c r="D1" t="s">
        <v>167</v>
      </c>
      <c r="E1" t="s">
        <v>3136</v>
      </c>
      <c r="F1" t="s">
        <v>3145</v>
      </c>
      <c r="G1" t="s">
        <v>3146</v>
      </c>
      <c r="H1" t="s">
        <v>3147</v>
      </c>
      <c r="I1" t="s">
        <v>3148</v>
      </c>
      <c r="J1" t="s">
        <v>3149</v>
      </c>
      <c r="K1" t="s">
        <v>3150</v>
      </c>
      <c r="L1" t="s">
        <v>3151</v>
      </c>
      <c r="M1" t="s">
        <v>172</v>
      </c>
      <c r="N1" t="s">
        <v>173</v>
      </c>
    </row>
    <row r="2" spans="1:14" x14ac:dyDescent="0.25">
      <c r="A2" t="s">
        <v>28</v>
      </c>
      <c r="B2">
        <v>1</v>
      </c>
      <c r="C2">
        <v>1</v>
      </c>
      <c r="D2" t="s">
        <v>174</v>
      </c>
      <c r="E2" t="s">
        <v>175</v>
      </c>
      <c r="F2">
        <v>0.32115375892115</v>
      </c>
      <c r="G2">
        <v>0.27733168925131652</v>
      </c>
      <c r="H2">
        <v>0.37910095058215959</v>
      </c>
      <c r="I2">
        <v>0.36068927675214202</v>
      </c>
      <c r="J2">
        <v>76.889363539879483</v>
      </c>
      <c r="K2">
        <v>84.714574951071995</v>
      </c>
      <c r="L2">
        <v>100</v>
      </c>
      <c r="M2">
        <v>-0.61399559760836631</v>
      </c>
      <c r="N2">
        <v>-6.5737063840514545E-2</v>
      </c>
    </row>
    <row r="3" spans="1:14" x14ac:dyDescent="0.25">
      <c r="A3" t="s">
        <v>28</v>
      </c>
      <c r="B3">
        <v>1</v>
      </c>
      <c r="C3">
        <v>2</v>
      </c>
      <c r="D3" t="s">
        <v>174</v>
      </c>
      <c r="E3" t="s">
        <v>176</v>
      </c>
      <c r="F3">
        <v>0.65736588290247544</v>
      </c>
      <c r="G3">
        <v>0.74062441212387997</v>
      </c>
      <c r="H3">
        <v>0.61915710285644454</v>
      </c>
      <c r="I3">
        <v>0.6388466766106432</v>
      </c>
      <c r="J3">
        <v>115.93148078240171</v>
      </c>
      <c r="K3">
        <v>106.1710961353358</v>
      </c>
      <c r="L3">
        <v>100</v>
      </c>
      <c r="M3">
        <v>-0.70413888959031434</v>
      </c>
      <c r="N3">
        <v>-0.1385071107740041</v>
      </c>
    </row>
    <row r="4" spans="1:14" x14ac:dyDescent="0.25">
      <c r="A4" t="s">
        <v>28</v>
      </c>
      <c r="B4">
        <v>2</v>
      </c>
      <c r="C4">
        <v>1</v>
      </c>
      <c r="D4" t="s">
        <v>177</v>
      </c>
      <c r="E4" t="s">
        <v>178</v>
      </c>
      <c r="F4">
        <v>5.9542093303073258E-2</v>
      </c>
      <c r="G4">
        <v>6.0308015953109848E-2</v>
      </c>
      <c r="H4">
        <v>8.9228251854674062E-2</v>
      </c>
      <c r="I4">
        <v>7.9173797661052717E-2</v>
      </c>
      <c r="J4">
        <v>76.171685247803453</v>
      </c>
      <c r="K4">
        <v>66.730090599611202</v>
      </c>
      <c r="L4">
        <v>100</v>
      </c>
      <c r="M4">
        <v>-0.67090005995572299</v>
      </c>
      <c r="N4">
        <v>1.770838227902939E-3</v>
      </c>
    </row>
    <row r="5" spans="1:14" x14ac:dyDescent="0.25">
      <c r="A5" t="s">
        <v>28</v>
      </c>
      <c r="B5">
        <v>2</v>
      </c>
      <c r="C5">
        <v>2</v>
      </c>
      <c r="D5" t="s">
        <v>177</v>
      </c>
      <c r="E5" t="s">
        <v>179</v>
      </c>
      <c r="F5">
        <v>0.21117835070282581</v>
      </c>
      <c r="G5">
        <v>0.22782338965016369</v>
      </c>
      <c r="H5">
        <v>0.21190372873369789</v>
      </c>
      <c r="I5">
        <v>0.20465998055414239</v>
      </c>
      <c r="J5">
        <v>111.3179963338722</v>
      </c>
      <c r="K5">
        <v>99.6576851029442</v>
      </c>
      <c r="L5">
        <v>100</v>
      </c>
      <c r="M5">
        <v>-0.69102038348344796</v>
      </c>
      <c r="N5">
        <v>-7.9649722063374784E-2</v>
      </c>
    </row>
    <row r="6" spans="1:14" x14ac:dyDescent="0.25">
      <c r="A6" t="s">
        <v>28</v>
      </c>
      <c r="B6">
        <v>2</v>
      </c>
      <c r="C6">
        <v>3</v>
      </c>
      <c r="D6" t="s">
        <v>177</v>
      </c>
      <c r="E6" t="s">
        <v>180</v>
      </c>
      <c r="F6">
        <v>0.2178297361314403</v>
      </c>
      <c r="G6">
        <v>0.2440091226096287</v>
      </c>
      <c r="H6">
        <v>0.2050300887158619</v>
      </c>
      <c r="I6">
        <v>0.2187260860404445</v>
      </c>
      <c r="J6">
        <v>111.5592232398422</v>
      </c>
      <c r="K6">
        <v>106.2428141624212</v>
      </c>
      <c r="L6">
        <v>100</v>
      </c>
      <c r="M6">
        <v>-0.70242951875214765</v>
      </c>
      <c r="N6">
        <v>-0.1667707723086434</v>
      </c>
    </row>
    <row r="7" spans="1:14" x14ac:dyDescent="0.25">
      <c r="A7" t="s">
        <v>28</v>
      </c>
      <c r="B7">
        <v>2</v>
      </c>
      <c r="C7">
        <v>4</v>
      </c>
      <c r="D7" t="s">
        <v>177</v>
      </c>
      <c r="E7" t="s">
        <v>181</v>
      </c>
      <c r="F7">
        <v>0.19568318801011411</v>
      </c>
      <c r="G7">
        <v>0.19773854912076161</v>
      </c>
      <c r="H7">
        <v>0.16884899588038621</v>
      </c>
      <c r="I7">
        <v>0.18017299245535001</v>
      </c>
      <c r="J7">
        <v>109.7492728660566</v>
      </c>
      <c r="K7">
        <v>115.89242031900351</v>
      </c>
      <c r="L7">
        <v>100</v>
      </c>
      <c r="M7">
        <v>-0.67013144565519567</v>
      </c>
      <c r="N7">
        <v>-0.1669783895312974</v>
      </c>
    </row>
    <row r="8" spans="1:14" x14ac:dyDescent="0.25">
      <c r="A8" t="s">
        <v>28</v>
      </c>
      <c r="B8">
        <v>2</v>
      </c>
      <c r="C8">
        <v>5</v>
      </c>
      <c r="D8" t="s">
        <v>177</v>
      </c>
      <c r="E8" t="s">
        <v>182</v>
      </c>
      <c r="F8">
        <v>7.7645877960503706E-2</v>
      </c>
      <c r="G8">
        <v>0.13979631448875449</v>
      </c>
      <c r="H8">
        <v>0.1216595179071546</v>
      </c>
      <c r="I8">
        <v>0.13005992278599299</v>
      </c>
      <c r="J8">
        <v>107.4860814109373</v>
      </c>
      <c r="K8">
        <v>63.822279831619717</v>
      </c>
      <c r="L8">
        <v>100</v>
      </c>
      <c r="M8">
        <v>-0.81485950173421851</v>
      </c>
      <c r="N8">
        <v>-0.16852331311013929</v>
      </c>
    </row>
    <row r="9" spans="1:14" x14ac:dyDescent="0.25">
      <c r="A9" t="s">
        <v>28</v>
      </c>
      <c r="B9">
        <v>2</v>
      </c>
      <c r="C9">
        <v>6</v>
      </c>
      <c r="D9" t="s">
        <v>177</v>
      </c>
      <c r="E9" t="s">
        <v>183</v>
      </c>
      <c r="F9">
        <v>7.0764293936813272E-2</v>
      </c>
      <c r="G9">
        <v>6.7345200510559172E-2</v>
      </c>
      <c r="H9">
        <v>6.9080652636123244E-2</v>
      </c>
      <c r="I9">
        <v>7.0723750394744961E-2</v>
      </c>
      <c r="J9">
        <v>95.222892076101175</v>
      </c>
      <c r="K9">
        <v>102.43721105178101</v>
      </c>
      <c r="L9">
        <v>100</v>
      </c>
      <c r="M9">
        <v>-0.6497434442230321</v>
      </c>
      <c r="N9">
        <v>-0.13176232563021001</v>
      </c>
    </row>
    <row r="10" spans="1:14" x14ac:dyDescent="0.25">
      <c r="A10" t="s">
        <v>28</v>
      </c>
      <c r="B10">
        <v>2</v>
      </c>
      <c r="C10">
        <v>7</v>
      </c>
      <c r="D10" t="s">
        <v>177</v>
      </c>
      <c r="E10" t="s">
        <v>184</v>
      </c>
      <c r="F10">
        <v>0.11828730969509089</v>
      </c>
      <c r="G10">
        <v>7.9355952638446345E-2</v>
      </c>
      <c r="H10">
        <v>0.12691823707750821</v>
      </c>
      <c r="I10">
        <v>0.1143370194899631</v>
      </c>
      <c r="J10">
        <v>69.405301093590651</v>
      </c>
      <c r="K10">
        <v>93.199616082638769</v>
      </c>
      <c r="L10">
        <v>100</v>
      </c>
      <c r="M10">
        <v>-0.50313616155123353</v>
      </c>
      <c r="N10">
        <v>-1.330110546159413E-2</v>
      </c>
    </row>
    <row r="11" spans="1:14" x14ac:dyDescent="0.25">
      <c r="A11" t="s">
        <v>28</v>
      </c>
      <c r="B11">
        <v>3</v>
      </c>
      <c r="C11">
        <v>1</v>
      </c>
      <c r="D11" t="s">
        <v>185</v>
      </c>
      <c r="E11" t="s">
        <v>3140</v>
      </c>
      <c r="F11">
        <v>0.38201286912500509</v>
      </c>
      <c r="G11">
        <v>0.38020659623947428</v>
      </c>
      <c r="H11">
        <v>0.22937073279837941</v>
      </c>
      <c r="I11">
        <v>0.2472165843770785</v>
      </c>
      <c r="J11">
        <v>153.79493944449399</v>
      </c>
      <c r="K11">
        <v>166.5482184515671</v>
      </c>
      <c r="L11">
        <v>100</v>
      </c>
      <c r="M11">
        <v>-0.66508307772371111</v>
      </c>
      <c r="N11">
        <v>-0.17527743401795201</v>
      </c>
    </row>
    <row r="12" spans="1:14" x14ac:dyDescent="0.25">
      <c r="A12" t="s">
        <v>28</v>
      </c>
      <c r="B12">
        <v>3</v>
      </c>
      <c r="C12">
        <v>2</v>
      </c>
      <c r="D12" t="s">
        <v>185</v>
      </c>
      <c r="E12" t="s">
        <v>3141</v>
      </c>
      <c r="F12">
        <v>0.34024309259253438</v>
      </c>
      <c r="G12">
        <v>0.36592749796772778</v>
      </c>
      <c r="H12">
        <v>0.36876559273436188</v>
      </c>
      <c r="I12">
        <v>0.35627181286705623</v>
      </c>
      <c r="J12">
        <v>102.7102018043383</v>
      </c>
      <c r="K12">
        <v>92.265411767313807</v>
      </c>
      <c r="L12">
        <v>100</v>
      </c>
      <c r="M12">
        <v>-0.69006329169743408</v>
      </c>
      <c r="N12">
        <v>-7.9939455922055286E-2</v>
      </c>
    </row>
    <row r="13" spans="1:14" x14ac:dyDescent="0.25">
      <c r="A13" t="s">
        <v>28</v>
      </c>
      <c r="B13">
        <v>3</v>
      </c>
      <c r="C13">
        <v>3</v>
      </c>
      <c r="D13" t="s">
        <v>185</v>
      </c>
      <c r="E13" t="s">
        <v>3142</v>
      </c>
      <c r="F13">
        <v>0.1807558353315287</v>
      </c>
      <c r="G13">
        <v>0.1435289580403836</v>
      </c>
      <c r="H13">
        <v>0.19461458544013749</v>
      </c>
      <c r="I13">
        <v>0.186567953096866</v>
      </c>
      <c r="J13">
        <v>76.931196198450778</v>
      </c>
      <c r="K13">
        <v>92.878873863813396</v>
      </c>
      <c r="L13">
        <v>100</v>
      </c>
      <c r="M13">
        <v>-0.580210530800642</v>
      </c>
      <c r="N13">
        <v>-7.2773540460944725E-2</v>
      </c>
    </row>
    <row r="14" spans="1:14" x14ac:dyDescent="0.25">
      <c r="A14" t="s">
        <v>28</v>
      </c>
      <c r="B14">
        <v>3</v>
      </c>
      <c r="C14">
        <v>4</v>
      </c>
      <c r="D14" t="s">
        <v>185</v>
      </c>
      <c r="E14" t="s">
        <v>3143</v>
      </c>
      <c r="F14">
        <v>5.0925766517508929E-2</v>
      </c>
      <c r="G14">
        <v>3.768988204030891E-2</v>
      </c>
      <c r="H14">
        <v>6.5866811686315682E-2</v>
      </c>
      <c r="I14">
        <v>6.6114963116577538E-2</v>
      </c>
      <c r="J14">
        <v>57.006584082716699</v>
      </c>
      <c r="K14">
        <v>77.316276913535702</v>
      </c>
      <c r="L14">
        <v>100</v>
      </c>
      <c r="M14">
        <v>-0.54960709381681105</v>
      </c>
      <c r="N14">
        <v>-0.1144474065384067</v>
      </c>
    </row>
    <row r="15" spans="1:14" x14ac:dyDescent="0.25">
      <c r="A15" t="s">
        <v>28</v>
      </c>
      <c r="B15">
        <v>3</v>
      </c>
      <c r="C15">
        <v>5</v>
      </c>
      <c r="D15" t="s">
        <v>185</v>
      </c>
      <c r="E15" t="s">
        <v>3144</v>
      </c>
      <c r="F15">
        <v>5.4555244624722589E-2</v>
      </c>
      <c r="G15">
        <v>4.4888427478961601E-2</v>
      </c>
      <c r="H15">
        <v>8.5429507075360636E-2</v>
      </c>
      <c r="I15">
        <v>8.6672750586656813E-2</v>
      </c>
      <c r="J15">
        <v>51.790703739212042</v>
      </c>
      <c r="K15">
        <v>63.859954824036762</v>
      </c>
      <c r="L15">
        <v>100</v>
      </c>
      <c r="M15">
        <v>-0.59488263316648338</v>
      </c>
      <c r="N15">
        <v>-0.123861431550861</v>
      </c>
    </row>
    <row r="16" spans="1:14" x14ac:dyDescent="0.25">
      <c r="A16" t="s">
        <v>28</v>
      </c>
      <c r="B16">
        <v>3</v>
      </c>
      <c r="C16">
        <v>6</v>
      </c>
      <c r="D16" t="s">
        <v>185</v>
      </c>
      <c r="E16" t="s">
        <v>3152</v>
      </c>
      <c r="F16">
        <v>1.9939702072663011E-2</v>
      </c>
      <c r="G16">
        <v>3.4313906050276018E-2</v>
      </c>
      <c r="H16">
        <v>4.9275146898097963E-2</v>
      </c>
      <c r="I16">
        <v>4.7477692256119378E-2</v>
      </c>
      <c r="J16">
        <v>72.273744614984565</v>
      </c>
      <c r="K16">
        <v>40.466042879382456</v>
      </c>
      <c r="L16">
        <v>100</v>
      </c>
      <c r="M16">
        <v>-0.80630105625935078</v>
      </c>
      <c r="N16">
        <v>-7.7458728621299183E-2</v>
      </c>
    </row>
    <row r="17" spans="1:14" x14ac:dyDescent="0.25">
      <c r="A17" t="s">
        <v>28</v>
      </c>
      <c r="B17">
        <v>4</v>
      </c>
      <c r="C17">
        <v>1</v>
      </c>
      <c r="D17" t="s">
        <v>186</v>
      </c>
      <c r="E17" t="s">
        <v>187</v>
      </c>
      <c r="F17">
        <v>2.3552338301041361E-2</v>
      </c>
      <c r="G17">
        <v>8.9620639614888722E-3</v>
      </c>
      <c r="H17">
        <v>4.4191897179740432E-2</v>
      </c>
      <c r="I17">
        <v>3.033721054515157E-2</v>
      </c>
      <c r="J17">
        <v>29.541489808861709</v>
      </c>
      <c r="K17">
        <v>53.295603502261088</v>
      </c>
      <c r="L17">
        <v>100</v>
      </c>
      <c r="M17">
        <v>-0.12399872759040199</v>
      </c>
      <c r="N17">
        <v>0.29483514390776477</v>
      </c>
    </row>
    <row r="18" spans="1:14" x14ac:dyDescent="0.25">
      <c r="A18" t="s">
        <v>28</v>
      </c>
      <c r="B18">
        <v>4</v>
      </c>
      <c r="C18">
        <v>2</v>
      </c>
      <c r="D18" t="s">
        <v>186</v>
      </c>
      <c r="E18" t="s">
        <v>188</v>
      </c>
      <c r="F18">
        <v>4.143207424816131E-2</v>
      </c>
      <c r="G18">
        <v>3.8562510224462637E-2</v>
      </c>
      <c r="H18">
        <v>0.1090461458969899</v>
      </c>
      <c r="I18">
        <v>9.8888419529306118E-2</v>
      </c>
      <c r="J18">
        <v>38.995981944108657</v>
      </c>
      <c r="K18">
        <v>37.994991851706509</v>
      </c>
      <c r="L18">
        <v>100</v>
      </c>
      <c r="M18">
        <v>-0.64186223003468346</v>
      </c>
      <c r="N18">
        <v>-1.980527219099365E-2</v>
      </c>
    </row>
    <row r="19" spans="1:14" x14ac:dyDescent="0.25">
      <c r="A19" t="s">
        <v>28</v>
      </c>
      <c r="B19">
        <v>4</v>
      </c>
      <c r="C19">
        <v>3</v>
      </c>
      <c r="D19" t="s">
        <v>186</v>
      </c>
      <c r="E19" t="s">
        <v>189</v>
      </c>
      <c r="F19">
        <v>0.11161214252623421</v>
      </c>
      <c r="G19">
        <v>0.1028176990277607</v>
      </c>
      <c r="H19">
        <v>0.18181006416777051</v>
      </c>
      <c r="I19">
        <v>0.17113878822733189</v>
      </c>
      <c r="J19">
        <v>60.078547997653793</v>
      </c>
      <c r="K19">
        <v>61.389419247573031</v>
      </c>
      <c r="L19">
        <v>100</v>
      </c>
      <c r="M19">
        <v>-0.63815522171236616</v>
      </c>
      <c r="N19">
        <v>-5.5684876579620769E-2</v>
      </c>
    </row>
    <row r="20" spans="1:14" x14ac:dyDescent="0.25">
      <c r="A20" t="s">
        <v>28</v>
      </c>
      <c r="B20">
        <v>4</v>
      </c>
      <c r="C20">
        <v>4</v>
      </c>
      <c r="D20" t="s">
        <v>186</v>
      </c>
      <c r="E20" t="s">
        <v>190</v>
      </c>
      <c r="F20">
        <v>0.22021833429371679</v>
      </c>
      <c r="G20">
        <v>0.23082067072383511</v>
      </c>
      <c r="H20">
        <v>0.2642729869557397</v>
      </c>
      <c r="I20">
        <v>0.26401372091553482</v>
      </c>
      <c r="J20">
        <v>87.427528358528349</v>
      </c>
      <c r="K20">
        <v>83.329869174483122</v>
      </c>
      <c r="L20">
        <v>100</v>
      </c>
      <c r="M20">
        <v>-0.68197773968404463</v>
      </c>
      <c r="N20">
        <v>-0.11023820684838891</v>
      </c>
    </row>
    <row r="21" spans="1:14" x14ac:dyDescent="0.25">
      <c r="A21" t="s">
        <v>28</v>
      </c>
      <c r="B21">
        <v>4</v>
      </c>
      <c r="C21">
        <v>5</v>
      </c>
      <c r="D21" t="s">
        <v>186</v>
      </c>
      <c r="E21" t="s">
        <v>191</v>
      </c>
      <c r="F21">
        <v>0.63037662959182794</v>
      </c>
      <c r="G21">
        <v>0.61402893663086688</v>
      </c>
      <c r="H21">
        <v>0.3952592909557972</v>
      </c>
      <c r="I21">
        <v>0.43086398577846452</v>
      </c>
      <c r="J21">
        <v>142.51108398430389</v>
      </c>
      <c r="K21">
        <v>159.4843294050043</v>
      </c>
      <c r="L21">
        <v>100</v>
      </c>
      <c r="M21">
        <v>-0.65779211587287745</v>
      </c>
      <c r="N21">
        <v>-0.18456495887925889</v>
      </c>
    </row>
    <row r="22" spans="1:14" x14ac:dyDescent="0.25">
      <c r="A22" t="s">
        <v>30</v>
      </c>
      <c r="B22">
        <v>1</v>
      </c>
      <c r="C22">
        <v>1</v>
      </c>
      <c r="D22" t="s">
        <v>174</v>
      </c>
      <c r="E22" t="s">
        <v>175</v>
      </c>
      <c r="F22">
        <v>0.30204472526156662</v>
      </c>
      <c r="G22">
        <v>0.2736827527606352</v>
      </c>
      <c r="H22">
        <v>0.28597478241385432</v>
      </c>
      <c r="I22">
        <v>0.28660034490216058</v>
      </c>
      <c r="J22">
        <v>95.492820447953349</v>
      </c>
      <c r="K22">
        <v>105.6193566132193</v>
      </c>
      <c r="L22">
        <v>100</v>
      </c>
      <c r="M22">
        <v>-0.39478308986822758</v>
      </c>
      <c r="N22">
        <v>-6.8703853058115397E-2</v>
      </c>
    </row>
    <row r="23" spans="1:14" x14ac:dyDescent="0.25">
      <c r="A23" t="s">
        <v>30</v>
      </c>
      <c r="B23">
        <v>1</v>
      </c>
      <c r="C23">
        <v>2</v>
      </c>
      <c r="D23" t="s">
        <v>174</v>
      </c>
      <c r="E23" t="s">
        <v>176</v>
      </c>
      <c r="F23">
        <v>0.69540545183538105</v>
      </c>
      <c r="G23">
        <v>0.72456867314693796</v>
      </c>
      <c r="H23">
        <v>0.71311339258354201</v>
      </c>
      <c r="I23">
        <v>0.71318733528735068</v>
      </c>
      <c r="J23">
        <v>101.59584127429881</v>
      </c>
      <c r="K23">
        <v>97.516812763253981</v>
      </c>
      <c r="L23">
        <v>100</v>
      </c>
      <c r="M23">
        <v>-0.47368497846219298</v>
      </c>
      <c r="N23">
        <v>-6.6763433934966018E-2</v>
      </c>
    </row>
    <row r="24" spans="1:14" x14ac:dyDescent="0.25">
      <c r="A24" t="s">
        <v>30</v>
      </c>
      <c r="B24">
        <v>2</v>
      </c>
      <c r="C24">
        <v>1</v>
      </c>
      <c r="D24" t="s">
        <v>177</v>
      </c>
      <c r="E24" t="s">
        <v>178</v>
      </c>
      <c r="F24">
        <v>2.9399890970796191E-2</v>
      </c>
      <c r="G24">
        <v>2.6850849879291729E-2</v>
      </c>
      <c r="H24">
        <v>0.1047542513647198</v>
      </c>
      <c r="I24">
        <v>5.7480248981656837E-2</v>
      </c>
      <c r="J24">
        <v>46.713176012616792</v>
      </c>
      <c r="K24">
        <v>28.065582625792871</v>
      </c>
      <c r="L24">
        <v>100</v>
      </c>
      <c r="M24">
        <v>-0.39955267980597597</v>
      </c>
      <c r="N24">
        <v>0.70094312984400065</v>
      </c>
    </row>
    <row r="25" spans="1:14" x14ac:dyDescent="0.25">
      <c r="A25" t="s">
        <v>30</v>
      </c>
      <c r="B25">
        <v>2</v>
      </c>
      <c r="C25">
        <v>2</v>
      </c>
      <c r="D25" t="s">
        <v>177</v>
      </c>
      <c r="E25" t="s">
        <v>179</v>
      </c>
      <c r="F25">
        <v>0.1155389292970266</v>
      </c>
      <c r="G25">
        <v>0.1187906098042758</v>
      </c>
      <c r="H25">
        <v>0.14289333793088699</v>
      </c>
      <c r="I25">
        <v>0.13732065885687239</v>
      </c>
      <c r="J25">
        <v>86.506000475929682</v>
      </c>
      <c r="K25">
        <v>80.85676419212011</v>
      </c>
      <c r="L25">
        <v>100</v>
      </c>
      <c r="M25">
        <v>-0.46662401930598901</v>
      </c>
      <c r="N25">
        <v>-2.8790594857486189E-2</v>
      </c>
    </row>
    <row r="26" spans="1:14" x14ac:dyDescent="0.25">
      <c r="A26" t="s">
        <v>30</v>
      </c>
      <c r="B26">
        <v>2</v>
      </c>
      <c r="C26">
        <v>3</v>
      </c>
      <c r="D26" t="s">
        <v>177</v>
      </c>
      <c r="E26" t="s">
        <v>180</v>
      </c>
      <c r="F26">
        <v>0.19865671595268181</v>
      </c>
      <c r="G26">
        <v>0.19608684089451001</v>
      </c>
      <c r="H26">
        <v>0.1750946727477895</v>
      </c>
      <c r="I26">
        <v>0.19549182259668149</v>
      </c>
      <c r="J26">
        <v>100.30436991682051</v>
      </c>
      <c r="K26">
        <v>113.4567447627785</v>
      </c>
      <c r="L26">
        <v>100</v>
      </c>
      <c r="M26">
        <v>-0.44442585122479339</v>
      </c>
      <c r="N26">
        <v>-0.16404843745429559</v>
      </c>
    </row>
    <row r="27" spans="1:14" x14ac:dyDescent="0.25">
      <c r="A27" t="s">
        <v>30</v>
      </c>
      <c r="B27">
        <v>2</v>
      </c>
      <c r="C27">
        <v>4</v>
      </c>
      <c r="D27" t="s">
        <v>177</v>
      </c>
      <c r="E27" t="s">
        <v>181</v>
      </c>
      <c r="F27">
        <v>0.21231466953620559</v>
      </c>
      <c r="G27">
        <v>0.21421728801772211</v>
      </c>
      <c r="H27">
        <v>0.18861663628956751</v>
      </c>
      <c r="I27">
        <v>0.20864016855713691</v>
      </c>
      <c r="J27">
        <v>102.6730804040056</v>
      </c>
      <c r="K27">
        <v>112.5641267455626</v>
      </c>
      <c r="L27">
        <v>100</v>
      </c>
      <c r="M27">
        <v>-0.45648352517701618</v>
      </c>
      <c r="N27">
        <v>-0.156240166561919</v>
      </c>
    </row>
    <row r="28" spans="1:14" x14ac:dyDescent="0.25">
      <c r="A28" t="s">
        <v>30</v>
      </c>
      <c r="B28">
        <v>2</v>
      </c>
      <c r="C28">
        <v>5</v>
      </c>
      <c r="D28" t="s">
        <v>177</v>
      </c>
      <c r="E28" t="s">
        <v>182</v>
      </c>
      <c r="F28">
        <v>0.18395095228317829</v>
      </c>
      <c r="G28">
        <v>0.18581688231025581</v>
      </c>
      <c r="H28">
        <v>0.16434200056757839</v>
      </c>
      <c r="I28">
        <v>0.18083330251617169</v>
      </c>
      <c r="J28">
        <v>102.75589712997611</v>
      </c>
      <c r="K28">
        <v>111.93179567479871</v>
      </c>
      <c r="L28">
        <v>100</v>
      </c>
      <c r="M28">
        <v>-0.45711967923889402</v>
      </c>
      <c r="N28">
        <v>-0.15178307832602139</v>
      </c>
    </row>
    <row r="29" spans="1:14" x14ac:dyDescent="0.25">
      <c r="A29" t="s">
        <v>30</v>
      </c>
      <c r="B29">
        <v>2</v>
      </c>
      <c r="C29">
        <v>6</v>
      </c>
      <c r="D29" t="s">
        <v>177</v>
      </c>
      <c r="E29" t="s">
        <v>183</v>
      </c>
      <c r="F29">
        <v>9.7747328739237235E-2</v>
      </c>
      <c r="G29">
        <v>0.1060532393055932</v>
      </c>
      <c r="H29">
        <v>9.0050935150664493E-2</v>
      </c>
      <c r="I29">
        <v>9.5893954958106126E-2</v>
      </c>
      <c r="J29">
        <v>110.5942906953055</v>
      </c>
      <c r="K29">
        <v>108.5467114535744</v>
      </c>
      <c r="L29">
        <v>100</v>
      </c>
      <c r="M29">
        <v>-0.49456165435659671</v>
      </c>
      <c r="N29">
        <v>-0.1235366242775994</v>
      </c>
    </row>
    <row r="30" spans="1:14" x14ac:dyDescent="0.25">
      <c r="A30" t="s">
        <v>30</v>
      </c>
      <c r="B30">
        <v>2</v>
      </c>
      <c r="C30">
        <v>7</v>
      </c>
      <c r="D30" t="s">
        <v>177</v>
      </c>
      <c r="E30" t="s">
        <v>184</v>
      </c>
      <c r="F30">
        <v>0.1646751265162287</v>
      </c>
      <c r="G30">
        <v>0.1527873745750625</v>
      </c>
      <c r="H30">
        <v>0.1241102262237682</v>
      </c>
      <c r="I30">
        <v>0.120928414560421</v>
      </c>
      <c r="J30">
        <v>126.3453053035136</v>
      </c>
      <c r="K30">
        <v>132.68457525758009</v>
      </c>
      <c r="L30">
        <v>100</v>
      </c>
      <c r="M30">
        <v>-0.40894517762139038</v>
      </c>
      <c r="N30">
        <v>-4.210923823608944E-2</v>
      </c>
    </row>
    <row r="31" spans="1:14" x14ac:dyDescent="0.25">
      <c r="A31" t="s">
        <v>30</v>
      </c>
      <c r="B31">
        <v>3</v>
      </c>
      <c r="C31">
        <v>1</v>
      </c>
      <c r="D31" t="s">
        <v>185</v>
      </c>
      <c r="E31" t="s">
        <v>3140</v>
      </c>
      <c r="F31">
        <v>0.45243042565329727</v>
      </c>
      <c r="G31">
        <v>0.46112581025394311</v>
      </c>
      <c r="H31">
        <v>0.34371656652622579</v>
      </c>
      <c r="I31">
        <v>0.3836659910711161</v>
      </c>
      <c r="J31">
        <v>120.1893889439028</v>
      </c>
      <c r="K31">
        <v>131.6289261893277</v>
      </c>
      <c r="L31">
        <v>100</v>
      </c>
      <c r="M31">
        <v>-0.4619537616432895</v>
      </c>
      <c r="N31">
        <v>-0.1638504943787237</v>
      </c>
    </row>
    <row r="32" spans="1:14" x14ac:dyDescent="0.25">
      <c r="A32" t="s">
        <v>30</v>
      </c>
      <c r="B32">
        <v>3</v>
      </c>
      <c r="C32">
        <v>2</v>
      </c>
      <c r="D32" t="s">
        <v>185</v>
      </c>
      <c r="E32" t="s">
        <v>3141</v>
      </c>
      <c r="F32">
        <v>0.32986076149276361</v>
      </c>
      <c r="G32">
        <v>0.3283302725454309</v>
      </c>
      <c r="H32">
        <v>0.3774266631308042</v>
      </c>
      <c r="I32">
        <v>0.36139658705299382</v>
      </c>
      <c r="J32">
        <v>90.850407642971405</v>
      </c>
      <c r="K32">
        <v>87.397312833313066</v>
      </c>
      <c r="L32">
        <v>100</v>
      </c>
      <c r="M32">
        <v>-0.44905663455168771</v>
      </c>
      <c r="N32">
        <v>-2.5267813231739721E-2</v>
      </c>
    </row>
    <row r="33" spans="1:14" x14ac:dyDescent="0.25">
      <c r="A33" t="s">
        <v>30</v>
      </c>
      <c r="B33">
        <v>3</v>
      </c>
      <c r="C33">
        <v>3</v>
      </c>
      <c r="D33" t="s">
        <v>185</v>
      </c>
      <c r="E33" t="s">
        <v>3142</v>
      </c>
      <c r="F33">
        <v>0.1353434901334338</v>
      </c>
      <c r="G33">
        <v>0.13025146651060501</v>
      </c>
      <c r="H33">
        <v>0.15357568781645231</v>
      </c>
      <c r="I33">
        <v>0.1439168595335745</v>
      </c>
      <c r="J33">
        <v>90.50466146408543</v>
      </c>
      <c r="K33">
        <v>88.128200536006119</v>
      </c>
      <c r="L33">
        <v>100</v>
      </c>
      <c r="M33">
        <v>-0.43017437262007729</v>
      </c>
      <c r="N33">
        <v>-4.0269840987637731E-3</v>
      </c>
    </row>
    <row r="34" spans="1:14" x14ac:dyDescent="0.25">
      <c r="A34" t="s">
        <v>30</v>
      </c>
      <c r="B34">
        <v>3</v>
      </c>
      <c r="C34">
        <v>4</v>
      </c>
      <c r="D34" t="s">
        <v>185</v>
      </c>
      <c r="E34" t="s">
        <v>3143</v>
      </c>
      <c r="F34">
        <v>2.7366052262359671E-2</v>
      </c>
      <c r="G34">
        <v>2.903788104601069E-2</v>
      </c>
      <c r="H34">
        <v>4.54806445651183E-2</v>
      </c>
      <c r="I34">
        <v>3.8900221907967762E-2</v>
      </c>
      <c r="J34">
        <v>74.647083285823086</v>
      </c>
      <c r="K34">
        <v>60.170766100681547</v>
      </c>
      <c r="L34">
        <v>100</v>
      </c>
      <c r="M34">
        <v>-0.48318577631242132</v>
      </c>
      <c r="N34">
        <v>9.1217466433420547E-2</v>
      </c>
    </row>
    <row r="35" spans="1:14" x14ac:dyDescent="0.25">
      <c r="A35" t="s">
        <v>30</v>
      </c>
      <c r="B35">
        <v>3</v>
      </c>
      <c r="C35">
        <v>5</v>
      </c>
      <c r="D35" t="s">
        <v>185</v>
      </c>
      <c r="E35" t="s">
        <v>3144</v>
      </c>
      <c r="F35">
        <v>3.5794000355945758E-2</v>
      </c>
      <c r="G35">
        <v>3.357981449568611E-2</v>
      </c>
      <c r="H35">
        <v>5.4321560604290553E-2</v>
      </c>
      <c r="I35">
        <v>4.6525178550160119E-2</v>
      </c>
      <c r="J35">
        <v>72.175573618664899</v>
      </c>
      <c r="K35">
        <v>65.892805651681869</v>
      </c>
      <c r="L35">
        <v>100</v>
      </c>
      <c r="M35">
        <v>-0.41545335398880129</v>
      </c>
      <c r="N35">
        <v>8.9735167292478796E-2</v>
      </c>
    </row>
    <row r="36" spans="1:14" x14ac:dyDescent="0.25">
      <c r="A36" t="s">
        <v>30</v>
      </c>
      <c r="B36">
        <v>3</v>
      </c>
      <c r="C36">
        <v>6</v>
      </c>
      <c r="D36" t="s">
        <v>185</v>
      </c>
      <c r="E36" t="s">
        <v>3152</v>
      </c>
      <c r="F36">
        <v>1.390388641695153E-2</v>
      </c>
      <c r="G36">
        <v>1.410043094261608E-2</v>
      </c>
      <c r="H36">
        <v>2.3090011366964262E-2</v>
      </c>
      <c r="I36">
        <v>2.130840968138803E-2</v>
      </c>
      <c r="J36">
        <v>66.17307980018893</v>
      </c>
      <c r="K36">
        <v>60.216022400250267</v>
      </c>
      <c r="L36">
        <v>100</v>
      </c>
      <c r="M36">
        <v>-0.45925681724905021</v>
      </c>
      <c r="N36">
        <v>1.136957652249828E-2</v>
      </c>
    </row>
    <row r="37" spans="1:14" x14ac:dyDescent="0.25">
      <c r="A37" t="s">
        <v>30</v>
      </c>
      <c r="B37">
        <v>4</v>
      </c>
      <c r="C37">
        <v>1</v>
      </c>
      <c r="D37" t="s">
        <v>186</v>
      </c>
      <c r="E37" t="s">
        <v>187</v>
      </c>
      <c r="F37">
        <v>1.014475969525864E-2</v>
      </c>
      <c r="G37">
        <v>8.8371960115501136E-3</v>
      </c>
      <c r="H37">
        <v>5.405491625902005E-2</v>
      </c>
      <c r="I37">
        <v>2.490272186728356E-2</v>
      </c>
      <c r="J37">
        <v>35.486867895995559</v>
      </c>
      <c r="K37">
        <v>18.76750607964507</v>
      </c>
      <c r="L37">
        <v>100</v>
      </c>
      <c r="M37">
        <v>-0.37047279369116343</v>
      </c>
      <c r="N37">
        <v>1.025933367603753</v>
      </c>
    </row>
    <row r="38" spans="1:14" x14ac:dyDescent="0.25">
      <c r="A38" t="s">
        <v>30</v>
      </c>
      <c r="B38">
        <v>4</v>
      </c>
      <c r="C38">
        <v>2</v>
      </c>
      <c r="D38" t="s">
        <v>186</v>
      </c>
      <c r="E38" t="s">
        <v>188</v>
      </c>
      <c r="F38">
        <v>3.7805517236688763E-2</v>
      </c>
      <c r="G38">
        <v>4.009437874763673E-2</v>
      </c>
      <c r="H38">
        <v>0.116579599312904</v>
      </c>
      <c r="I38">
        <v>8.3901193082159195E-2</v>
      </c>
      <c r="J38">
        <v>47.787614543663061</v>
      </c>
      <c r="K38">
        <v>32.428930498566338</v>
      </c>
      <c r="L38">
        <v>100</v>
      </c>
      <c r="M38">
        <v>-0.48291859140736809</v>
      </c>
      <c r="N38">
        <v>0.29685433577599513</v>
      </c>
    </row>
    <row r="39" spans="1:14" x14ac:dyDescent="0.25">
      <c r="A39" t="s">
        <v>30</v>
      </c>
      <c r="B39">
        <v>4</v>
      </c>
      <c r="C39">
        <v>3</v>
      </c>
      <c r="D39" t="s">
        <v>186</v>
      </c>
      <c r="E39" t="s">
        <v>189</v>
      </c>
      <c r="F39">
        <v>9.1648689076442955E-2</v>
      </c>
      <c r="G39">
        <v>9.855657212372515E-2</v>
      </c>
      <c r="H39">
        <v>0.18055647366296029</v>
      </c>
      <c r="I39">
        <v>0.16150193270082441</v>
      </c>
      <c r="J39">
        <v>61.025010955315992</v>
      </c>
      <c r="K39">
        <v>50.759015845380873</v>
      </c>
      <c r="L39">
        <v>100</v>
      </c>
      <c r="M39">
        <v>-0.49004964922382233</v>
      </c>
      <c r="N39">
        <v>4.3451137708290261E-2</v>
      </c>
    </row>
    <row r="40" spans="1:14" x14ac:dyDescent="0.25">
      <c r="A40" t="s">
        <v>30</v>
      </c>
      <c r="B40">
        <v>4</v>
      </c>
      <c r="C40">
        <v>4</v>
      </c>
      <c r="D40" t="s">
        <v>186</v>
      </c>
      <c r="E40" t="s">
        <v>190</v>
      </c>
      <c r="F40">
        <v>0.19890065816458011</v>
      </c>
      <c r="G40">
        <v>0.22096589181113321</v>
      </c>
      <c r="H40">
        <v>0.25407302265092752</v>
      </c>
      <c r="I40">
        <v>0.26594216294639939</v>
      </c>
      <c r="J40">
        <v>83.087950162934021</v>
      </c>
      <c r="K40">
        <v>78.284839566714226</v>
      </c>
      <c r="L40">
        <v>100</v>
      </c>
      <c r="M40">
        <v>-0.50637379559656204</v>
      </c>
      <c r="N40">
        <v>-0.10832183015425</v>
      </c>
    </row>
    <row r="41" spans="1:14" x14ac:dyDescent="0.25">
      <c r="A41" t="s">
        <v>30</v>
      </c>
      <c r="B41">
        <v>4</v>
      </c>
      <c r="C41">
        <v>5</v>
      </c>
      <c r="D41" t="s">
        <v>186</v>
      </c>
      <c r="E41" t="s">
        <v>191</v>
      </c>
      <c r="F41">
        <v>0.65391644596541953</v>
      </c>
      <c r="G41">
        <v>0.62685349614565156</v>
      </c>
      <c r="H41">
        <v>0.39189187756705068</v>
      </c>
      <c r="I41">
        <v>0.46150646494356767</v>
      </c>
      <c r="J41">
        <v>135.8276738815137</v>
      </c>
      <c r="K41">
        <v>166.8614440352971</v>
      </c>
      <c r="L41">
        <v>100</v>
      </c>
      <c r="M41">
        <v>-0.42793755871060268</v>
      </c>
      <c r="N41">
        <v>-0.20745259236912469</v>
      </c>
    </row>
  </sheetData>
  <phoneticPr fontId="22"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R85"/>
  <sheetViews>
    <sheetView topLeftCell="A34" workbookViewId="0">
      <selection activeCell="BP1" sqref="BP1"/>
    </sheetView>
  </sheetViews>
  <sheetFormatPr defaultColWidth="8.81640625" defaultRowHeight="14" x14ac:dyDescent="0.25"/>
  <cols>
    <col min="4" max="4" width="14" customWidth="1"/>
  </cols>
  <sheetData>
    <row r="1" spans="1:70" x14ac:dyDescent="0.25">
      <c r="A1" t="s">
        <v>482</v>
      </c>
      <c r="B1" t="s">
        <v>711</v>
      </c>
      <c r="C1" t="s">
        <v>712</v>
      </c>
      <c r="D1" t="s">
        <v>106</v>
      </c>
      <c r="E1" t="s">
        <v>107</v>
      </c>
      <c r="F1" t="s">
        <v>108</v>
      </c>
      <c r="G1" t="s">
        <v>21</v>
      </c>
      <c r="H1" t="s">
        <v>22</v>
      </c>
      <c r="I1" t="s">
        <v>3153</v>
      </c>
      <c r="J1" t="s">
        <v>3154</v>
      </c>
      <c r="K1" t="s">
        <v>3155</v>
      </c>
      <c r="L1" t="s">
        <v>487</v>
      </c>
      <c r="M1" t="s">
        <v>488</v>
      </c>
      <c r="N1" t="s">
        <v>3156</v>
      </c>
      <c r="O1" t="s">
        <v>3157</v>
      </c>
      <c r="P1" t="s">
        <v>3158</v>
      </c>
      <c r="Q1" t="s">
        <v>494</v>
      </c>
      <c r="R1" t="s">
        <v>495</v>
      </c>
      <c r="S1" t="s">
        <v>12383</v>
      </c>
      <c r="T1" t="s">
        <v>3159</v>
      </c>
      <c r="U1" t="s">
        <v>3160</v>
      </c>
      <c r="V1" t="s">
        <v>3161</v>
      </c>
      <c r="W1" t="s">
        <v>3162</v>
      </c>
      <c r="X1" t="s">
        <v>3163</v>
      </c>
      <c r="Y1" t="s">
        <v>3164</v>
      </c>
      <c r="Z1" t="s">
        <v>12384</v>
      </c>
      <c r="AA1" t="s">
        <v>3165</v>
      </c>
      <c r="AB1" t="s">
        <v>3166</v>
      </c>
      <c r="AC1" t="s">
        <v>12385</v>
      </c>
      <c r="AD1" t="s">
        <v>3167</v>
      </c>
      <c r="AE1" t="s">
        <v>3168</v>
      </c>
      <c r="AF1" t="s">
        <v>3169</v>
      </c>
      <c r="AG1" t="s">
        <v>3170</v>
      </c>
      <c r="AH1" t="s">
        <v>3171</v>
      </c>
      <c r="AI1" t="s">
        <v>3172</v>
      </c>
      <c r="AJ1" t="s">
        <v>3173</v>
      </c>
      <c r="AK1" t="s">
        <v>12387</v>
      </c>
      <c r="AL1" t="s">
        <v>12388</v>
      </c>
      <c r="AM1" t="s">
        <v>12389</v>
      </c>
      <c r="AN1" t="s">
        <v>12390</v>
      </c>
      <c r="AO1" t="s">
        <v>3177</v>
      </c>
      <c r="AP1" t="s">
        <v>3178</v>
      </c>
      <c r="AQ1" t="s">
        <v>3179</v>
      </c>
      <c r="AR1" t="s">
        <v>3180</v>
      </c>
      <c r="AS1" t="s">
        <v>3181</v>
      </c>
      <c r="AT1" t="s">
        <v>3182</v>
      </c>
      <c r="AU1" t="s">
        <v>3183</v>
      </c>
      <c r="AV1" t="s">
        <v>3184</v>
      </c>
      <c r="AW1" t="s">
        <v>3185</v>
      </c>
      <c r="AX1" t="s">
        <v>3186</v>
      </c>
      <c r="AY1" t="s">
        <v>3187</v>
      </c>
      <c r="AZ1" t="s">
        <v>3188</v>
      </c>
      <c r="BA1" t="s">
        <v>3189</v>
      </c>
      <c r="BB1" t="s">
        <v>3190</v>
      </c>
      <c r="BC1" t="s">
        <v>3191</v>
      </c>
      <c r="BD1" t="s">
        <v>3192</v>
      </c>
      <c r="BE1" t="s">
        <v>3193</v>
      </c>
      <c r="BF1" t="s">
        <v>3194</v>
      </c>
      <c r="BG1" t="s">
        <v>3195</v>
      </c>
      <c r="BH1" t="s">
        <v>3196</v>
      </c>
      <c r="BI1" t="s">
        <v>3197</v>
      </c>
      <c r="BJ1" t="s">
        <v>3198</v>
      </c>
      <c r="BK1" t="s">
        <v>3199</v>
      </c>
      <c r="BL1" t="s">
        <v>3200</v>
      </c>
      <c r="BM1" t="s">
        <v>3201</v>
      </c>
      <c r="BP1" s="252"/>
      <c r="BQ1" s="252"/>
      <c r="BR1" s="252"/>
    </row>
    <row r="2" spans="1:70" x14ac:dyDescent="0.25">
      <c r="A2" t="s">
        <v>3202</v>
      </c>
      <c r="B2" t="s">
        <v>28</v>
      </c>
      <c r="C2" t="s">
        <v>3203</v>
      </c>
      <c r="D2">
        <v>81075613</v>
      </c>
      <c r="E2">
        <v>63272</v>
      </c>
      <c r="F2">
        <v>3077962</v>
      </c>
      <c r="G2">
        <v>2.06E-2</v>
      </c>
      <c r="H2">
        <v>1281</v>
      </c>
    </row>
    <row r="3" spans="1:70" x14ac:dyDescent="0.25">
      <c r="A3" t="s">
        <v>3204</v>
      </c>
      <c r="B3" t="s">
        <v>28</v>
      </c>
      <c r="C3" t="s">
        <v>3205</v>
      </c>
      <c r="D3">
        <v>110776352</v>
      </c>
      <c r="E3">
        <v>83659</v>
      </c>
      <c r="F3">
        <v>3568549</v>
      </c>
      <c r="G3">
        <v>2.3400000000000001E-2</v>
      </c>
      <c r="H3">
        <v>1324</v>
      </c>
    </row>
    <row r="4" spans="1:70" x14ac:dyDescent="0.25">
      <c r="A4" t="s">
        <v>3206</v>
      </c>
      <c r="B4" t="s">
        <v>28</v>
      </c>
      <c r="C4" t="s">
        <v>3207</v>
      </c>
      <c r="D4">
        <v>111684483</v>
      </c>
      <c r="E4">
        <v>80107</v>
      </c>
      <c r="F4">
        <v>3522874</v>
      </c>
      <c r="G4">
        <v>2.2700000000000001E-2</v>
      </c>
      <c r="H4">
        <v>1394</v>
      </c>
    </row>
    <row r="5" spans="1:70" x14ac:dyDescent="0.25">
      <c r="A5" t="s">
        <v>3208</v>
      </c>
      <c r="B5" t="s">
        <v>28</v>
      </c>
      <c r="C5" t="s">
        <v>3209</v>
      </c>
      <c r="D5">
        <v>89702796</v>
      </c>
      <c r="E5">
        <v>66633</v>
      </c>
      <c r="F5">
        <v>3997072</v>
      </c>
      <c r="G5">
        <v>1.67E-2</v>
      </c>
      <c r="H5">
        <v>1346</v>
      </c>
    </row>
    <row r="6" spans="1:70" x14ac:dyDescent="0.25">
      <c r="A6" t="s">
        <v>3210</v>
      </c>
      <c r="B6" t="s">
        <v>28</v>
      </c>
      <c r="C6" t="s">
        <v>3211</v>
      </c>
      <c r="D6">
        <v>299830203</v>
      </c>
      <c r="E6">
        <v>170507</v>
      </c>
      <c r="F6">
        <v>4365706</v>
      </c>
      <c r="G6">
        <v>3.9100000000000003E-2</v>
      </c>
      <c r="H6">
        <v>1758</v>
      </c>
    </row>
    <row r="7" spans="1:70" x14ac:dyDescent="0.25">
      <c r="A7" t="s">
        <v>3212</v>
      </c>
      <c r="B7" t="s">
        <v>28</v>
      </c>
      <c r="C7" t="s">
        <v>3213</v>
      </c>
      <c r="D7">
        <v>154564264</v>
      </c>
      <c r="E7">
        <v>102543</v>
      </c>
      <c r="F7">
        <v>3266952</v>
      </c>
      <c r="G7">
        <v>3.1399999999999997E-2</v>
      </c>
      <c r="H7">
        <v>1507</v>
      </c>
    </row>
    <row r="8" spans="1:70" x14ac:dyDescent="0.25">
      <c r="A8" t="s">
        <v>541</v>
      </c>
      <c r="B8" t="s">
        <v>28</v>
      </c>
      <c r="C8" t="s">
        <v>740</v>
      </c>
      <c r="D8">
        <v>123656256</v>
      </c>
      <c r="E8">
        <v>80548</v>
      </c>
      <c r="F8">
        <v>3192890</v>
      </c>
      <c r="G8">
        <v>2.52E-2</v>
      </c>
      <c r="H8">
        <v>1535</v>
      </c>
      <c r="S8">
        <v>35418578</v>
      </c>
      <c r="T8">
        <v>47621559</v>
      </c>
      <c r="U8">
        <v>54637004</v>
      </c>
      <c r="V8">
        <v>84838366</v>
      </c>
      <c r="W8">
        <v>101453305</v>
      </c>
      <c r="X8">
        <v>12202981</v>
      </c>
      <c r="Y8">
        <v>7015445</v>
      </c>
      <c r="Z8">
        <v>37216807</v>
      </c>
      <c r="AA8">
        <v>30201362</v>
      </c>
      <c r="AB8">
        <v>16614939</v>
      </c>
      <c r="AC8">
        <v>22202951</v>
      </c>
      <c r="AD8">
        <v>0.28642770811369223</v>
      </c>
      <c r="AE8">
        <v>0.3851124119429914</v>
      </c>
      <c r="AF8">
        <v>0.44184585371887702</v>
      </c>
      <c r="AG8">
        <v>0.68608227957346535</v>
      </c>
      <c r="AH8">
        <v>0.82044619723890067</v>
      </c>
      <c r="AI8">
        <v>9.8684703829299183E-2</v>
      </c>
      <c r="AJ8">
        <v>5.6733441775885567E-2</v>
      </c>
      <c r="AK8">
        <v>0.30096986763047401</v>
      </c>
      <c r="AL8">
        <v>0.24423642585458841</v>
      </c>
      <c r="AM8">
        <v>0.1343639176654354</v>
      </c>
      <c r="AN8">
        <v>0.17955380276109931</v>
      </c>
    </row>
    <row r="9" spans="1:70" x14ac:dyDescent="0.25">
      <c r="A9" t="s">
        <v>542</v>
      </c>
      <c r="B9" t="s">
        <v>28</v>
      </c>
      <c r="C9" t="s">
        <v>741</v>
      </c>
      <c r="D9">
        <v>93583980</v>
      </c>
      <c r="E9">
        <v>66524</v>
      </c>
      <c r="F9">
        <v>3027753</v>
      </c>
      <c r="G9">
        <v>2.1999999999999999E-2</v>
      </c>
      <c r="H9">
        <v>1407</v>
      </c>
      <c r="S9">
        <v>25478029</v>
      </c>
      <c r="T9">
        <v>33513552</v>
      </c>
      <c r="U9">
        <v>38487142</v>
      </c>
      <c r="V9">
        <v>60594946</v>
      </c>
      <c r="W9">
        <v>74321015</v>
      </c>
      <c r="X9">
        <v>8035523</v>
      </c>
      <c r="Y9">
        <v>4973590</v>
      </c>
      <c r="Z9">
        <v>27081394</v>
      </c>
      <c r="AA9">
        <v>22107804</v>
      </c>
      <c r="AB9">
        <v>13726069</v>
      </c>
      <c r="AC9">
        <v>19262965</v>
      </c>
      <c r="AD9">
        <v>0.27224776078127899</v>
      </c>
      <c r="AE9">
        <v>0.3581120614874469</v>
      </c>
      <c r="AF9">
        <v>0.41125780288463898</v>
      </c>
      <c r="AG9">
        <v>0.64749272257922774</v>
      </c>
      <c r="AH9">
        <v>0.79416386223368574</v>
      </c>
      <c r="AI9">
        <v>8.5864300706167879E-2</v>
      </c>
      <c r="AJ9">
        <v>5.314574139719213E-2</v>
      </c>
      <c r="AK9">
        <v>0.2893806610917809</v>
      </c>
      <c r="AL9">
        <v>0.23623491969458879</v>
      </c>
      <c r="AM9">
        <v>0.14667113965445799</v>
      </c>
      <c r="AN9">
        <v>0.20583613776631429</v>
      </c>
    </row>
    <row r="10" spans="1:70" x14ac:dyDescent="0.25">
      <c r="A10" t="s">
        <v>543</v>
      </c>
      <c r="B10" t="s">
        <v>28</v>
      </c>
      <c r="C10" t="s">
        <v>742</v>
      </c>
      <c r="D10">
        <v>142756688</v>
      </c>
      <c r="E10">
        <v>88432</v>
      </c>
      <c r="F10">
        <v>4710349</v>
      </c>
      <c r="G10">
        <v>1.8800000000000001E-2</v>
      </c>
      <c r="H10">
        <v>1614</v>
      </c>
      <c r="S10">
        <v>38701622</v>
      </c>
      <c r="T10">
        <v>49921527</v>
      </c>
      <c r="U10">
        <v>59173278</v>
      </c>
      <c r="V10">
        <v>96894279</v>
      </c>
      <c r="W10">
        <v>114366383</v>
      </c>
      <c r="X10">
        <v>11219905</v>
      </c>
      <c r="Y10">
        <v>9251751</v>
      </c>
      <c r="Z10">
        <v>46972752</v>
      </c>
      <c r="AA10">
        <v>37721001</v>
      </c>
      <c r="AB10">
        <v>17472104</v>
      </c>
      <c r="AC10">
        <v>28390305</v>
      </c>
      <c r="AD10">
        <v>0.27110198858073808</v>
      </c>
      <c r="AE10">
        <v>0.34969659004697562</v>
      </c>
      <c r="AF10">
        <v>0.41450441887528239</v>
      </c>
      <c r="AG10">
        <v>0.67873723016045318</v>
      </c>
      <c r="AH10">
        <v>0.80112802140660477</v>
      </c>
      <c r="AI10">
        <v>7.8594601466237438E-2</v>
      </c>
      <c r="AJ10">
        <v>6.480782882830681E-2</v>
      </c>
      <c r="AK10">
        <v>0.32904064011347761</v>
      </c>
      <c r="AL10">
        <v>0.26423281128517068</v>
      </c>
      <c r="AM10">
        <v>0.1223907912461516</v>
      </c>
      <c r="AN10">
        <v>0.1988719785933952</v>
      </c>
    </row>
    <row r="11" spans="1:70" x14ac:dyDescent="0.25">
      <c r="A11" t="s">
        <v>544</v>
      </c>
      <c r="B11" t="s">
        <v>28</v>
      </c>
      <c r="C11" t="s">
        <v>743</v>
      </c>
      <c r="D11">
        <v>121584029</v>
      </c>
      <c r="E11">
        <v>75003</v>
      </c>
      <c r="F11">
        <v>3234408</v>
      </c>
      <c r="G11">
        <v>2.3199999999999998E-2</v>
      </c>
      <c r="H11">
        <v>1621</v>
      </c>
      <c r="S11">
        <v>29747223</v>
      </c>
      <c r="T11">
        <v>36641621</v>
      </c>
      <c r="U11">
        <v>43399018</v>
      </c>
      <c r="V11">
        <v>79538175</v>
      </c>
      <c r="W11">
        <v>96573327</v>
      </c>
      <c r="X11">
        <v>6894398</v>
      </c>
      <c r="Y11">
        <v>6757397</v>
      </c>
      <c r="Z11">
        <v>42896554</v>
      </c>
      <c r="AA11">
        <v>36139157</v>
      </c>
      <c r="AB11">
        <v>17035152</v>
      </c>
      <c r="AC11">
        <v>25010702</v>
      </c>
      <c r="AD11">
        <v>0.24466390236171559</v>
      </c>
      <c r="AE11">
        <v>0.3013687019698944</v>
      </c>
      <c r="AF11">
        <v>0.35694670062299061</v>
      </c>
      <c r="AG11">
        <v>0.65418275454582941</v>
      </c>
      <c r="AH11">
        <v>0.79429286719886538</v>
      </c>
      <c r="AI11">
        <v>5.6704799608178799E-2</v>
      </c>
      <c r="AJ11">
        <v>5.5577998653096122E-2</v>
      </c>
      <c r="AK11">
        <v>0.35281405257593501</v>
      </c>
      <c r="AL11">
        <v>0.29723605392283881</v>
      </c>
      <c r="AM11">
        <v>0.140110112653036</v>
      </c>
      <c r="AN11">
        <v>0.20570713280113459</v>
      </c>
    </row>
    <row r="12" spans="1:70" x14ac:dyDescent="0.25">
      <c r="A12" t="s">
        <v>545</v>
      </c>
      <c r="B12" t="s">
        <v>28</v>
      </c>
      <c r="C12" t="s">
        <v>744</v>
      </c>
      <c r="D12">
        <v>213991789</v>
      </c>
      <c r="E12">
        <v>120016</v>
      </c>
      <c r="F12">
        <v>4279384</v>
      </c>
      <c r="G12">
        <v>2.8000000000000001E-2</v>
      </c>
      <c r="H12">
        <v>1783</v>
      </c>
      <c r="S12">
        <v>56470600</v>
      </c>
      <c r="T12">
        <v>76904371</v>
      </c>
      <c r="U12">
        <v>92926544</v>
      </c>
      <c r="V12">
        <v>157918030</v>
      </c>
      <c r="W12">
        <v>180692266</v>
      </c>
      <c r="X12">
        <v>20433771</v>
      </c>
      <c r="Y12">
        <v>16022173</v>
      </c>
      <c r="Z12">
        <v>81013659</v>
      </c>
      <c r="AA12">
        <v>64991486</v>
      </c>
      <c r="AB12">
        <v>22774236</v>
      </c>
      <c r="AC12">
        <v>33299523</v>
      </c>
      <c r="AD12">
        <v>0.26389143370356138</v>
      </c>
      <c r="AE12">
        <v>0.35938000873482112</v>
      </c>
      <c r="AF12">
        <v>0.43425284883243809</v>
      </c>
      <c r="AG12">
        <v>0.73796303464709101</v>
      </c>
      <c r="AH12">
        <v>0.84438878166488907</v>
      </c>
      <c r="AI12">
        <v>9.5488575031259723E-2</v>
      </c>
      <c r="AJ12">
        <v>7.4872840097617022E-2</v>
      </c>
      <c r="AK12">
        <v>0.37858302591226989</v>
      </c>
      <c r="AL12">
        <v>0.30371018581465292</v>
      </c>
      <c r="AM12">
        <v>0.106425747017798</v>
      </c>
      <c r="AN12">
        <v>0.15561121833511099</v>
      </c>
    </row>
    <row r="13" spans="1:70" x14ac:dyDescent="0.25">
      <c r="A13" t="s">
        <v>546</v>
      </c>
      <c r="B13" t="s">
        <v>28</v>
      </c>
      <c r="C13" t="s">
        <v>745</v>
      </c>
      <c r="D13">
        <v>244167204</v>
      </c>
      <c r="E13">
        <v>128044</v>
      </c>
      <c r="F13">
        <v>4044349</v>
      </c>
      <c r="G13">
        <v>3.1699999999999999E-2</v>
      </c>
      <c r="H13">
        <v>1907</v>
      </c>
      <c r="S13">
        <v>67916734</v>
      </c>
      <c r="T13">
        <v>89458657</v>
      </c>
      <c r="U13">
        <v>106834019</v>
      </c>
      <c r="V13">
        <v>182473379</v>
      </c>
      <c r="W13">
        <v>208744115</v>
      </c>
      <c r="X13">
        <v>21541923</v>
      </c>
      <c r="Y13">
        <v>17375362</v>
      </c>
      <c r="Z13">
        <v>93014722</v>
      </c>
      <c r="AA13">
        <v>75639360</v>
      </c>
      <c r="AB13">
        <v>26270736</v>
      </c>
      <c r="AC13">
        <v>35423089</v>
      </c>
      <c r="AD13">
        <v>0.27815666022042829</v>
      </c>
      <c r="AE13">
        <v>0.36638277186480778</v>
      </c>
      <c r="AF13">
        <v>0.43754450741058581</v>
      </c>
      <c r="AG13">
        <v>0.74732960041595098</v>
      </c>
      <c r="AH13">
        <v>0.85492282165789968</v>
      </c>
      <c r="AI13">
        <v>8.822611164437956E-2</v>
      </c>
      <c r="AJ13">
        <v>7.1161735545777885E-2</v>
      </c>
      <c r="AK13">
        <v>0.3809468285511432</v>
      </c>
      <c r="AL13">
        <v>0.30978509300536528</v>
      </c>
      <c r="AM13">
        <v>0.1075932212419486</v>
      </c>
      <c r="AN13">
        <v>0.14507717834210029</v>
      </c>
    </row>
    <row r="14" spans="1:70" x14ac:dyDescent="0.25">
      <c r="A14" t="s">
        <v>547</v>
      </c>
      <c r="B14" t="s">
        <v>28</v>
      </c>
      <c r="C14" t="s">
        <v>746</v>
      </c>
      <c r="D14">
        <v>101559482</v>
      </c>
      <c r="E14">
        <v>67386</v>
      </c>
      <c r="F14">
        <v>2770819</v>
      </c>
      <c r="G14">
        <v>2.4299999999999999E-2</v>
      </c>
      <c r="H14">
        <v>1507</v>
      </c>
      <c r="I14">
        <v>81075613</v>
      </c>
      <c r="J14">
        <v>63272</v>
      </c>
      <c r="K14">
        <v>3077962</v>
      </c>
      <c r="L14">
        <v>2.06E-2</v>
      </c>
      <c r="M14">
        <v>1281</v>
      </c>
      <c r="N14">
        <v>0.25269999999999998</v>
      </c>
      <c r="O14">
        <v>6.5000000000000002E-2</v>
      </c>
      <c r="P14">
        <v>-9.98E-2</v>
      </c>
      <c r="Q14">
        <v>3.8E-3</v>
      </c>
      <c r="R14">
        <v>0.1762</v>
      </c>
      <c r="S14">
        <v>23997777</v>
      </c>
      <c r="T14">
        <v>30346688</v>
      </c>
      <c r="U14">
        <v>36677001</v>
      </c>
      <c r="V14">
        <v>65551688</v>
      </c>
      <c r="W14">
        <v>79324383</v>
      </c>
      <c r="X14">
        <v>6348911</v>
      </c>
      <c r="Y14">
        <v>6330313</v>
      </c>
      <c r="Z14">
        <v>35205000</v>
      </c>
      <c r="AA14">
        <v>28874687</v>
      </c>
      <c r="AB14">
        <v>13772695</v>
      </c>
      <c r="AC14">
        <v>22235099</v>
      </c>
      <c r="AD14">
        <v>0.23629282591260159</v>
      </c>
      <c r="AE14">
        <v>0.29880703802723219</v>
      </c>
      <c r="AF14">
        <v>0.36113812593096922</v>
      </c>
      <c r="AG14">
        <v>0.64545118495188858</v>
      </c>
      <c r="AH14">
        <v>0.78106328860558782</v>
      </c>
      <c r="AI14">
        <v>6.2514212114630513E-2</v>
      </c>
      <c r="AJ14">
        <v>6.2331087903737037E-2</v>
      </c>
      <c r="AK14">
        <v>0.34664414692465639</v>
      </c>
      <c r="AL14">
        <v>0.28431305902091941</v>
      </c>
      <c r="AM14">
        <v>0.13561210365369919</v>
      </c>
      <c r="AN14">
        <v>0.2189367113944122</v>
      </c>
    </row>
    <row r="15" spans="1:70" x14ac:dyDescent="0.25">
      <c r="A15" t="s">
        <v>548</v>
      </c>
      <c r="B15" t="s">
        <v>28</v>
      </c>
      <c r="C15" t="s">
        <v>747</v>
      </c>
      <c r="D15">
        <v>127570341</v>
      </c>
      <c r="E15">
        <v>82057</v>
      </c>
      <c r="F15">
        <v>3363350</v>
      </c>
      <c r="G15">
        <v>2.4400000000000002E-2</v>
      </c>
      <c r="H15">
        <v>1555</v>
      </c>
      <c r="I15">
        <v>110776352</v>
      </c>
      <c r="J15">
        <v>83659</v>
      </c>
      <c r="K15">
        <v>3568549</v>
      </c>
      <c r="L15">
        <v>2.3400000000000001E-2</v>
      </c>
      <c r="M15">
        <v>1324</v>
      </c>
      <c r="N15">
        <v>0.15160000000000001</v>
      </c>
      <c r="O15">
        <v>-1.9099999999999999E-2</v>
      </c>
      <c r="P15">
        <v>-5.7500000000000002E-2</v>
      </c>
      <c r="Q15">
        <v>1E-3</v>
      </c>
      <c r="R15">
        <v>0.1741</v>
      </c>
      <c r="S15">
        <v>29747980</v>
      </c>
      <c r="T15">
        <v>39065654</v>
      </c>
      <c r="U15">
        <v>47255658</v>
      </c>
      <c r="V15">
        <v>83050847</v>
      </c>
      <c r="W15">
        <v>99126634</v>
      </c>
      <c r="X15">
        <v>9317674</v>
      </c>
      <c r="Y15">
        <v>8190004</v>
      </c>
      <c r="Z15">
        <v>43985193</v>
      </c>
      <c r="AA15">
        <v>35795189</v>
      </c>
      <c r="AB15">
        <v>16075787</v>
      </c>
      <c r="AC15">
        <v>28443707</v>
      </c>
      <c r="AD15">
        <v>0.2331888412840411</v>
      </c>
      <c r="AE15">
        <v>0.30622834189962689</v>
      </c>
      <c r="AF15">
        <v>0.37042824867889951</v>
      </c>
      <c r="AG15">
        <v>0.65102002823681404</v>
      </c>
      <c r="AH15">
        <v>0.77703511037883011</v>
      </c>
      <c r="AI15">
        <v>7.3039500615585881E-2</v>
      </c>
      <c r="AJ15">
        <v>6.4199906779272467E-2</v>
      </c>
      <c r="AK15">
        <v>0.3447916863371871</v>
      </c>
      <c r="AL15">
        <v>0.28059177955791459</v>
      </c>
      <c r="AM15">
        <v>0.12601508214201609</v>
      </c>
      <c r="AN15">
        <v>0.22296488962116989</v>
      </c>
    </row>
    <row r="16" spans="1:70" x14ac:dyDescent="0.25">
      <c r="A16" t="s">
        <v>549</v>
      </c>
      <c r="B16" t="s">
        <v>28</v>
      </c>
      <c r="C16" t="s">
        <v>748</v>
      </c>
      <c r="D16">
        <v>138337109</v>
      </c>
      <c r="E16">
        <v>90157</v>
      </c>
      <c r="F16">
        <v>4122549</v>
      </c>
      <c r="G16">
        <v>2.1899999999999999E-2</v>
      </c>
      <c r="H16">
        <v>1534</v>
      </c>
      <c r="I16">
        <v>111684483</v>
      </c>
      <c r="J16">
        <v>80107</v>
      </c>
      <c r="K16">
        <v>3522874</v>
      </c>
      <c r="L16">
        <v>2.2700000000000001E-2</v>
      </c>
      <c r="M16">
        <v>1394</v>
      </c>
      <c r="N16">
        <v>0.23860000000000001</v>
      </c>
      <c r="O16">
        <v>0.1255</v>
      </c>
      <c r="P16">
        <v>0.17019999999999999</v>
      </c>
      <c r="Q16">
        <v>-8.9999999999999998E-4</v>
      </c>
      <c r="R16">
        <v>0.10059999999999999</v>
      </c>
      <c r="S16">
        <v>33030706</v>
      </c>
      <c r="T16">
        <v>44381142</v>
      </c>
      <c r="U16">
        <v>54529053</v>
      </c>
      <c r="V16">
        <v>93634598</v>
      </c>
      <c r="W16">
        <v>110184353</v>
      </c>
      <c r="X16">
        <v>11350436</v>
      </c>
      <c r="Y16">
        <v>10147911</v>
      </c>
      <c r="Z16">
        <v>49253456</v>
      </c>
      <c r="AA16">
        <v>39105545</v>
      </c>
      <c r="AB16">
        <v>16549755</v>
      </c>
      <c r="AC16">
        <v>28152756</v>
      </c>
      <c r="AD16">
        <v>0.23876967097816101</v>
      </c>
      <c r="AE16">
        <v>0.3208187761101759</v>
      </c>
      <c r="AF16">
        <v>0.39417516669370328</v>
      </c>
      <c r="AG16">
        <v>0.67685813789848681</v>
      </c>
      <c r="AH16">
        <v>0.79649165575666325</v>
      </c>
      <c r="AI16">
        <v>8.2049105132014868E-2</v>
      </c>
      <c r="AJ16">
        <v>7.3356390583527373E-2</v>
      </c>
      <c r="AK16">
        <v>0.35603936178831092</v>
      </c>
      <c r="AL16">
        <v>0.28268297120478347</v>
      </c>
      <c r="AM16">
        <v>0.1196335178581764</v>
      </c>
      <c r="AN16">
        <v>0.20350834424333669</v>
      </c>
    </row>
    <row r="17" spans="1:47" x14ac:dyDescent="0.25">
      <c r="A17" t="s">
        <v>550</v>
      </c>
      <c r="B17" t="s">
        <v>28</v>
      </c>
      <c r="C17" t="s">
        <v>749</v>
      </c>
      <c r="D17">
        <v>272021792</v>
      </c>
      <c r="E17">
        <v>149920</v>
      </c>
      <c r="F17">
        <v>6272438</v>
      </c>
      <c r="G17">
        <v>2.3900000000000001E-2</v>
      </c>
      <c r="H17">
        <v>1814</v>
      </c>
      <c r="I17">
        <v>89702796</v>
      </c>
      <c r="J17">
        <v>66633</v>
      </c>
      <c r="K17">
        <v>3997072</v>
      </c>
      <c r="L17">
        <v>1.67E-2</v>
      </c>
      <c r="M17">
        <v>1346</v>
      </c>
      <c r="N17">
        <v>2.0325000000000002</v>
      </c>
      <c r="O17">
        <v>1.2499</v>
      </c>
      <c r="P17">
        <v>0.56930000000000003</v>
      </c>
      <c r="Q17">
        <v>7.1999999999999998E-3</v>
      </c>
      <c r="R17">
        <v>0.3478</v>
      </c>
      <c r="S17">
        <v>69062301</v>
      </c>
      <c r="T17">
        <v>99673304</v>
      </c>
      <c r="U17">
        <v>123875570</v>
      </c>
      <c r="V17">
        <v>206409875</v>
      </c>
      <c r="W17">
        <v>235407151</v>
      </c>
      <c r="X17">
        <v>30611003</v>
      </c>
      <c r="Y17">
        <v>24202266</v>
      </c>
      <c r="Z17">
        <v>106736571</v>
      </c>
      <c r="AA17">
        <v>82534305</v>
      </c>
      <c r="AB17">
        <v>28997276</v>
      </c>
      <c r="AC17">
        <v>36614641</v>
      </c>
      <c r="AD17">
        <v>0.25388517769929259</v>
      </c>
      <c r="AE17">
        <v>0.36641661415126631</v>
      </c>
      <c r="AF17" s="266">
        <v>0.45538840505837119</v>
      </c>
      <c r="AG17" s="266">
        <v>0.75879904136503884</v>
      </c>
      <c r="AH17">
        <v>0.86539813324955961</v>
      </c>
      <c r="AI17">
        <v>0.11253143645197369</v>
      </c>
      <c r="AJ17">
        <v>8.897179090710497E-2</v>
      </c>
      <c r="AK17">
        <v>0.39238242721377259</v>
      </c>
      <c r="AL17">
        <v>0.30341063630666759</v>
      </c>
      <c r="AM17">
        <v>0.1065990918845208</v>
      </c>
      <c r="AN17">
        <v>0.13460186675044031</v>
      </c>
    </row>
    <row r="18" spans="1:47" x14ac:dyDescent="0.25">
      <c r="A18" t="s">
        <v>551</v>
      </c>
      <c r="B18" t="s">
        <v>28</v>
      </c>
      <c r="C18" t="s">
        <v>750</v>
      </c>
      <c r="D18">
        <v>320911334</v>
      </c>
      <c r="E18">
        <v>156715</v>
      </c>
      <c r="F18">
        <v>6606015</v>
      </c>
      <c r="G18">
        <v>2.3699999999999999E-2</v>
      </c>
      <c r="H18">
        <v>2048</v>
      </c>
      <c r="I18">
        <v>299830203</v>
      </c>
      <c r="J18">
        <v>170507</v>
      </c>
      <c r="K18">
        <v>4365706</v>
      </c>
      <c r="L18">
        <v>3.9100000000000003E-2</v>
      </c>
      <c r="M18">
        <v>1758</v>
      </c>
      <c r="N18">
        <v>7.0300000000000001E-2</v>
      </c>
      <c r="O18">
        <v>-8.09E-2</v>
      </c>
      <c r="P18">
        <v>0.51319999999999999</v>
      </c>
      <c r="Q18">
        <v>-1.5299999999999999E-2</v>
      </c>
      <c r="R18">
        <v>0.16450000000000001</v>
      </c>
    </row>
    <row r="19" spans="1:47" x14ac:dyDescent="0.25">
      <c r="A19" t="s">
        <v>552</v>
      </c>
      <c r="B19" t="s">
        <v>28</v>
      </c>
      <c r="C19" t="s">
        <v>751</v>
      </c>
      <c r="D19">
        <v>165629281</v>
      </c>
      <c r="E19">
        <v>91192</v>
      </c>
      <c r="F19">
        <v>4456851</v>
      </c>
      <c r="G19">
        <v>2.0500000000000001E-2</v>
      </c>
      <c r="H19">
        <v>1816</v>
      </c>
      <c r="I19">
        <v>154564264</v>
      </c>
      <c r="J19">
        <v>102543</v>
      </c>
      <c r="K19">
        <v>3266952</v>
      </c>
      <c r="L19">
        <v>3.1399999999999997E-2</v>
      </c>
      <c r="M19">
        <v>1507</v>
      </c>
      <c r="N19">
        <v>7.1599999999999997E-2</v>
      </c>
      <c r="O19">
        <v>-0.11070000000000001</v>
      </c>
      <c r="P19">
        <v>0.36420000000000002</v>
      </c>
      <c r="Q19">
        <v>-1.09E-2</v>
      </c>
      <c r="R19">
        <v>0.20499999999999999</v>
      </c>
      <c r="S19">
        <v>39147558</v>
      </c>
      <c r="T19">
        <v>53827967</v>
      </c>
      <c r="U19">
        <v>64929467</v>
      </c>
      <c r="V19">
        <v>113922825</v>
      </c>
      <c r="W19">
        <v>134030196</v>
      </c>
      <c r="X19">
        <v>14680409</v>
      </c>
      <c r="Y19">
        <v>11101500</v>
      </c>
      <c r="Z19">
        <v>60094858</v>
      </c>
      <c r="AA19">
        <v>48993358</v>
      </c>
      <c r="AB19">
        <v>20107371</v>
      </c>
      <c r="AC19">
        <v>31599085</v>
      </c>
      <c r="AD19">
        <v>0.23635650510370809</v>
      </c>
      <c r="AE19">
        <v>0.32499064582668807</v>
      </c>
      <c r="AF19">
        <v>0.39201683789232888</v>
      </c>
      <c r="AG19">
        <v>0.68781814611632586</v>
      </c>
      <c r="AH19">
        <v>0.80921800294478119</v>
      </c>
      <c r="AI19">
        <v>8.8634140722980009E-2</v>
      </c>
      <c r="AJ19">
        <v>6.7026192065640852E-2</v>
      </c>
      <c r="AK19">
        <v>0.36282750028963778</v>
      </c>
      <c r="AL19">
        <v>0.29580130822399692</v>
      </c>
      <c r="AM19">
        <v>0.1213998568284553</v>
      </c>
      <c r="AN19">
        <v>0.19078199705521881</v>
      </c>
    </row>
    <row r="20" spans="1:47" x14ac:dyDescent="0.25">
      <c r="A20" t="s">
        <v>553</v>
      </c>
      <c r="B20" t="s">
        <v>28</v>
      </c>
      <c r="C20" t="s">
        <v>752</v>
      </c>
      <c r="D20">
        <v>97494364</v>
      </c>
      <c r="E20">
        <v>57912</v>
      </c>
      <c r="F20">
        <v>3867723</v>
      </c>
      <c r="G20">
        <v>1.4999999999999999E-2</v>
      </c>
      <c r="H20">
        <v>1683</v>
      </c>
      <c r="I20">
        <v>123656256</v>
      </c>
      <c r="J20">
        <v>80548</v>
      </c>
      <c r="K20">
        <v>3192890</v>
      </c>
      <c r="L20">
        <v>2.52E-2</v>
      </c>
      <c r="M20">
        <v>1535</v>
      </c>
      <c r="N20">
        <v>-0.21160000000000001</v>
      </c>
      <c r="O20">
        <v>-0.28100000000000003</v>
      </c>
      <c r="P20">
        <v>0.2114</v>
      </c>
      <c r="Q20">
        <v>-1.03E-2</v>
      </c>
      <c r="R20">
        <v>9.6600000000000005E-2</v>
      </c>
      <c r="S20">
        <v>26495284</v>
      </c>
      <c r="T20">
        <v>33721632</v>
      </c>
      <c r="U20">
        <v>40542185</v>
      </c>
      <c r="V20">
        <v>67772674</v>
      </c>
      <c r="W20">
        <v>80168669</v>
      </c>
      <c r="X20">
        <v>7226348</v>
      </c>
      <c r="Y20">
        <v>6820553</v>
      </c>
      <c r="Z20">
        <v>34051042</v>
      </c>
      <c r="AA20">
        <v>27230489</v>
      </c>
      <c r="AB20">
        <v>12395995</v>
      </c>
      <c r="AC20">
        <v>17325695</v>
      </c>
      <c r="AD20">
        <v>0.27176221181359778</v>
      </c>
      <c r="AE20">
        <v>0.34588288611226797</v>
      </c>
      <c r="AF20">
        <v>0.41584131981208677</v>
      </c>
      <c r="AG20">
        <v>0.69514453163672107</v>
      </c>
      <c r="AH20">
        <v>0.82229029157008504</v>
      </c>
      <c r="AI20">
        <v>7.4120674298670225E-2</v>
      </c>
      <c r="AJ20">
        <v>6.9958433699818787E-2</v>
      </c>
      <c r="AK20">
        <v>0.3492616455244531</v>
      </c>
      <c r="AL20">
        <v>0.2793032118246343</v>
      </c>
      <c r="AM20">
        <v>0.12714575993336391</v>
      </c>
      <c r="AN20">
        <v>0.17770970842991499</v>
      </c>
    </row>
    <row r="21" spans="1:47" x14ac:dyDescent="0.25">
      <c r="A21" t="s">
        <v>554</v>
      </c>
      <c r="B21" t="s">
        <v>28</v>
      </c>
      <c r="C21" t="s">
        <v>753</v>
      </c>
      <c r="D21">
        <v>127549284</v>
      </c>
      <c r="E21">
        <v>81865</v>
      </c>
      <c r="F21">
        <v>4047712</v>
      </c>
      <c r="G21">
        <v>2.0199999999999999E-2</v>
      </c>
      <c r="H21">
        <v>1558</v>
      </c>
      <c r="I21">
        <v>93583980</v>
      </c>
      <c r="J21">
        <v>66524</v>
      </c>
      <c r="K21">
        <v>3027753</v>
      </c>
      <c r="L21">
        <v>2.1999999999999999E-2</v>
      </c>
      <c r="M21">
        <v>1407</v>
      </c>
      <c r="N21">
        <v>0.3629</v>
      </c>
      <c r="O21">
        <v>0.2306</v>
      </c>
      <c r="P21">
        <v>0.33689999999999998</v>
      </c>
      <c r="Q21">
        <v>-1.6999999999999999E-3</v>
      </c>
      <c r="R21">
        <v>0.1075</v>
      </c>
      <c r="S21">
        <v>28451863</v>
      </c>
      <c r="T21">
        <v>37229217</v>
      </c>
      <c r="U21">
        <v>45238507</v>
      </c>
      <c r="V21">
        <v>80989616</v>
      </c>
      <c r="W21">
        <v>100110774</v>
      </c>
      <c r="X21">
        <v>8777354</v>
      </c>
      <c r="Y21">
        <v>8009290</v>
      </c>
      <c r="Z21">
        <v>43760399</v>
      </c>
      <c r="AA21">
        <v>35751109</v>
      </c>
      <c r="AB21">
        <v>19121158</v>
      </c>
      <c r="AC21">
        <v>27438510</v>
      </c>
      <c r="AD21">
        <v>0.22306564261074169</v>
      </c>
      <c r="AE21">
        <v>0.2918810347849542</v>
      </c>
      <c r="AF21">
        <v>0.35467472322306409</v>
      </c>
      <c r="AG21">
        <v>0.63496723352833562</v>
      </c>
      <c r="AH21">
        <v>0.78487915306525746</v>
      </c>
      <c r="AI21">
        <v>6.8815392174212439E-2</v>
      </c>
      <c r="AJ21">
        <v>6.2793688438109937E-2</v>
      </c>
      <c r="AK21">
        <v>0.34308619874338142</v>
      </c>
      <c r="AL21">
        <v>0.28029251030527152</v>
      </c>
      <c r="AM21">
        <v>0.1499119195369219</v>
      </c>
      <c r="AN21">
        <v>0.21512084693474251</v>
      </c>
    </row>
    <row r="22" spans="1:47" x14ac:dyDescent="0.25">
      <c r="A22" t="s">
        <v>555</v>
      </c>
      <c r="B22" t="s">
        <v>28</v>
      </c>
      <c r="C22" t="s">
        <v>754</v>
      </c>
      <c r="D22">
        <v>164174878</v>
      </c>
      <c r="E22">
        <v>93424</v>
      </c>
      <c r="F22">
        <v>5543896</v>
      </c>
      <c r="G22">
        <v>1.6899999999999998E-2</v>
      </c>
      <c r="H22">
        <v>1757</v>
      </c>
      <c r="I22">
        <v>142756688</v>
      </c>
      <c r="J22">
        <v>88432</v>
      </c>
      <c r="K22">
        <v>4710349</v>
      </c>
      <c r="L22">
        <v>1.8800000000000001E-2</v>
      </c>
      <c r="M22">
        <v>1614</v>
      </c>
      <c r="N22">
        <v>0.15</v>
      </c>
      <c r="O22">
        <v>5.6500000000000002E-2</v>
      </c>
      <c r="P22">
        <v>0.17699999999999999</v>
      </c>
      <c r="Q22">
        <v>-1.9E-3</v>
      </c>
      <c r="R22">
        <v>8.8599999999999998E-2</v>
      </c>
      <c r="S22">
        <v>40910165</v>
      </c>
      <c r="T22">
        <v>55718223</v>
      </c>
      <c r="U22">
        <v>65131695</v>
      </c>
      <c r="V22">
        <v>107648673</v>
      </c>
      <c r="W22">
        <v>129624315</v>
      </c>
      <c r="X22">
        <v>14808058</v>
      </c>
      <c r="Y22">
        <v>9413472</v>
      </c>
      <c r="Z22">
        <v>51930450</v>
      </c>
      <c r="AA22">
        <v>42516978</v>
      </c>
      <c r="AB22">
        <v>21975642</v>
      </c>
      <c r="AC22">
        <v>34550563</v>
      </c>
      <c r="AD22">
        <v>0.24918651074009021</v>
      </c>
      <c r="AE22">
        <v>0.33938336777688971</v>
      </c>
      <c r="AF22">
        <v>0.39672144601806858</v>
      </c>
      <c r="AG22">
        <v>0.65569516062012845</v>
      </c>
      <c r="AH22">
        <v>0.78955024410007479</v>
      </c>
      <c r="AI22">
        <v>9.0196857036799499E-2</v>
      </c>
      <c r="AJ22">
        <v>5.7338078241178897E-2</v>
      </c>
      <c r="AK22">
        <v>0.31631179284323879</v>
      </c>
      <c r="AL22">
        <v>0.25897371460205992</v>
      </c>
      <c r="AM22">
        <v>0.13385508347994629</v>
      </c>
      <c r="AN22">
        <v>0.21044975589992521</v>
      </c>
    </row>
    <row r="23" spans="1:47" x14ac:dyDescent="0.25">
      <c r="A23" t="s">
        <v>556</v>
      </c>
      <c r="B23" t="s">
        <v>28</v>
      </c>
      <c r="C23" t="s">
        <v>755</v>
      </c>
      <c r="D23">
        <v>139351905</v>
      </c>
      <c r="E23">
        <v>82527</v>
      </c>
      <c r="F23">
        <v>9572839</v>
      </c>
      <c r="G23">
        <v>8.6E-3</v>
      </c>
      <c r="H23">
        <v>1689</v>
      </c>
      <c r="I23">
        <v>121584029</v>
      </c>
      <c r="J23">
        <v>75003</v>
      </c>
      <c r="K23">
        <v>3234408</v>
      </c>
      <c r="L23">
        <v>2.3199999999999998E-2</v>
      </c>
      <c r="M23">
        <v>1621</v>
      </c>
      <c r="N23">
        <v>0.14610000000000001</v>
      </c>
      <c r="O23">
        <v>0.1003</v>
      </c>
      <c r="P23">
        <v>1.9597</v>
      </c>
      <c r="Q23">
        <v>-1.46E-2</v>
      </c>
      <c r="R23">
        <v>4.1599999999999998E-2</v>
      </c>
      <c r="S23">
        <v>30006169</v>
      </c>
      <c r="T23">
        <v>39362598</v>
      </c>
      <c r="U23">
        <v>47364083</v>
      </c>
      <c r="V23">
        <v>82106009</v>
      </c>
      <c r="W23">
        <v>105702004</v>
      </c>
      <c r="X23">
        <v>9356429</v>
      </c>
      <c r="Y23">
        <v>8001485</v>
      </c>
      <c r="Z23">
        <v>42743411</v>
      </c>
      <c r="AA23">
        <v>34741926</v>
      </c>
      <c r="AB23">
        <v>23595995</v>
      </c>
      <c r="AC23">
        <v>33649901</v>
      </c>
      <c r="AD23">
        <v>0.21532657913790271</v>
      </c>
      <c r="AE23">
        <v>0.28246903406164409</v>
      </c>
      <c r="AF23">
        <v>0.33988830651436019</v>
      </c>
      <c r="AG23">
        <v>0.58919904252475053</v>
      </c>
      <c r="AH23">
        <v>0.75852571947258274</v>
      </c>
      <c r="AI23">
        <v>6.7142454923741449E-2</v>
      </c>
      <c r="AJ23">
        <v>5.7419272452716018E-2</v>
      </c>
      <c r="AK23">
        <v>0.30673000846310639</v>
      </c>
      <c r="AL23">
        <v>0.24931073601039039</v>
      </c>
      <c r="AM23">
        <v>0.16932667694783221</v>
      </c>
      <c r="AN23">
        <v>0.24147428052741729</v>
      </c>
    </row>
    <row r="24" spans="1:47" x14ac:dyDescent="0.25">
      <c r="A24" t="s">
        <v>557</v>
      </c>
      <c r="B24" t="s">
        <v>28</v>
      </c>
      <c r="C24" t="s">
        <v>756</v>
      </c>
      <c r="D24">
        <v>210744303</v>
      </c>
      <c r="E24">
        <v>116199</v>
      </c>
      <c r="F24">
        <v>5509642</v>
      </c>
      <c r="G24">
        <v>2.1100000000000001E-2</v>
      </c>
      <c r="H24">
        <v>1814</v>
      </c>
      <c r="I24">
        <v>213991789</v>
      </c>
      <c r="J24">
        <v>120016</v>
      </c>
      <c r="K24">
        <v>4279384</v>
      </c>
      <c r="L24">
        <v>2.8000000000000001E-2</v>
      </c>
      <c r="M24">
        <v>1783</v>
      </c>
      <c r="N24">
        <v>-1.52E-2</v>
      </c>
      <c r="O24">
        <v>-3.1800000000000002E-2</v>
      </c>
      <c r="P24">
        <v>0.28749999999999998</v>
      </c>
      <c r="Q24">
        <v>-7.0000000000000001E-3</v>
      </c>
      <c r="R24">
        <v>1.72E-2</v>
      </c>
      <c r="S24">
        <v>53541314</v>
      </c>
      <c r="T24">
        <v>72599908</v>
      </c>
      <c r="U24">
        <v>86457183</v>
      </c>
      <c r="V24">
        <v>142660530</v>
      </c>
      <c r="W24">
        <v>171086992</v>
      </c>
      <c r="X24">
        <v>19058594</v>
      </c>
      <c r="Y24">
        <v>13857275</v>
      </c>
      <c r="Z24">
        <v>70060622</v>
      </c>
      <c r="AA24">
        <v>56203347</v>
      </c>
      <c r="AB24">
        <v>28426462</v>
      </c>
      <c r="AC24">
        <v>39657311</v>
      </c>
      <c r="AD24">
        <v>0.25405817968896649</v>
      </c>
      <c r="AE24">
        <v>0.34449286156978581</v>
      </c>
      <c r="AF24">
        <v>0.41024683357632691</v>
      </c>
      <c r="AG24">
        <v>0.67693659078414092</v>
      </c>
      <c r="AH24">
        <v>0.81182261899625352</v>
      </c>
      <c r="AI24">
        <v>9.0434681880819337E-2</v>
      </c>
      <c r="AJ24">
        <v>6.5753972006541025E-2</v>
      </c>
      <c r="AK24">
        <v>0.33244372921435511</v>
      </c>
      <c r="AL24">
        <v>0.26668975720781413</v>
      </c>
      <c r="AM24">
        <v>0.1348860282121126</v>
      </c>
      <c r="AN24">
        <v>0.18817738100374651</v>
      </c>
    </row>
    <row r="25" spans="1:47" x14ac:dyDescent="0.25">
      <c r="A25" t="s">
        <v>558</v>
      </c>
      <c r="B25" t="s">
        <v>28</v>
      </c>
      <c r="C25" t="s">
        <v>757</v>
      </c>
      <c r="D25">
        <v>266148125</v>
      </c>
      <c r="E25">
        <v>133654</v>
      </c>
      <c r="F25">
        <v>6132665</v>
      </c>
      <c r="G25">
        <v>2.18E-2</v>
      </c>
      <c r="H25">
        <v>1991</v>
      </c>
      <c r="I25">
        <v>244167204</v>
      </c>
      <c r="J25">
        <v>128044</v>
      </c>
      <c r="K25">
        <v>4044349</v>
      </c>
      <c r="L25">
        <v>3.1699999999999999E-2</v>
      </c>
      <c r="M25">
        <v>1907</v>
      </c>
      <c r="N25">
        <v>0.09</v>
      </c>
      <c r="O25">
        <v>4.3799999999999999E-2</v>
      </c>
      <c r="P25">
        <v>0.51639999999999997</v>
      </c>
      <c r="Q25">
        <v>-9.9000000000000008E-3</v>
      </c>
      <c r="R25">
        <v>4.4299999999999999E-2</v>
      </c>
      <c r="S25">
        <v>70723126</v>
      </c>
      <c r="T25">
        <v>94651507</v>
      </c>
      <c r="U25">
        <v>111755881</v>
      </c>
      <c r="V25">
        <v>184005642</v>
      </c>
      <c r="W25">
        <v>218674282</v>
      </c>
      <c r="X25">
        <v>23928381</v>
      </c>
      <c r="Y25">
        <v>17104374</v>
      </c>
      <c r="Z25">
        <v>89354135</v>
      </c>
      <c r="AA25">
        <v>72249761</v>
      </c>
      <c r="AB25">
        <v>34668640</v>
      </c>
      <c r="AC25">
        <v>47473843</v>
      </c>
      <c r="AD25">
        <v>0.26572843975511762</v>
      </c>
      <c r="AE25">
        <v>0.35563469402611803</v>
      </c>
      <c r="AF25">
        <v>0.41990106449181258</v>
      </c>
      <c r="AG25">
        <v>0.69136553939652967</v>
      </c>
      <c r="AH25">
        <v>0.82162623539053681</v>
      </c>
      <c r="AI25">
        <v>8.9906254271000408E-2</v>
      </c>
      <c r="AJ25">
        <v>6.4266370465694625E-2</v>
      </c>
      <c r="AK25">
        <v>0.3357308453704117</v>
      </c>
      <c r="AL25">
        <v>0.27146447490471709</v>
      </c>
      <c r="AM25">
        <v>0.13026069599400711</v>
      </c>
      <c r="AN25">
        <v>0.17837376460946319</v>
      </c>
    </row>
    <row r="26" spans="1:47" x14ac:dyDescent="0.25">
      <c r="A26" t="s">
        <v>559</v>
      </c>
      <c r="B26" t="s">
        <v>28</v>
      </c>
      <c r="C26" t="s">
        <v>758</v>
      </c>
      <c r="D26">
        <v>105443223</v>
      </c>
      <c r="E26">
        <v>67738</v>
      </c>
      <c r="F26">
        <v>3976355</v>
      </c>
      <c r="G26">
        <v>1.7000000000000001E-2</v>
      </c>
      <c r="H26">
        <v>1557</v>
      </c>
      <c r="I26">
        <v>101559482</v>
      </c>
      <c r="J26">
        <v>67386</v>
      </c>
      <c r="K26">
        <v>2770819</v>
      </c>
      <c r="L26">
        <v>2.4299999999999999E-2</v>
      </c>
      <c r="M26">
        <v>1507</v>
      </c>
      <c r="N26">
        <v>3.8199999999999998E-2</v>
      </c>
      <c r="O26">
        <v>5.1999999999999998E-3</v>
      </c>
      <c r="P26">
        <v>0.43509999999999999</v>
      </c>
      <c r="Q26">
        <v>-7.3000000000000001E-3</v>
      </c>
      <c r="R26">
        <v>3.2800000000000003E-2</v>
      </c>
      <c r="S26">
        <v>20230214</v>
      </c>
      <c r="T26">
        <v>26995888</v>
      </c>
      <c r="U26">
        <v>33350618</v>
      </c>
      <c r="V26">
        <v>60370095</v>
      </c>
      <c r="W26">
        <v>77684127</v>
      </c>
      <c r="X26">
        <v>6765674</v>
      </c>
      <c r="Y26">
        <v>6354730</v>
      </c>
      <c r="Z26">
        <v>33374207</v>
      </c>
      <c r="AA26">
        <v>27019477</v>
      </c>
      <c r="AB26">
        <v>17314032</v>
      </c>
      <c r="AC26">
        <v>27759096</v>
      </c>
      <c r="AD26">
        <v>0.19185883572621831</v>
      </c>
      <c r="AE26">
        <v>0.25602297835679783</v>
      </c>
      <c r="AF26">
        <v>0.3162898197829177</v>
      </c>
      <c r="AG26">
        <v>0.57253651095243929</v>
      </c>
      <c r="AH26">
        <v>0.73673892726135659</v>
      </c>
      <c r="AI26">
        <v>6.4164142630579499E-2</v>
      </c>
      <c r="AJ26">
        <v>6.0266841426119912E-2</v>
      </c>
      <c r="AK26">
        <v>0.31651353259564152</v>
      </c>
      <c r="AL26">
        <v>0.25624669116952159</v>
      </c>
      <c r="AM26">
        <v>0.1642024163089173</v>
      </c>
      <c r="AN26">
        <v>0.26326107273864341</v>
      </c>
    </row>
    <row r="27" spans="1:47" x14ac:dyDescent="0.25">
      <c r="A27" t="s">
        <v>560</v>
      </c>
      <c r="B27" t="s">
        <v>28</v>
      </c>
      <c r="C27" t="s">
        <v>759</v>
      </c>
      <c r="D27">
        <v>146485860</v>
      </c>
      <c r="E27">
        <v>94889</v>
      </c>
      <c r="F27">
        <v>4458619</v>
      </c>
      <c r="G27">
        <v>2.1299999999999999E-2</v>
      </c>
      <c r="H27">
        <v>1544</v>
      </c>
      <c r="I27">
        <v>127570341</v>
      </c>
      <c r="J27">
        <v>82057</v>
      </c>
      <c r="K27">
        <v>3363350</v>
      </c>
      <c r="L27">
        <v>2.4400000000000002E-2</v>
      </c>
      <c r="M27">
        <v>1555</v>
      </c>
      <c r="N27">
        <v>0.14829999999999999</v>
      </c>
      <c r="O27">
        <v>0.15640000000000001</v>
      </c>
      <c r="P27">
        <v>0.3256</v>
      </c>
      <c r="Q27">
        <v>-3.0999999999999999E-3</v>
      </c>
      <c r="R27">
        <v>-7.0000000000000001E-3</v>
      </c>
      <c r="S27">
        <v>33184425</v>
      </c>
      <c r="T27">
        <v>42972750</v>
      </c>
      <c r="U27">
        <v>52584142</v>
      </c>
      <c r="V27">
        <v>88166556</v>
      </c>
      <c r="W27">
        <v>110631320</v>
      </c>
      <c r="X27">
        <v>9788325</v>
      </c>
      <c r="Y27">
        <v>9611392</v>
      </c>
      <c r="Z27">
        <v>45193806</v>
      </c>
      <c r="AA27">
        <v>35582414</v>
      </c>
      <c r="AB27">
        <v>22464764</v>
      </c>
      <c r="AC27">
        <v>35854540</v>
      </c>
      <c r="AD27">
        <v>0.22653671146143389</v>
      </c>
      <c r="AE27">
        <v>0.29335766605732461</v>
      </c>
      <c r="AF27">
        <v>0.35897077028458579</v>
      </c>
      <c r="AG27">
        <v>0.60187758736577035</v>
      </c>
      <c r="AH27">
        <v>0.75523548825804754</v>
      </c>
      <c r="AI27">
        <v>6.6820954595890686E-2</v>
      </c>
      <c r="AJ27">
        <v>6.5613104227261257E-2</v>
      </c>
      <c r="AK27">
        <v>0.30851992130844569</v>
      </c>
      <c r="AL27">
        <v>0.2429068170811845</v>
      </c>
      <c r="AM27">
        <v>0.15335790089227719</v>
      </c>
      <c r="AN27">
        <v>0.24476451174195241</v>
      </c>
    </row>
    <row r="28" spans="1:47" x14ac:dyDescent="0.25">
      <c r="A28" t="s">
        <v>561</v>
      </c>
      <c r="B28" t="s">
        <v>28</v>
      </c>
      <c r="C28" t="s">
        <v>760</v>
      </c>
      <c r="D28">
        <v>140336510</v>
      </c>
      <c r="E28">
        <v>87133</v>
      </c>
      <c r="F28">
        <v>4195851</v>
      </c>
      <c r="G28">
        <v>2.0799999999999999E-2</v>
      </c>
      <c r="H28">
        <v>1611</v>
      </c>
      <c r="I28">
        <v>138337109</v>
      </c>
      <c r="J28">
        <v>90157</v>
      </c>
      <c r="K28">
        <v>4122549</v>
      </c>
      <c r="L28">
        <v>2.1899999999999999E-2</v>
      </c>
      <c r="M28">
        <v>1534</v>
      </c>
      <c r="N28">
        <v>1.4500000000000001E-2</v>
      </c>
      <c r="O28">
        <v>-3.3500000000000002E-2</v>
      </c>
      <c r="P28">
        <v>1.78E-2</v>
      </c>
      <c r="Q28">
        <v>-1.1000000000000001E-3</v>
      </c>
      <c r="R28">
        <v>4.9700000000000001E-2</v>
      </c>
      <c r="S28">
        <v>32972765</v>
      </c>
      <c r="T28">
        <v>42692063</v>
      </c>
      <c r="U28">
        <v>52378450</v>
      </c>
      <c r="V28">
        <v>85068928</v>
      </c>
      <c r="W28">
        <v>106974057</v>
      </c>
      <c r="X28">
        <v>9719298</v>
      </c>
      <c r="Y28">
        <v>9686387</v>
      </c>
      <c r="Z28">
        <v>42376865</v>
      </c>
      <c r="AA28">
        <v>32690478</v>
      </c>
      <c r="AB28">
        <v>21905129</v>
      </c>
      <c r="AC28">
        <v>33362453</v>
      </c>
      <c r="AD28">
        <v>0.23495500208748241</v>
      </c>
      <c r="AE28">
        <v>0.30421208992585042</v>
      </c>
      <c r="AF28">
        <v>0.37323466288280932</v>
      </c>
      <c r="AG28">
        <v>0.60617816418549952</v>
      </c>
      <c r="AH28">
        <v>0.76226818666076279</v>
      </c>
      <c r="AI28">
        <v>6.9257087838367939E-2</v>
      </c>
      <c r="AJ28">
        <v>6.9022572956958961E-2</v>
      </c>
      <c r="AK28">
        <v>0.30196607425964922</v>
      </c>
      <c r="AL28">
        <v>0.2329435013026902</v>
      </c>
      <c r="AM28">
        <v>0.15609002247526321</v>
      </c>
      <c r="AN28">
        <v>0.23773181333923721</v>
      </c>
    </row>
    <row r="29" spans="1:47" x14ac:dyDescent="0.25">
      <c r="A29" t="s">
        <v>562</v>
      </c>
      <c r="B29" t="s">
        <v>28</v>
      </c>
      <c r="C29" t="s">
        <v>761</v>
      </c>
      <c r="I29">
        <v>272021792</v>
      </c>
      <c r="J29">
        <v>149920</v>
      </c>
      <c r="K29">
        <v>6272438</v>
      </c>
      <c r="L29">
        <v>2.3900000000000001E-2</v>
      </c>
      <c r="M29">
        <v>1814</v>
      </c>
      <c r="S29">
        <v>74960956</v>
      </c>
      <c r="T29">
        <v>101596191</v>
      </c>
      <c r="U29">
        <v>128141111</v>
      </c>
      <c r="V29">
        <v>201797478</v>
      </c>
      <c r="W29">
        <v>237419060</v>
      </c>
      <c r="X29">
        <v>26635235</v>
      </c>
      <c r="Y29">
        <v>26544920</v>
      </c>
      <c r="Z29">
        <v>100201287</v>
      </c>
      <c r="AA29">
        <v>73656367</v>
      </c>
      <c r="AB29">
        <v>35621582</v>
      </c>
    </row>
    <row r="30" spans="1:47" x14ac:dyDescent="0.25">
      <c r="A30" t="s">
        <v>3202</v>
      </c>
      <c r="B30" t="s">
        <v>3214</v>
      </c>
      <c r="C30" t="s">
        <v>3215</v>
      </c>
      <c r="D30">
        <v>525975190</v>
      </c>
      <c r="E30">
        <v>4920270</v>
      </c>
      <c r="F30">
        <v>22094356</v>
      </c>
      <c r="G30">
        <v>0.22270000000000001</v>
      </c>
      <c r="H30">
        <v>107</v>
      </c>
      <c r="AO30">
        <v>270503945</v>
      </c>
      <c r="AP30">
        <v>62393747</v>
      </c>
      <c r="AQ30">
        <v>26481228</v>
      </c>
      <c r="AR30">
        <v>29801166</v>
      </c>
      <c r="AS30">
        <v>24483187</v>
      </c>
      <c r="AT30">
        <v>28510123</v>
      </c>
      <c r="AU30">
        <v>83801794</v>
      </c>
    </row>
    <row r="31" spans="1:47" x14ac:dyDescent="0.25">
      <c r="A31" t="s">
        <v>3204</v>
      </c>
      <c r="B31" t="s">
        <v>3214</v>
      </c>
      <c r="C31" t="s">
        <v>3216</v>
      </c>
      <c r="D31">
        <v>619263389</v>
      </c>
      <c r="E31">
        <v>5605189</v>
      </c>
      <c r="F31">
        <v>25989581</v>
      </c>
      <c r="G31">
        <v>0.2157</v>
      </c>
      <c r="H31">
        <v>110</v>
      </c>
      <c r="AO31">
        <v>301215204</v>
      </c>
      <c r="AP31">
        <v>73960568</v>
      </c>
      <c r="AQ31">
        <v>32660065</v>
      </c>
      <c r="AR31">
        <v>50677022</v>
      </c>
      <c r="AS31">
        <v>33753336</v>
      </c>
      <c r="AT31">
        <v>37993541</v>
      </c>
      <c r="AU31">
        <v>89003653</v>
      </c>
    </row>
    <row r="32" spans="1:47" x14ac:dyDescent="0.25">
      <c r="A32" t="s">
        <v>3206</v>
      </c>
      <c r="B32" t="s">
        <v>3214</v>
      </c>
      <c r="C32" t="s">
        <v>3217</v>
      </c>
      <c r="D32">
        <v>624714698</v>
      </c>
      <c r="E32">
        <v>5761363</v>
      </c>
      <c r="F32">
        <v>23444092</v>
      </c>
      <c r="G32">
        <v>0.2457</v>
      </c>
      <c r="H32">
        <v>108</v>
      </c>
      <c r="AO32">
        <v>316411741</v>
      </c>
      <c r="AP32">
        <v>75955945</v>
      </c>
      <c r="AQ32">
        <v>33573391</v>
      </c>
      <c r="AR32">
        <v>49953835</v>
      </c>
      <c r="AS32">
        <v>32911748</v>
      </c>
      <c r="AT32">
        <v>34423509</v>
      </c>
      <c r="AU32">
        <v>81484529</v>
      </c>
    </row>
    <row r="33" spans="1:65" x14ac:dyDescent="0.25">
      <c r="A33" t="s">
        <v>3208</v>
      </c>
      <c r="B33" t="s">
        <v>3214</v>
      </c>
      <c r="C33" t="s">
        <v>3218</v>
      </c>
      <c r="D33">
        <v>522782648</v>
      </c>
      <c r="E33">
        <v>5420375</v>
      </c>
      <c r="F33">
        <v>27868933</v>
      </c>
      <c r="G33">
        <v>0.19450000000000001</v>
      </c>
      <c r="H33">
        <v>96</v>
      </c>
      <c r="AO33">
        <v>284917482</v>
      </c>
      <c r="AP33">
        <v>67986872</v>
      </c>
      <c r="AQ33">
        <v>24593000</v>
      </c>
      <c r="AR33">
        <v>22484524</v>
      </c>
      <c r="AS33">
        <v>25520543</v>
      </c>
      <c r="AT33">
        <v>29610532</v>
      </c>
      <c r="AU33">
        <v>67669695</v>
      </c>
    </row>
    <row r="34" spans="1:65" x14ac:dyDescent="0.25">
      <c r="A34" t="s">
        <v>3210</v>
      </c>
      <c r="B34" t="s">
        <v>3214</v>
      </c>
      <c r="C34" t="s">
        <v>3219</v>
      </c>
      <c r="D34">
        <v>1163813557</v>
      </c>
      <c r="E34">
        <v>8494401</v>
      </c>
      <c r="F34">
        <v>33842596</v>
      </c>
      <c r="G34">
        <v>0.251</v>
      </c>
      <c r="H34">
        <v>137</v>
      </c>
      <c r="AO34">
        <v>603506507</v>
      </c>
      <c r="AP34">
        <v>132160194</v>
      </c>
      <c r="AQ34">
        <v>71639582</v>
      </c>
      <c r="AR34">
        <v>100552103</v>
      </c>
      <c r="AS34">
        <v>110335545</v>
      </c>
      <c r="AT34">
        <v>52051768</v>
      </c>
      <c r="AU34">
        <v>93567858</v>
      </c>
    </row>
    <row r="35" spans="1:65" x14ac:dyDescent="0.25">
      <c r="A35" t="s">
        <v>3212</v>
      </c>
      <c r="B35" t="s">
        <v>3214</v>
      </c>
      <c r="C35" t="s">
        <v>3220</v>
      </c>
      <c r="D35">
        <v>665497177</v>
      </c>
      <c r="E35">
        <v>5826826</v>
      </c>
      <c r="F35">
        <v>23801845</v>
      </c>
      <c r="G35">
        <v>0.24479999999999999</v>
      </c>
      <c r="H35">
        <v>114</v>
      </c>
      <c r="AO35">
        <v>342509949</v>
      </c>
      <c r="AP35">
        <v>92311984</v>
      </c>
      <c r="AQ35">
        <v>40426985</v>
      </c>
      <c r="AR35">
        <v>39205432</v>
      </c>
      <c r="AS35">
        <v>39285453</v>
      </c>
      <c r="AT35">
        <v>34576365</v>
      </c>
      <c r="AU35">
        <v>77181009</v>
      </c>
    </row>
    <row r="36" spans="1:65" x14ac:dyDescent="0.25">
      <c r="A36" t="s">
        <v>541</v>
      </c>
      <c r="B36" t="s">
        <v>3214</v>
      </c>
      <c r="C36" t="s">
        <v>3221</v>
      </c>
      <c r="D36">
        <v>579916926</v>
      </c>
      <c r="E36">
        <v>4807321</v>
      </c>
      <c r="F36">
        <v>22570444</v>
      </c>
      <c r="G36">
        <v>0.21299999999999999</v>
      </c>
      <c r="H36">
        <v>121</v>
      </c>
      <c r="AO36">
        <v>291574815</v>
      </c>
      <c r="AP36">
        <v>88567374</v>
      </c>
      <c r="AQ36">
        <v>33982735</v>
      </c>
      <c r="AR36">
        <v>28588707</v>
      </c>
      <c r="AS36">
        <v>33178433</v>
      </c>
      <c r="AT36">
        <v>30250739</v>
      </c>
      <c r="AU36">
        <v>73774123</v>
      </c>
    </row>
    <row r="37" spans="1:65" x14ac:dyDescent="0.25">
      <c r="A37" t="s">
        <v>542</v>
      </c>
      <c r="B37" t="s">
        <v>3214</v>
      </c>
      <c r="C37" t="s">
        <v>3222</v>
      </c>
      <c r="D37">
        <v>462852763</v>
      </c>
      <c r="E37">
        <v>4623164</v>
      </c>
      <c r="F37">
        <v>19993633</v>
      </c>
      <c r="G37">
        <v>0.23119999999999999</v>
      </c>
      <c r="H37">
        <v>100</v>
      </c>
      <c r="AO37">
        <v>246835407</v>
      </c>
      <c r="AP37">
        <v>67629057</v>
      </c>
      <c r="AQ37">
        <v>28010894</v>
      </c>
      <c r="AR37">
        <v>24314396</v>
      </c>
      <c r="AS37">
        <v>25890723</v>
      </c>
      <c r="AT37">
        <v>26185020</v>
      </c>
      <c r="AU37">
        <v>43987266</v>
      </c>
    </row>
    <row r="38" spans="1:65" x14ac:dyDescent="0.25">
      <c r="A38" t="s">
        <v>543</v>
      </c>
      <c r="B38" t="s">
        <v>3214</v>
      </c>
      <c r="C38" t="s">
        <v>3223</v>
      </c>
      <c r="D38">
        <v>714908284</v>
      </c>
      <c r="E38">
        <v>6629950</v>
      </c>
      <c r="F38">
        <v>26463514</v>
      </c>
      <c r="G38">
        <v>0.2505</v>
      </c>
      <c r="H38">
        <v>108</v>
      </c>
      <c r="AO38">
        <v>366215914</v>
      </c>
      <c r="AP38">
        <v>103388171</v>
      </c>
      <c r="AQ38">
        <v>48334461</v>
      </c>
      <c r="AR38">
        <v>52906949</v>
      </c>
      <c r="AS38">
        <v>50211195</v>
      </c>
      <c r="AT38">
        <v>35103148</v>
      </c>
      <c r="AU38">
        <v>58748446</v>
      </c>
    </row>
    <row r="39" spans="1:65" x14ac:dyDescent="0.25">
      <c r="A39" t="s">
        <v>544</v>
      </c>
      <c r="B39" t="s">
        <v>3214</v>
      </c>
      <c r="C39" t="s">
        <v>3224</v>
      </c>
      <c r="D39">
        <v>727213307</v>
      </c>
      <c r="E39">
        <v>6252246</v>
      </c>
      <c r="F39">
        <v>26208784</v>
      </c>
      <c r="G39">
        <v>0.23860000000000001</v>
      </c>
      <c r="H39">
        <v>116</v>
      </c>
      <c r="AO39">
        <v>387660161</v>
      </c>
      <c r="AP39">
        <v>109017151</v>
      </c>
      <c r="AQ39">
        <v>46070671</v>
      </c>
      <c r="AR39">
        <v>50645760</v>
      </c>
      <c r="AS39">
        <v>38386466</v>
      </c>
      <c r="AT39">
        <v>33316192</v>
      </c>
      <c r="AU39">
        <v>62116906</v>
      </c>
    </row>
    <row r="40" spans="1:65" x14ac:dyDescent="0.25">
      <c r="A40" t="s">
        <v>545</v>
      </c>
      <c r="B40" t="s">
        <v>3214</v>
      </c>
      <c r="C40" t="s">
        <v>3225</v>
      </c>
      <c r="D40">
        <v>876471356</v>
      </c>
      <c r="E40">
        <v>7066374</v>
      </c>
      <c r="F40">
        <v>28102404</v>
      </c>
      <c r="G40">
        <v>0.2515</v>
      </c>
      <c r="H40">
        <v>124</v>
      </c>
      <c r="AO40">
        <v>460262843</v>
      </c>
      <c r="AP40">
        <v>120403945</v>
      </c>
      <c r="AQ40">
        <v>56532438</v>
      </c>
      <c r="AR40">
        <v>66505249</v>
      </c>
      <c r="AS40">
        <v>65683632</v>
      </c>
      <c r="AT40">
        <v>38059800</v>
      </c>
      <c r="AU40">
        <v>69023449</v>
      </c>
    </row>
    <row r="41" spans="1:65" x14ac:dyDescent="0.25">
      <c r="A41" t="s">
        <v>546</v>
      </c>
      <c r="B41" t="s">
        <v>3214</v>
      </c>
      <c r="C41" t="s">
        <v>3226</v>
      </c>
      <c r="D41">
        <v>883793459</v>
      </c>
      <c r="E41">
        <v>6978153</v>
      </c>
      <c r="F41">
        <v>27134404</v>
      </c>
      <c r="G41">
        <v>0.25719999999999998</v>
      </c>
      <c r="H41">
        <v>127</v>
      </c>
      <c r="AO41">
        <v>439455332</v>
      </c>
      <c r="AP41">
        <v>128114999</v>
      </c>
      <c r="AQ41">
        <v>54605147</v>
      </c>
      <c r="AR41">
        <v>76094104</v>
      </c>
      <c r="AS41">
        <v>68961447</v>
      </c>
      <c r="AT41">
        <v>38731902</v>
      </c>
      <c r="AU41">
        <v>77830528</v>
      </c>
    </row>
    <row r="42" spans="1:65" x14ac:dyDescent="0.25">
      <c r="A42" t="s">
        <v>547</v>
      </c>
      <c r="B42" t="s">
        <v>3214</v>
      </c>
      <c r="C42" t="s">
        <v>3227</v>
      </c>
      <c r="D42">
        <v>586649798</v>
      </c>
      <c r="E42">
        <v>5708436</v>
      </c>
      <c r="F42">
        <v>23539852</v>
      </c>
      <c r="G42">
        <v>0.24249999999999999</v>
      </c>
      <c r="H42">
        <v>103</v>
      </c>
      <c r="I42">
        <v>525975190</v>
      </c>
      <c r="J42">
        <v>4920270</v>
      </c>
      <c r="K42">
        <v>22094356</v>
      </c>
      <c r="L42">
        <v>0.22270000000000001</v>
      </c>
      <c r="M42">
        <v>107</v>
      </c>
      <c r="N42">
        <v>0.1154</v>
      </c>
      <c r="O42">
        <v>0.16020000000000001</v>
      </c>
      <c r="P42">
        <v>6.54E-2</v>
      </c>
      <c r="Q42">
        <v>1.9800000000000002E-2</v>
      </c>
      <c r="R42">
        <v>-3.8600000000000002E-2</v>
      </c>
      <c r="AO42">
        <v>291015970</v>
      </c>
      <c r="AP42">
        <v>89222345</v>
      </c>
      <c r="AQ42">
        <v>30817361</v>
      </c>
      <c r="AR42">
        <v>42512183</v>
      </c>
      <c r="AS42">
        <v>26932215</v>
      </c>
      <c r="AT42">
        <v>29837498</v>
      </c>
      <c r="AU42">
        <v>76312226</v>
      </c>
      <c r="AV42">
        <v>270503945</v>
      </c>
      <c r="AW42">
        <v>62393747</v>
      </c>
      <c r="AX42">
        <v>26481228</v>
      </c>
      <c r="AY42">
        <v>29801166</v>
      </c>
      <c r="AZ42">
        <v>24483187</v>
      </c>
      <c r="BA42">
        <v>28510123</v>
      </c>
      <c r="BB42">
        <v>7.5828931071596758E-2</v>
      </c>
      <c r="BC42">
        <v>0.42998856920710338</v>
      </c>
      <c r="BD42">
        <v>0.1637436526735089</v>
      </c>
      <c r="BE42">
        <v>0.42652750566873793</v>
      </c>
      <c r="BF42">
        <v>0.1000289709015415</v>
      </c>
      <c r="BG42">
        <v>4.6558024319993299E-2</v>
      </c>
      <c r="BH42">
        <v>-1.8226100417876329E-2</v>
      </c>
      <c r="BI42">
        <v>3.3463029569533613E-2</v>
      </c>
      <c r="BJ42">
        <v>2.1841884099317189E-3</v>
      </c>
      <c r="BK42">
        <v>1.580715036895454E-2</v>
      </c>
      <c r="BL42">
        <v>-6.3967375654167815E-4</v>
      </c>
      <c r="BM42">
        <v>-3.3434774106143659E-3</v>
      </c>
    </row>
    <row r="43" spans="1:65" x14ac:dyDescent="0.25">
      <c r="A43" t="s">
        <v>548</v>
      </c>
      <c r="B43" t="s">
        <v>3214</v>
      </c>
      <c r="C43" t="s">
        <v>3228</v>
      </c>
      <c r="D43">
        <v>677766098</v>
      </c>
      <c r="E43">
        <v>6294230</v>
      </c>
      <c r="F43">
        <v>26200554</v>
      </c>
      <c r="G43">
        <v>0.2402</v>
      </c>
      <c r="H43">
        <v>108</v>
      </c>
      <c r="I43">
        <v>619263389</v>
      </c>
      <c r="J43">
        <v>5605189</v>
      </c>
      <c r="K43">
        <v>25989581</v>
      </c>
      <c r="L43">
        <v>0.2157</v>
      </c>
      <c r="M43">
        <v>110</v>
      </c>
      <c r="N43">
        <v>9.4500000000000001E-2</v>
      </c>
      <c r="O43">
        <v>0.1229</v>
      </c>
      <c r="P43">
        <v>8.0999999999999996E-3</v>
      </c>
      <c r="Q43">
        <v>2.46E-2</v>
      </c>
      <c r="R43">
        <v>-2.53E-2</v>
      </c>
      <c r="AO43">
        <v>351070652</v>
      </c>
      <c r="AP43">
        <v>100816932</v>
      </c>
      <c r="AQ43">
        <v>35959142</v>
      </c>
      <c r="AR43">
        <v>48754915</v>
      </c>
      <c r="AS43">
        <v>31213408</v>
      </c>
      <c r="AT43">
        <v>28503195</v>
      </c>
      <c r="AU43">
        <v>81447854</v>
      </c>
      <c r="AV43">
        <v>301215204</v>
      </c>
      <c r="AW43">
        <v>73960568</v>
      </c>
      <c r="AX43">
        <v>32660065</v>
      </c>
      <c r="AY43">
        <v>50677022</v>
      </c>
      <c r="AZ43">
        <v>33753336</v>
      </c>
      <c r="BA43">
        <v>37993541</v>
      </c>
      <c r="BB43">
        <v>0.16551438087434661</v>
      </c>
      <c r="BC43">
        <v>0.36311733030498089</v>
      </c>
      <c r="BD43">
        <v>0.1010125668763978</v>
      </c>
      <c r="BE43">
        <v>-3.7928570467301727E-2</v>
      </c>
      <c r="BF43">
        <v>-7.524968791232961E-2</v>
      </c>
      <c r="BG43">
        <v>-0.249788404823862</v>
      </c>
      <c r="BH43">
        <v>3.1573151278958697E-2</v>
      </c>
      <c r="BI43">
        <v>2.9315721324813158E-2</v>
      </c>
      <c r="BJ43">
        <v>3.152022077531363E-4</v>
      </c>
      <c r="BK43">
        <v>-9.8996374474821982E-3</v>
      </c>
      <c r="BL43">
        <v>-8.4522588851949233E-3</v>
      </c>
      <c r="BM43">
        <v>-1.9298178041525019E-2</v>
      </c>
    </row>
    <row r="44" spans="1:65" x14ac:dyDescent="0.25">
      <c r="A44" t="s">
        <v>549</v>
      </c>
      <c r="B44" t="s">
        <v>3214</v>
      </c>
      <c r="C44" t="s">
        <v>3229</v>
      </c>
      <c r="D44">
        <v>734482415</v>
      </c>
      <c r="E44">
        <v>6541709</v>
      </c>
      <c r="F44">
        <v>27378055</v>
      </c>
      <c r="G44">
        <v>0.2389</v>
      </c>
      <c r="H44">
        <v>112</v>
      </c>
      <c r="I44">
        <v>624714698</v>
      </c>
      <c r="J44">
        <v>5761363</v>
      </c>
      <c r="K44">
        <v>23444092</v>
      </c>
      <c r="L44">
        <v>0.2457</v>
      </c>
      <c r="M44">
        <v>108</v>
      </c>
      <c r="N44">
        <v>0.1757</v>
      </c>
      <c r="O44">
        <v>0.13539999999999999</v>
      </c>
      <c r="P44">
        <v>0.1678</v>
      </c>
      <c r="Q44">
        <v>-6.7999999999999996E-3</v>
      </c>
      <c r="R44">
        <v>3.5499999999999997E-2</v>
      </c>
      <c r="AO44">
        <v>399621466</v>
      </c>
      <c r="AP44">
        <v>105214106</v>
      </c>
      <c r="AQ44">
        <v>40657696</v>
      </c>
      <c r="AR44">
        <v>54621165</v>
      </c>
      <c r="AS44">
        <v>37863326</v>
      </c>
      <c r="AT44">
        <v>27593379</v>
      </c>
      <c r="AU44">
        <v>68911277</v>
      </c>
      <c r="AV44">
        <v>316411741</v>
      </c>
      <c r="AW44">
        <v>75955945</v>
      </c>
      <c r="AX44">
        <v>33573391</v>
      </c>
      <c r="AY44">
        <v>49953835</v>
      </c>
      <c r="AZ44">
        <v>32911748</v>
      </c>
      <c r="BA44">
        <v>34423509</v>
      </c>
      <c r="BB44">
        <v>0.26297925840874531</v>
      </c>
      <c r="BC44">
        <v>0.3851990913943602</v>
      </c>
      <c r="BD44">
        <v>0.2110095164352031</v>
      </c>
      <c r="BE44">
        <v>9.3432866565700101E-2</v>
      </c>
      <c r="BF44">
        <v>0.15045016752072851</v>
      </c>
      <c r="BG44">
        <v>-0.19841469386517219</v>
      </c>
      <c r="BH44">
        <v>3.7595828811573632E-2</v>
      </c>
      <c r="BI44">
        <v>2.1664305802242989E-2</v>
      </c>
      <c r="BJ44">
        <v>1.6136165412568011E-3</v>
      </c>
      <c r="BK44">
        <v>-5.5957584426665451E-3</v>
      </c>
      <c r="BL44">
        <v>-1.13181428625928E-3</v>
      </c>
      <c r="BM44">
        <v>-1.753430003007803E-2</v>
      </c>
    </row>
    <row r="45" spans="1:65" x14ac:dyDescent="0.25">
      <c r="A45" t="s">
        <v>550</v>
      </c>
      <c r="B45" t="s">
        <v>3214</v>
      </c>
      <c r="C45" t="s">
        <v>3230</v>
      </c>
      <c r="D45">
        <v>988819104</v>
      </c>
      <c r="E45">
        <v>7386892</v>
      </c>
      <c r="F45">
        <v>31390286</v>
      </c>
      <c r="G45">
        <v>0.23530000000000001</v>
      </c>
      <c r="H45">
        <v>134</v>
      </c>
      <c r="I45">
        <v>522782648</v>
      </c>
      <c r="J45">
        <v>5420375</v>
      </c>
      <c r="K45">
        <v>27868933</v>
      </c>
      <c r="L45">
        <v>0.19450000000000001</v>
      </c>
      <c r="M45">
        <v>96</v>
      </c>
      <c r="N45">
        <v>0.89149999999999996</v>
      </c>
      <c r="O45">
        <v>0.36280000000000001</v>
      </c>
      <c r="P45">
        <v>0.12640000000000001</v>
      </c>
      <c r="Q45">
        <v>4.0800000000000003E-2</v>
      </c>
      <c r="R45">
        <v>0.38790000000000002</v>
      </c>
      <c r="AO45">
        <v>545461667</v>
      </c>
      <c r="AP45">
        <v>136280740</v>
      </c>
      <c r="AQ45">
        <v>53551190</v>
      </c>
      <c r="AR45">
        <v>78342832</v>
      </c>
      <c r="AS45">
        <v>76580369</v>
      </c>
      <c r="AT45">
        <v>33981913</v>
      </c>
      <c r="AU45">
        <v>64620393</v>
      </c>
      <c r="AV45">
        <v>284917482</v>
      </c>
      <c r="AW45">
        <v>67986872</v>
      </c>
      <c r="AX45">
        <v>24593000</v>
      </c>
      <c r="AY45">
        <v>22484524</v>
      </c>
      <c r="AZ45">
        <v>25520543</v>
      </c>
      <c r="BA45">
        <v>29610532</v>
      </c>
      <c r="BB45">
        <v>0.91445489118846002</v>
      </c>
      <c r="BC45">
        <v>1.004515518819574</v>
      </c>
      <c r="BD45">
        <v>1.177497255316553</v>
      </c>
      <c r="BE45">
        <v>2.4843002235671081</v>
      </c>
      <c r="BF45">
        <v>2.0007343103945709</v>
      </c>
      <c r="BG45">
        <v>0.1476292624529677</v>
      </c>
      <c r="BH45">
        <v>6.627581851142858E-3</v>
      </c>
      <c r="BI45">
        <v>7.7736448028141213E-3</v>
      </c>
      <c r="BJ45">
        <v>7.1142157484774668E-3</v>
      </c>
      <c r="BK45">
        <v>3.6219363832086779E-2</v>
      </c>
      <c r="BL45">
        <v>2.8629550958547689E-2</v>
      </c>
      <c r="BM45">
        <v>-2.2274077497740449E-2</v>
      </c>
    </row>
    <row r="46" spans="1:65" x14ac:dyDescent="0.25">
      <c r="A46" t="s">
        <v>551</v>
      </c>
      <c r="B46" t="s">
        <v>3214</v>
      </c>
      <c r="C46" t="s">
        <v>3231</v>
      </c>
      <c r="D46">
        <v>1021086294</v>
      </c>
      <c r="E46">
        <v>7811528</v>
      </c>
      <c r="F46">
        <v>31498264</v>
      </c>
      <c r="G46">
        <v>0.248</v>
      </c>
      <c r="H46">
        <v>131</v>
      </c>
      <c r="I46">
        <v>1163813557</v>
      </c>
      <c r="J46">
        <v>8494401</v>
      </c>
      <c r="K46">
        <v>33842596</v>
      </c>
      <c r="L46">
        <v>0.251</v>
      </c>
      <c r="M46">
        <v>137</v>
      </c>
      <c r="N46">
        <v>-0.1226</v>
      </c>
      <c r="O46">
        <v>-8.0399999999999999E-2</v>
      </c>
      <c r="P46">
        <v>-6.93E-2</v>
      </c>
      <c r="Q46">
        <v>-3.0000000000000001E-3</v>
      </c>
      <c r="R46">
        <v>-4.5900000000000003E-2</v>
      </c>
    </row>
    <row r="47" spans="1:65" x14ac:dyDescent="0.25">
      <c r="A47" t="s">
        <v>552</v>
      </c>
      <c r="B47" t="s">
        <v>3214</v>
      </c>
      <c r="C47" t="s">
        <v>3232</v>
      </c>
      <c r="D47">
        <v>661560978</v>
      </c>
      <c r="E47">
        <v>5289324</v>
      </c>
      <c r="F47">
        <v>23113008</v>
      </c>
      <c r="G47">
        <v>0.2288</v>
      </c>
      <c r="H47">
        <v>125</v>
      </c>
      <c r="I47">
        <v>665497177</v>
      </c>
      <c r="J47">
        <v>5826826</v>
      </c>
      <c r="K47">
        <v>23801845</v>
      </c>
      <c r="L47">
        <v>0.24479999999999999</v>
      </c>
      <c r="M47">
        <v>114</v>
      </c>
      <c r="N47">
        <v>-5.8999999999999999E-3</v>
      </c>
      <c r="O47">
        <v>-9.2200000000000004E-2</v>
      </c>
      <c r="P47">
        <v>-2.8899999999999999E-2</v>
      </c>
      <c r="Q47">
        <v>-1.6E-2</v>
      </c>
      <c r="R47">
        <v>9.5100000000000004E-2</v>
      </c>
      <c r="AO47">
        <v>342859802</v>
      </c>
      <c r="AP47">
        <v>112971242</v>
      </c>
      <c r="AQ47">
        <v>37243705</v>
      </c>
      <c r="AR47">
        <v>39543431</v>
      </c>
      <c r="AS47">
        <v>38390805</v>
      </c>
      <c r="AT47">
        <v>24255827</v>
      </c>
      <c r="AU47">
        <v>66296166</v>
      </c>
      <c r="AV47">
        <v>342509949</v>
      </c>
      <c r="AW47">
        <v>92311984</v>
      </c>
      <c r="AX47">
        <v>40426985</v>
      </c>
      <c r="AY47">
        <v>39205432</v>
      </c>
      <c r="AZ47">
        <v>39285453</v>
      </c>
      <c r="BA47">
        <v>34576365</v>
      </c>
      <c r="BB47">
        <v>1.0214389422013551E-3</v>
      </c>
      <c r="BC47">
        <v>0.22379822320794229</v>
      </c>
      <c r="BD47">
        <v>-7.8741464395625849E-2</v>
      </c>
      <c r="BE47">
        <v>8.6212288133950005E-3</v>
      </c>
      <c r="BF47">
        <v>-2.2773009643035049E-2</v>
      </c>
      <c r="BG47">
        <v>-0.29848533817826128</v>
      </c>
      <c r="BH47">
        <v>3.5910337011382369E-3</v>
      </c>
      <c r="BI47">
        <v>3.2053361697033482E-2</v>
      </c>
      <c r="BJ47">
        <v>-4.4503343632859771E-3</v>
      </c>
      <c r="BK47">
        <v>8.6142680282638782E-4</v>
      </c>
      <c r="BL47">
        <v>-1.001097957292996E-3</v>
      </c>
      <c r="BM47">
        <v>-1.5291152896748031E-2</v>
      </c>
    </row>
    <row r="48" spans="1:65" x14ac:dyDescent="0.25">
      <c r="A48" t="s">
        <v>553</v>
      </c>
      <c r="B48" t="s">
        <v>3214</v>
      </c>
      <c r="C48" t="s">
        <v>3233</v>
      </c>
      <c r="D48">
        <v>382707237</v>
      </c>
      <c r="E48">
        <v>3154027</v>
      </c>
      <c r="F48">
        <v>16791578</v>
      </c>
      <c r="G48">
        <v>0.18779999999999999</v>
      </c>
      <c r="H48">
        <v>121</v>
      </c>
      <c r="I48">
        <v>579916926</v>
      </c>
      <c r="J48">
        <v>4807321</v>
      </c>
      <c r="K48">
        <v>22570444</v>
      </c>
      <c r="L48">
        <v>0.21299999999999999</v>
      </c>
      <c r="M48">
        <v>121</v>
      </c>
      <c r="N48">
        <v>-0.34010000000000001</v>
      </c>
      <c r="O48">
        <v>-0.34389999999999998</v>
      </c>
      <c r="P48">
        <v>-0.25600000000000001</v>
      </c>
      <c r="Q48">
        <v>-2.52E-2</v>
      </c>
      <c r="R48">
        <v>5.8999999999999999E-3</v>
      </c>
      <c r="AO48">
        <v>194982252</v>
      </c>
      <c r="AP48">
        <v>71593278</v>
      </c>
      <c r="AQ48">
        <v>21395062</v>
      </c>
      <c r="AR48">
        <v>16219978</v>
      </c>
      <c r="AS48">
        <v>19524123</v>
      </c>
      <c r="AT48">
        <v>14039817</v>
      </c>
      <c r="AU48">
        <v>44952727</v>
      </c>
      <c r="AV48">
        <v>291574815</v>
      </c>
      <c r="AW48">
        <v>88567374</v>
      </c>
      <c r="AX48">
        <v>33982735</v>
      </c>
      <c r="AY48">
        <v>28588707</v>
      </c>
      <c r="AZ48">
        <v>33178433</v>
      </c>
      <c r="BA48">
        <v>30250739</v>
      </c>
      <c r="BB48">
        <v>-0.33127882804281289</v>
      </c>
      <c r="BC48">
        <v>-0.19165179267932231</v>
      </c>
      <c r="BD48">
        <v>-0.37041377040429502</v>
      </c>
      <c r="BE48">
        <v>-0.43264387577934182</v>
      </c>
      <c r="BF48">
        <v>-0.41154173857457338</v>
      </c>
      <c r="BG48">
        <v>-0.53588515639237777</v>
      </c>
      <c r="BH48">
        <v>6.6942734887038956E-3</v>
      </c>
      <c r="BI48">
        <v>3.4346370685174238E-2</v>
      </c>
      <c r="BJ48">
        <v>-2.694801886341323E-3</v>
      </c>
      <c r="BK48">
        <v>-6.9157264048315507E-3</v>
      </c>
      <c r="BL48">
        <v>-6.1965707642624521E-3</v>
      </c>
      <c r="BM48">
        <v>-1.547839019722197E-2</v>
      </c>
    </row>
    <row r="49" spans="1:65" x14ac:dyDescent="0.25">
      <c r="A49" t="s">
        <v>554</v>
      </c>
      <c r="B49" t="s">
        <v>3214</v>
      </c>
      <c r="C49" t="s">
        <v>3234</v>
      </c>
      <c r="D49">
        <v>622886976</v>
      </c>
      <c r="E49">
        <v>6001494</v>
      </c>
      <c r="F49">
        <v>25226247</v>
      </c>
      <c r="G49">
        <v>0.2379</v>
      </c>
      <c r="H49">
        <v>104</v>
      </c>
      <c r="I49">
        <v>462852763</v>
      </c>
      <c r="J49">
        <v>4623164</v>
      </c>
      <c r="K49">
        <v>19993633</v>
      </c>
      <c r="L49">
        <v>0.23119999999999999</v>
      </c>
      <c r="M49">
        <v>100</v>
      </c>
      <c r="N49">
        <v>0.3458</v>
      </c>
      <c r="O49">
        <v>0.29809999999999998</v>
      </c>
      <c r="P49">
        <v>0.26169999999999999</v>
      </c>
      <c r="Q49">
        <v>6.7000000000000002E-3</v>
      </c>
      <c r="R49">
        <v>3.6700000000000003E-2</v>
      </c>
      <c r="AO49">
        <v>358591567</v>
      </c>
      <c r="AP49">
        <v>96267503</v>
      </c>
      <c r="AQ49">
        <v>32496195</v>
      </c>
      <c r="AR49">
        <v>28403435</v>
      </c>
      <c r="AS49">
        <v>29879343</v>
      </c>
      <c r="AT49">
        <v>24260027</v>
      </c>
      <c r="AU49">
        <v>52988906</v>
      </c>
      <c r="AV49">
        <v>246835407</v>
      </c>
      <c r="AW49">
        <v>67629057</v>
      </c>
      <c r="AX49">
        <v>28010894</v>
      </c>
      <c r="AY49">
        <v>24314396</v>
      </c>
      <c r="AZ49">
        <v>25890723</v>
      </c>
      <c r="BA49">
        <v>26185020</v>
      </c>
      <c r="BB49">
        <v>0.4527557912305506</v>
      </c>
      <c r="BC49">
        <v>0.42346363043329138</v>
      </c>
      <c r="BD49">
        <v>0.16012702057992151</v>
      </c>
      <c r="BE49">
        <v>0.16817357914216749</v>
      </c>
      <c r="BF49">
        <v>0.15405595278277859</v>
      </c>
      <c r="BG49">
        <v>-7.3515047916709625E-2</v>
      </c>
      <c r="BH49">
        <v>4.2401412131282241E-2</v>
      </c>
      <c r="BI49">
        <v>8.4369723091123963E-3</v>
      </c>
      <c r="BJ49">
        <v>-8.3476449163095729E-3</v>
      </c>
      <c r="BK49">
        <v>-6.9319384722794329E-3</v>
      </c>
      <c r="BL49">
        <v>-7.9681518786733664E-3</v>
      </c>
      <c r="BM49">
        <v>-1.7625390261376189E-2</v>
      </c>
    </row>
    <row r="50" spans="1:65" x14ac:dyDescent="0.25">
      <c r="A50" t="s">
        <v>555</v>
      </c>
      <c r="B50" t="s">
        <v>3214</v>
      </c>
      <c r="C50" t="s">
        <v>3235</v>
      </c>
      <c r="D50">
        <v>802701637</v>
      </c>
      <c r="E50">
        <v>7391142</v>
      </c>
      <c r="F50">
        <v>29272276</v>
      </c>
      <c r="G50">
        <v>0.2525</v>
      </c>
      <c r="H50">
        <v>109</v>
      </c>
      <c r="I50">
        <v>714908284</v>
      </c>
      <c r="J50">
        <v>6629950</v>
      </c>
      <c r="K50">
        <v>26463514</v>
      </c>
      <c r="L50">
        <v>0.2505</v>
      </c>
      <c r="M50">
        <v>108</v>
      </c>
      <c r="N50">
        <v>0.12280000000000001</v>
      </c>
      <c r="O50">
        <v>0.1148</v>
      </c>
      <c r="P50">
        <v>0.1061</v>
      </c>
      <c r="Q50">
        <v>2E-3</v>
      </c>
      <c r="R50">
        <v>7.1999999999999998E-3</v>
      </c>
      <c r="AO50">
        <v>476218670</v>
      </c>
      <c r="AP50">
        <v>120419999</v>
      </c>
      <c r="AQ50">
        <v>37619671</v>
      </c>
      <c r="AR50">
        <v>40780529</v>
      </c>
      <c r="AS50">
        <v>39543689</v>
      </c>
      <c r="AT50">
        <v>24162770</v>
      </c>
      <c r="AU50">
        <v>63956309</v>
      </c>
      <c r="AV50">
        <v>366215914</v>
      </c>
      <c r="AW50">
        <v>103388171</v>
      </c>
      <c r="AX50">
        <v>48334461</v>
      </c>
      <c r="AY50">
        <v>52906949</v>
      </c>
      <c r="AZ50">
        <v>50211195</v>
      </c>
      <c r="BA50">
        <v>35103148</v>
      </c>
      <c r="BB50">
        <v>0.3003767771817803</v>
      </c>
      <c r="BC50">
        <v>0.16473671828472519</v>
      </c>
      <c r="BD50">
        <v>-0.22168013831787639</v>
      </c>
      <c r="BE50">
        <v>-0.22920278392919621</v>
      </c>
      <c r="BF50">
        <v>-0.21245274086784829</v>
      </c>
      <c r="BG50">
        <v>-0.31166372884847821</v>
      </c>
      <c r="BH50">
        <v>8.1014039143666852E-2</v>
      </c>
      <c r="BI50">
        <v>5.400988514370317E-3</v>
      </c>
      <c r="BJ50">
        <v>-2.0742998258228201E-2</v>
      </c>
      <c r="BK50">
        <v>-2.3201132346145341E-2</v>
      </c>
      <c r="BL50">
        <v>-2.0971209829500459E-2</v>
      </c>
      <c r="BM50">
        <v>-1.8999803049735059E-2</v>
      </c>
    </row>
    <row r="51" spans="1:65" x14ac:dyDescent="0.25">
      <c r="A51" t="s">
        <v>556</v>
      </c>
      <c r="B51" t="s">
        <v>3214</v>
      </c>
      <c r="C51" t="s">
        <v>3236</v>
      </c>
      <c r="D51">
        <v>715087771</v>
      </c>
      <c r="E51">
        <v>6737190</v>
      </c>
      <c r="F51">
        <v>25512730</v>
      </c>
      <c r="G51">
        <v>0.2641</v>
      </c>
      <c r="H51">
        <v>106</v>
      </c>
      <c r="I51">
        <v>727213307</v>
      </c>
      <c r="J51">
        <v>6252246</v>
      </c>
      <c r="K51">
        <v>26208784</v>
      </c>
      <c r="L51">
        <v>0.23860000000000001</v>
      </c>
      <c r="M51">
        <v>116</v>
      </c>
      <c r="N51">
        <v>-1.67E-2</v>
      </c>
      <c r="O51">
        <v>7.7600000000000002E-2</v>
      </c>
      <c r="P51">
        <v>-2.6599999999999999E-2</v>
      </c>
      <c r="Q51">
        <v>2.5499999999999998E-2</v>
      </c>
      <c r="R51">
        <v>-8.7499999999999994E-2</v>
      </c>
      <c r="AO51">
        <v>405087855</v>
      </c>
      <c r="AP51">
        <v>117908508</v>
      </c>
      <c r="AQ51">
        <v>34502511</v>
      </c>
      <c r="AR51">
        <v>36293511</v>
      </c>
      <c r="AS51">
        <v>29743139</v>
      </c>
      <c r="AT51">
        <v>22649475</v>
      </c>
      <c r="AU51">
        <v>68902772</v>
      </c>
      <c r="AV51">
        <v>387660161</v>
      </c>
      <c r="AW51">
        <v>109017151</v>
      </c>
      <c r="AX51">
        <v>46070671</v>
      </c>
      <c r="AY51">
        <v>50645760</v>
      </c>
      <c r="AZ51">
        <v>38386466</v>
      </c>
      <c r="BA51">
        <v>33316192</v>
      </c>
      <c r="BB51">
        <v>4.4956112990934903E-2</v>
      </c>
      <c r="BC51">
        <v>8.1559249333162262E-2</v>
      </c>
      <c r="BD51">
        <v>-0.25109597383550147</v>
      </c>
      <c r="BE51">
        <v>-0.28338500597088478</v>
      </c>
      <c r="BF51">
        <v>-0.22516599991257341</v>
      </c>
      <c r="BG51">
        <v>-0.32016615224212902</v>
      </c>
      <c r="BH51">
        <v>3.3410625289744769E-2</v>
      </c>
      <c r="BI51">
        <v>1.4975932479346039E-2</v>
      </c>
      <c r="BJ51">
        <v>-1.510301148084664E-2</v>
      </c>
      <c r="BK51">
        <v>-1.8889685219867319E-2</v>
      </c>
      <c r="BL51">
        <v>-1.119201359129577E-2</v>
      </c>
      <c r="BM51">
        <v>-1.413980783965941E-2</v>
      </c>
    </row>
    <row r="52" spans="1:65" x14ac:dyDescent="0.25">
      <c r="A52" t="s">
        <v>557</v>
      </c>
      <c r="B52" t="s">
        <v>3214</v>
      </c>
      <c r="C52" t="s">
        <v>3237</v>
      </c>
      <c r="D52">
        <v>801474987</v>
      </c>
      <c r="E52">
        <v>6934257</v>
      </c>
      <c r="F52">
        <v>29998675</v>
      </c>
      <c r="G52">
        <v>0.23119999999999999</v>
      </c>
      <c r="H52">
        <v>116</v>
      </c>
      <c r="I52">
        <v>876471356</v>
      </c>
      <c r="J52">
        <v>7066374</v>
      </c>
      <c r="K52">
        <v>28102404</v>
      </c>
      <c r="L52">
        <v>0.2515</v>
      </c>
      <c r="M52">
        <v>124</v>
      </c>
      <c r="N52">
        <v>-8.5599999999999996E-2</v>
      </c>
      <c r="O52">
        <v>-1.8700000000000001E-2</v>
      </c>
      <c r="P52">
        <v>6.7500000000000004E-2</v>
      </c>
      <c r="Q52">
        <v>-2.0299999999999999E-2</v>
      </c>
      <c r="R52">
        <v>-6.8099999999999994E-2</v>
      </c>
      <c r="AO52">
        <v>452982768</v>
      </c>
      <c r="AP52">
        <v>124792767</v>
      </c>
      <c r="AQ52">
        <v>38465427</v>
      </c>
      <c r="AR52">
        <v>49882308</v>
      </c>
      <c r="AS52">
        <v>45111573</v>
      </c>
      <c r="AT52">
        <v>21785922</v>
      </c>
      <c r="AU52">
        <v>68454222</v>
      </c>
      <c r="AV52">
        <v>460262843</v>
      </c>
      <c r="AW52">
        <v>120403945</v>
      </c>
      <c r="AX52">
        <v>56532438</v>
      </c>
      <c r="AY52">
        <v>66505249</v>
      </c>
      <c r="AZ52">
        <v>65683632</v>
      </c>
      <c r="BA52">
        <v>38059800</v>
      </c>
      <c r="BB52">
        <v>-1.5817212079403072E-2</v>
      </c>
      <c r="BC52">
        <v>3.6450815627345097E-2</v>
      </c>
      <c r="BD52">
        <v>-0.31958662387778147</v>
      </c>
      <c r="BE52">
        <v>-0.24994930851247549</v>
      </c>
      <c r="BF52">
        <v>-0.31319916961960942</v>
      </c>
      <c r="BG52">
        <v>-0.42758706036290262</v>
      </c>
      <c r="BH52">
        <v>4.005476399638333E-2</v>
      </c>
      <c r="BI52">
        <v>1.8330374059310001E-2</v>
      </c>
      <c r="BJ52">
        <v>-1.650674365792346E-2</v>
      </c>
      <c r="BK52">
        <v>-1.3640271095000871E-2</v>
      </c>
      <c r="BL52">
        <v>-1.8655300575073828E-2</v>
      </c>
      <c r="BM52">
        <v>-1.6241609245107608E-2</v>
      </c>
    </row>
    <row r="53" spans="1:65" x14ac:dyDescent="0.25">
      <c r="A53" t="s">
        <v>558</v>
      </c>
      <c r="B53" t="s">
        <v>3214</v>
      </c>
      <c r="C53" t="s">
        <v>3238</v>
      </c>
      <c r="D53">
        <v>853159532</v>
      </c>
      <c r="E53">
        <v>7209491</v>
      </c>
      <c r="F53">
        <v>30315709</v>
      </c>
      <c r="G53">
        <v>0.23780000000000001</v>
      </c>
      <c r="H53">
        <v>118</v>
      </c>
      <c r="I53">
        <v>883793459</v>
      </c>
      <c r="J53">
        <v>6978153</v>
      </c>
      <c r="K53">
        <v>27134404</v>
      </c>
      <c r="L53">
        <v>0.25719999999999998</v>
      </c>
      <c r="M53">
        <v>127</v>
      </c>
      <c r="N53">
        <v>-3.4700000000000002E-2</v>
      </c>
      <c r="O53">
        <v>3.32E-2</v>
      </c>
      <c r="P53">
        <v>0.1172</v>
      </c>
      <c r="Q53">
        <v>-1.9400000000000001E-2</v>
      </c>
      <c r="R53">
        <v>-6.5600000000000006E-2</v>
      </c>
      <c r="AO53">
        <v>476218670</v>
      </c>
      <c r="AP53">
        <v>135669063</v>
      </c>
      <c r="AQ53">
        <v>39483666</v>
      </c>
      <c r="AR53">
        <v>50444869</v>
      </c>
      <c r="AS53">
        <v>54120631</v>
      </c>
      <c r="AT53">
        <v>24541115</v>
      </c>
      <c r="AU53">
        <v>72681518</v>
      </c>
      <c r="AV53">
        <v>439455332</v>
      </c>
      <c r="AW53">
        <v>128114999</v>
      </c>
      <c r="AX53">
        <v>54605147</v>
      </c>
      <c r="AY53">
        <v>76094104</v>
      </c>
      <c r="AZ53">
        <v>68961447</v>
      </c>
      <c r="BA53">
        <v>38731902</v>
      </c>
      <c r="BB53">
        <v>8.3656597890590614E-2</v>
      </c>
      <c r="BC53">
        <v>5.8963150754893258E-2</v>
      </c>
      <c r="BD53">
        <v>-0.27692409655082523</v>
      </c>
      <c r="BE53">
        <v>-0.33707256740942759</v>
      </c>
      <c r="BF53">
        <v>-0.21520453304873369</v>
      </c>
      <c r="BG53">
        <v>-0.36638497639491091</v>
      </c>
      <c r="BH53">
        <v>6.0944848139522119E-2</v>
      </c>
      <c r="BI53">
        <v>1.405923274402608E-2</v>
      </c>
      <c r="BJ53">
        <v>-1.550561697853889E-2</v>
      </c>
      <c r="BK53">
        <v>-2.6972296267555099E-2</v>
      </c>
      <c r="BL53">
        <v>-1.4593383027369469E-2</v>
      </c>
      <c r="BM53">
        <v>-1.505963031781226E-2</v>
      </c>
    </row>
    <row r="54" spans="1:65" x14ac:dyDescent="0.25">
      <c r="A54" t="s">
        <v>559</v>
      </c>
      <c r="B54" t="s">
        <v>3214</v>
      </c>
      <c r="C54" t="s">
        <v>3239</v>
      </c>
      <c r="D54">
        <v>567207879</v>
      </c>
      <c r="E54">
        <v>5827873</v>
      </c>
      <c r="F54">
        <v>24446148</v>
      </c>
      <c r="G54">
        <v>0.2384</v>
      </c>
      <c r="H54">
        <v>97</v>
      </c>
      <c r="I54">
        <v>586649798</v>
      </c>
      <c r="J54">
        <v>5708436</v>
      </c>
      <c r="K54">
        <v>23539852</v>
      </c>
      <c r="L54">
        <v>0.24249999999999999</v>
      </c>
      <c r="M54">
        <v>103</v>
      </c>
      <c r="N54">
        <v>-3.3099999999999997E-2</v>
      </c>
      <c r="O54">
        <v>2.0899999999999998E-2</v>
      </c>
      <c r="P54">
        <v>3.85E-2</v>
      </c>
      <c r="Q54">
        <v>-4.1000000000000003E-3</v>
      </c>
      <c r="R54">
        <v>-5.2999999999999999E-2</v>
      </c>
      <c r="AO54">
        <v>313539310</v>
      </c>
      <c r="AP54">
        <v>98546797</v>
      </c>
      <c r="AQ54">
        <v>22853469</v>
      </c>
      <c r="AR54">
        <v>27549140</v>
      </c>
      <c r="AS54">
        <v>19136257</v>
      </c>
      <c r="AT54">
        <v>18080637</v>
      </c>
      <c r="AU54">
        <v>67502269</v>
      </c>
      <c r="AV54">
        <v>291015970</v>
      </c>
      <c r="AW54">
        <v>89222345</v>
      </c>
      <c r="AX54">
        <v>30817361</v>
      </c>
      <c r="AY54">
        <v>42512183</v>
      </c>
      <c r="AZ54">
        <v>26932215</v>
      </c>
      <c r="BA54">
        <v>29837498</v>
      </c>
      <c r="BB54">
        <v>7.7395546368125401E-2</v>
      </c>
      <c r="BC54">
        <v>0.1045080355150943</v>
      </c>
      <c r="BD54">
        <v>-0.25842225750608561</v>
      </c>
      <c r="BE54">
        <v>-0.35197070449193352</v>
      </c>
      <c r="BF54">
        <v>-0.28946590542218681</v>
      </c>
      <c r="BG54">
        <v>-0.39402972058850239</v>
      </c>
      <c r="BH54">
        <v>5.6712505991646373E-2</v>
      </c>
      <c r="BI54">
        <v>2.165226082329259E-2</v>
      </c>
      <c r="BJ54">
        <v>-1.2239933199674849E-2</v>
      </c>
      <c r="BK54">
        <v>-2.3896290546333011E-2</v>
      </c>
      <c r="BL54">
        <v>-1.217086155903175E-2</v>
      </c>
      <c r="BM54">
        <v>-1.8984272228068678E-2</v>
      </c>
    </row>
    <row r="55" spans="1:65" x14ac:dyDescent="0.25">
      <c r="A55" t="s">
        <v>560</v>
      </c>
      <c r="B55" t="s">
        <v>3214</v>
      </c>
      <c r="C55" t="s">
        <v>3240</v>
      </c>
      <c r="D55">
        <v>620093584</v>
      </c>
      <c r="E55">
        <v>6059613</v>
      </c>
      <c r="F55">
        <v>23946760</v>
      </c>
      <c r="G55">
        <v>0.253</v>
      </c>
      <c r="H55">
        <v>102</v>
      </c>
      <c r="I55">
        <v>677766098</v>
      </c>
      <c r="J55">
        <v>6294230</v>
      </c>
      <c r="K55">
        <v>26200554</v>
      </c>
      <c r="L55">
        <v>0.2402</v>
      </c>
      <c r="M55">
        <v>108</v>
      </c>
      <c r="N55">
        <v>-8.5099999999999995E-2</v>
      </c>
      <c r="O55">
        <v>-3.73E-2</v>
      </c>
      <c r="P55">
        <v>-8.5999999999999993E-2</v>
      </c>
      <c r="Q55">
        <v>1.2800000000000001E-2</v>
      </c>
      <c r="R55">
        <v>-4.9700000000000001E-2</v>
      </c>
      <c r="AO55">
        <v>323559957</v>
      </c>
      <c r="AP55">
        <v>114982943</v>
      </c>
      <c r="AQ55">
        <v>27595163</v>
      </c>
      <c r="AR55">
        <v>33819624</v>
      </c>
      <c r="AS55">
        <v>29016652</v>
      </c>
      <c r="AT55">
        <v>18982252</v>
      </c>
      <c r="AU55">
        <v>72136993</v>
      </c>
      <c r="AV55">
        <v>351070652</v>
      </c>
      <c r="AW55">
        <v>100816932</v>
      </c>
      <c r="AX55">
        <v>35959142</v>
      </c>
      <c r="AY55">
        <v>48754915</v>
      </c>
      <c r="AZ55">
        <v>31213408</v>
      </c>
      <c r="BA55">
        <v>28503195</v>
      </c>
      <c r="BB55">
        <v>-7.8362275067071122E-2</v>
      </c>
      <c r="BC55">
        <v>0.14051222070514899</v>
      </c>
      <c r="BD55">
        <v>-0.2325967343714708</v>
      </c>
      <c r="BE55">
        <v>-0.30633405883283771</v>
      </c>
      <c r="BF55">
        <v>-7.0378601401038937E-2</v>
      </c>
      <c r="BG55">
        <v>-0.33403072883583751</v>
      </c>
      <c r="BH55">
        <v>3.810118853184428E-3</v>
      </c>
      <c r="BI55">
        <v>3.6679514336917032E-2</v>
      </c>
      <c r="BJ55">
        <v>-8.5537758178748577E-3</v>
      </c>
      <c r="BK55">
        <v>-1.7395172419493919E-2</v>
      </c>
      <c r="BL55">
        <v>7.4062564470465996E-4</v>
      </c>
      <c r="BM55">
        <v>-1.144270410460008E-2</v>
      </c>
    </row>
    <row r="56" spans="1:65" x14ac:dyDescent="0.25">
      <c r="A56" t="s">
        <v>561</v>
      </c>
      <c r="B56" t="s">
        <v>3214</v>
      </c>
      <c r="C56" t="s">
        <v>3241</v>
      </c>
      <c r="D56">
        <v>585367351</v>
      </c>
      <c r="E56">
        <v>5679121</v>
      </c>
      <c r="F56">
        <v>22731000</v>
      </c>
      <c r="G56">
        <v>0.24979999999999999</v>
      </c>
      <c r="H56">
        <v>103</v>
      </c>
      <c r="I56">
        <v>734482415</v>
      </c>
      <c r="J56">
        <v>6541709</v>
      </c>
      <c r="K56">
        <v>27378055</v>
      </c>
      <c r="L56">
        <v>0.2389</v>
      </c>
      <c r="M56">
        <v>112</v>
      </c>
      <c r="N56">
        <v>-0.20300000000000001</v>
      </c>
      <c r="O56">
        <v>-0.13189999999999999</v>
      </c>
      <c r="P56">
        <v>-0.16969999999999999</v>
      </c>
      <c r="Q56">
        <v>1.09E-2</v>
      </c>
      <c r="R56">
        <v>-8.2000000000000003E-2</v>
      </c>
      <c r="AO56">
        <v>310820265</v>
      </c>
      <c r="AP56">
        <v>110484818</v>
      </c>
      <c r="AQ56">
        <v>28099292</v>
      </c>
      <c r="AR56">
        <v>26401437</v>
      </c>
      <c r="AS56">
        <v>27279687</v>
      </c>
      <c r="AT56">
        <v>18414148</v>
      </c>
      <c r="AU56">
        <v>63867704</v>
      </c>
      <c r="AV56">
        <v>399621466</v>
      </c>
      <c r="AW56">
        <v>105214106</v>
      </c>
      <c r="AX56">
        <v>40657696</v>
      </c>
      <c r="AY56">
        <v>54621165</v>
      </c>
      <c r="AZ56">
        <v>37863326</v>
      </c>
      <c r="BA56">
        <v>27593379</v>
      </c>
      <c r="BB56">
        <v>-0.2222132907144683</v>
      </c>
      <c r="BC56">
        <v>5.0095107969648098E-2</v>
      </c>
      <c r="BD56">
        <v>-0.30888134930223299</v>
      </c>
      <c r="BE56">
        <v>-0.51664456442845919</v>
      </c>
      <c r="BF56">
        <v>-0.27952216876034608</v>
      </c>
      <c r="BG56">
        <v>-0.33266063572714311</v>
      </c>
      <c r="BH56">
        <v>-1.3102557440930101E-2</v>
      </c>
      <c r="BI56">
        <v>4.549509529803359E-2</v>
      </c>
      <c r="BJ56">
        <v>-7.3527400647572291E-3</v>
      </c>
      <c r="BK56">
        <v>-2.9264539652931049E-2</v>
      </c>
      <c r="BL56">
        <v>-4.9483519304129872E-3</v>
      </c>
      <c r="BM56">
        <v>-6.111045491178608E-3</v>
      </c>
    </row>
    <row r="57" spans="1:65" x14ac:dyDescent="0.25">
      <c r="A57" t="s">
        <v>562</v>
      </c>
      <c r="B57" t="s">
        <v>3214</v>
      </c>
      <c r="C57" t="s">
        <v>3242</v>
      </c>
      <c r="I57">
        <v>988819104</v>
      </c>
      <c r="J57">
        <v>7386892</v>
      </c>
      <c r="K57">
        <v>31390286</v>
      </c>
      <c r="L57">
        <v>0.23530000000000001</v>
      </c>
      <c r="M57">
        <v>134</v>
      </c>
      <c r="AV57">
        <v>545461667</v>
      </c>
      <c r="AW57">
        <v>136280740</v>
      </c>
      <c r="AX57">
        <v>53551190</v>
      </c>
      <c r="AY57">
        <v>78342832</v>
      </c>
      <c r="AZ57">
        <v>76580369</v>
      </c>
      <c r="BA57">
        <v>33981913</v>
      </c>
    </row>
    <row r="58" spans="1:65" x14ac:dyDescent="0.25">
      <c r="A58" t="s">
        <v>3202</v>
      </c>
      <c r="B58" t="s">
        <v>30</v>
      </c>
      <c r="C58" t="s">
        <v>3243</v>
      </c>
      <c r="D58">
        <v>24483187</v>
      </c>
      <c r="E58">
        <v>119915</v>
      </c>
      <c r="F58">
        <v>1158413</v>
      </c>
      <c r="G58">
        <v>0.10349999999999999</v>
      </c>
      <c r="H58">
        <v>204</v>
      </c>
    </row>
    <row r="59" spans="1:65" x14ac:dyDescent="0.25">
      <c r="A59" t="s">
        <v>3204</v>
      </c>
      <c r="B59" t="s">
        <v>30</v>
      </c>
      <c r="C59" t="s">
        <v>3244</v>
      </c>
      <c r="D59">
        <v>33753336</v>
      </c>
      <c r="E59">
        <v>152492</v>
      </c>
      <c r="F59">
        <v>1444055</v>
      </c>
      <c r="G59">
        <v>0.1056</v>
      </c>
      <c r="H59">
        <v>221</v>
      </c>
    </row>
    <row r="60" spans="1:65" x14ac:dyDescent="0.25">
      <c r="A60" t="s">
        <v>3206</v>
      </c>
      <c r="B60" t="s">
        <v>30</v>
      </c>
      <c r="C60" t="s">
        <v>3245</v>
      </c>
      <c r="D60">
        <v>32911748</v>
      </c>
      <c r="E60">
        <v>150725</v>
      </c>
      <c r="F60">
        <v>1391851</v>
      </c>
      <c r="G60">
        <v>0.10829999999999999</v>
      </c>
      <c r="H60">
        <v>218</v>
      </c>
    </row>
    <row r="61" spans="1:65" x14ac:dyDescent="0.25">
      <c r="A61" t="s">
        <v>3208</v>
      </c>
      <c r="B61" t="s">
        <v>30</v>
      </c>
      <c r="C61" t="s">
        <v>3246</v>
      </c>
      <c r="D61">
        <v>25520543</v>
      </c>
      <c r="E61">
        <v>127232</v>
      </c>
      <c r="F61">
        <v>1804344</v>
      </c>
      <c r="G61">
        <v>7.0499999999999993E-2</v>
      </c>
      <c r="H61">
        <v>201</v>
      </c>
    </row>
    <row r="62" spans="1:65" x14ac:dyDescent="0.25">
      <c r="A62" t="s">
        <v>3210</v>
      </c>
      <c r="B62" t="s">
        <v>30</v>
      </c>
      <c r="C62" t="s">
        <v>3247</v>
      </c>
      <c r="D62">
        <v>110335545</v>
      </c>
      <c r="E62">
        <v>352574</v>
      </c>
      <c r="F62">
        <v>1967047</v>
      </c>
      <c r="G62">
        <v>0.1792</v>
      </c>
      <c r="H62">
        <v>313</v>
      </c>
    </row>
    <row r="63" spans="1:65" x14ac:dyDescent="0.25">
      <c r="A63" t="s">
        <v>3212</v>
      </c>
      <c r="B63" t="s">
        <v>30</v>
      </c>
      <c r="C63" t="s">
        <v>3248</v>
      </c>
      <c r="D63">
        <v>39285453</v>
      </c>
      <c r="E63">
        <v>161415</v>
      </c>
      <c r="F63">
        <v>1377909</v>
      </c>
      <c r="G63">
        <v>0.1171</v>
      </c>
      <c r="H63">
        <v>243</v>
      </c>
    </row>
    <row r="64" spans="1:65" x14ac:dyDescent="0.25">
      <c r="A64" t="s">
        <v>541</v>
      </c>
      <c r="B64" t="s">
        <v>30</v>
      </c>
      <c r="C64" t="s">
        <v>764</v>
      </c>
      <c r="D64">
        <v>33178433</v>
      </c>
      <c r="E64">
        <v>138842</v>
      </c>
      <c r="F64">
        <v>1178120</v>
      </c>
      <c r="G64">
        <v>0.1179</v>
      </c>
      <c r="H64">
        <v>239</v>
      </c>
      <c r="S64">
        <v>10327853</v>
      </c>
      <c r="T64">
        <v>17299169</v>
      </c>
      <c r="U64">
        <v>21933610</v>
      </c>
      <c r="V64">
        <v>29054466</v>
      </c>
      <c r="W64">
        <v>31280140</v>
      </c>
      <c r="X64">
        <v>6971316</v>
      </c>
      <c r="Y64">
        <v>4634441</v>
      </c>
      <c r="Z64">
        <v>11755297</v>
      </c>
      <c r="AA64">
        <v>7120856</v>
      </c>
      <c r="AB64">
        <v>2225674</v>
      </c>
      <c r="AC64">
        <v>1898293</v>
      </c>
      <c r="AD64">
        <v>0.31128212112971099</v>
      </c>
      <c r="AE64">
        <v>0.52139801177469713</v>
      </c>
      <c r="AF64">
        <v>0.66108034698323459</v>
      </c>
      <c r="AG64">
        <v>0.87570338237493017</v>
      </c>
      <c r="AH64">
        <v>0.94278533286969879</v>
      </c>
      <c r="AI64">
        <v>0.21011589064498609</v>
      </c>
      <c r="AJ64">
        <v>0.1396823352085374</v>
      </c>
      <c r="AK64">
        <v>0.35430537060023298</v>
      </c>
      <c r="AL64">
        <v>0.21462303539169561</v>
      </c>
      <c r="AM64">
        <v>6.70819504947687E-2</v>
      </c>
      <c r="AN64">
        <v>5.7214667130301183E-2</v>
      </c>
    </row>
    <row r="65" spans="1:40" x14ac:dyDescent="0.25">
      <c r="A65" t="s">
        <v>542</v>
      </c>
      <c r="B65" t="s">
        <v>30</v>
      </c>
      <c r="C65" t="s">
        <v>765</v>
      </c>
      <c r="D65">
        <v>25890723</v>
      </c>
      <c r="E65">
        <v>119352</v>
      </c>
      <c r="F65">
        <v>1054197</v>
      </c>
      <c r="G65">
        <v>0.1132</v>
      </c>
      <c r="H65">
        <v>217</v>
      </c>
      <c r="S65">
        <v>8387275</v>
      </c>
      <c r="T65">
        <v>12980235</v>
      </c>
      <c r="U65">
        <v>16396820</v>
      </c>
      <c r="V65">
        <v>22249734</v>
      </c>
      <c r="W65">
        <v>24306446</v>
      </c>
      <c r="X65">
        <v>4592960</v>
      </c>
      <c r="Y65">
        <v>3416585</v>
      </c>
      <c r="Z65">
        <v>9269499</v>
      </c>
      <c r="AA65">
        <v>5852914</v>
      </c>
      <c r="AB65">
        <v>2056712</v>
      </c>
      <c r="AC65">
        <v>1584277</v>
      </c>
      <c r="AD65">
        <v>0.32394904537814567</v>
      </c>
      <c r="AE65">
        <v>0.50134694963906568</v>
      </c>
      <c r="AF65">
        <v>0.63330869516467347</v>
      </c>
      <c r="AG65">
        <v>0.85937090285195972</v>
      </c>
      <c r="AH65">
        <v>0.93880908617345293</v>
      </c>
      <c r="AI65">
        <v>0.17739790426092</v>
      </c>
      <c r="AJ65">
        <v>0.1319617455256078</v>
      </c>
      <c r="AK65">
        <v>0.35802395321289399</v>
      </c>
      <c r="AL65">
        <v>0.2260622076872863</v>
      </c>
      <c r="AM65">
        <v>7.9438183321493189E-2</v>
      </c>
      <c r="AN65">
        <v>6.119091382654706E-2</v>
      </c>
    </row>
    <row r="66" spans="1:40" x14ac:dyDescent="0.25">
      <c r="A66" t="s">
        <v>543</v>
      </c>
      <c r="B66" t="s">
        <v>30</v>
      </c>
      <c r="C66" t="s">
        <v>766</v>
      </c>
      <c r="D66">
        <v>50211195</v>
      </c>
      <c r="E66">
        <v>214463</v>
      </c>
      <c r="F66">
        <v>1737572</v>
      </c>
      <c r="G66">
        <v>0.1234</v>
      </c>
      <c r="H66">
        <v>234</v>
      </c>
      <c r="S66">
        <v>19940039</v>
      </c>
      <c r="T66">
        <v>28321955</v>
      </c>
      <c r="U66">
        <v>33610866</v>
      </c>
      <c r="V66">
        <v>44670060</v>
      </c>
      <c r="W66">
        <v>47616001</v>
      </c>
      <c r="X66">
        <v>8381916</v>
      </c>
      <c r="Y66">
        <v>5288911</v>
      </c>
      <c r="Z66">
        <v>16348105</v>
      </c>
      <c r="AA66">
        <v>11059194</v>
      </c>
      <c r="AB66">
        <v>2945941</v>
      </c>
      <c r="AC66">
        <v>2595194</v>
      </c>
      <c r="AD66">
        <v>0.39712337059494401</v>
      </c>
      <c r="AE66">
        <v>0.56405658140580006</v>
      </c>
      <c r="AF66">
        <v>0.66938988406868227</v>
      </c>
      <c r="AG66">
        <v>0.88964343509450428</v>
      </c>
      <c r="AH66">
        <v>0.94831443465944198</v>
      </c>
      <c r="AI66">
        <v>0.16693321081085599</v>
      </c>
      <c r="AJ66">
        <v>0.10533330266288229</v>
      </c>
      <c r="AK66">
        <v>0.32558685368870433</v>
      </c>
      <c r="AL66">
        <v>0.220253551025822</v>
      </c>
      <c r="AM66">
        <v>5.8670999564937661E-2</v>
      </c>
      <c r="AN66">
        <v>5.1685565340558022E-2</v>
      </c>
    </row>
    <row r="67" spans="1:40" x14ac:dyDescent="0.25">
      <c r="A67" t="s">
        <v>544</v>
      </c>
      <c r="B67" t="s">
        <v>30</v>
      </c>
      <c r="C67" t="s">
        <v>767</v>
      </c>
      <c r="D67">
        <v>38386466</v>
      </c>
      <c r="E67">
        <v>195076</v>
      </c>
      <c r="F67">
        <v>1738172</v>
      </c>
      <c r="G67">
        <v>0.11219999999999999</v>
      </c>
      <c r="H67">
        <v>197</v>
      </c>
      <c r="S67">
        <v>9312276</v>
      </c>
      <c r="T67">
        <v>18219628</v>
      </c>
      <c r="U67">
        <v>22221227</v>
      </c>
      <c r="V67">
        <v>33923963</v>
      </c>
      <c r="W67">
        <v>36100598</v>
      </c>
      <c r="X67">
        <v>8907352</v>
      </c>
      <c r="Y67">
        <v>4001599</v>
      </c>
      <c r="Z67">
        <v>15704335</v>
      </c>
      <c r="AA67">
        <v>11702736</v>
      </c>
      <c r="AB67">
        <v>2176635</v>
      </c>
      <c r="AC67">
        <v>2285868</v>
      </c>
      <c r="AD67">
        <v>0.2425926887877618</v>
      </c>
      <c r="AE67">
        <v>0.47463676390527848</v>
      </c>
      <c r="AF67">
        <v>0.57888181214702072</v>
      </c>
      <c r="AG67">
        <v>0.88374801160388139</v>
      </c>
      <c r="AH67">
        <v>0.9404511996493764</v>
      </c>
      <c r="AI67">
        <v>0.23204407511751671</v>
      </c>
      <c r="AJ67">
        <v>0.1042450482417423</v>
      </c>
      <c r="AK67">
        <v>0.40911124769860302</v>
      </c>
      <c r="AL67">
        <v>0.30486619945686072</v>
      </c>
      <c r="AM67">
        <v>5.6703188045494991E-2</v>
      </c>
      <c r="AN67">
        <v>5.9548800350623578E-2</v>
      </c>
    </row>
    <row r="68" spans="1:40" x14ac:dyDescent="0.25">
      <c r="A68" t="s">
        <v>545</v>
      </c>
      <c r="B68" t="s">
        <v>30</v>
      </c>
      <c r="C68" t="s">
        <v>768</v>
      </c>
      <c r="D68">
        <v>65683632</v>
      </c>
      <c r="E68">
        <v>241310</v>
      </c>
      <c r="F68">
        <v>1785360</v>
      </c>
      <c r="G68">
        <v>0.13519999999999999</v>
      </c>
      <c r="H68">
        <v>272</v>
      </c>
      <c r="S68">
        <v>27342919</v>
      </c>
      <c r="T68">
        <v>38752396</v>
      </c>
      <c r="U68">
        <v>44355469</v>
      </c>
      <c r="V68">
        <v>60182403</v>
      </c>
      <c r="W68">
        <v>63071395</v>
      </c>
      <c r="X68">
        <v>11409477</v>
      </c>
      <c r="Y68">
        <v>5603073</v>
      </c>
      <c r="Z68">
        <v>21430007</v>
      </c>
      <c r="AA68">
        <v>15826934</v>
      </c>
      <c r="AB68">
        <v>2888992</v>
      </c>
      <c r="AC68">
        <v>2612237</v>
      </c>
      <c r="AD68">
        <v>0.41628208074730089</v>
      </c>
      <c r="AE68">
        <v>0.58998558423200476</v>
      </c>
      <c r="AF68">
        <v>0.6752895302744526</v>
      </c>
      <c r="AG68">
        <v>0.91624657722946867</v>
      </c>
      <c r="AH68">
        <v>0.96023001590411439</v>
      </c>
      <c r="AI68">
        <v>0.17370350348470379</v>
      </c>
      <c r="AJ68">
        <v>8.5303946042447829E-2</v>
      </c>
      <c r="AK68">
        <v>0.32626099299746403</v>
      </c>
      <c r="AL68">
        <v>0.2409570469550161</v>
      </c>
      <c r="AM68">
        <v>4.3983438674645763E-2</v>
      </c>
      <c r="AN68">
        <v>3.9769984095885558E-2</v>
      </c>
    </row>
    <row r="69" spans="1:40" x14ac:dyDescent="0.25">
      <c r="A69" t="s">
        <v>546</v>
      </c>
      <c r="B69" t="s">
        <v>30</v>
      </c>
      <c r="C69" t="s">
        <v>769</v>
      </c>
      <c r="D69">
        <v>68961447</v>
      </c>
      <c r="E69">
        <v>249892</v>
      </c>
      <c r="F69">
        <v>1634412</v>
      </c>
      <c r="G69">
        <v>0.15290000000000001</v>
      </c>
      <c r="H69">
        <v>276</v>
      </c>
      <c r="S69">
        <v>27889765</v>
      </c>
      <c r="T69">
        <v>40591818</v>
      </c>
      <c r="U69">
        <v>46954713</v>
      </c>
      <c r="V69">
        <v>62821054</v>
      </c>
      <c r="W69">
        <v>65913144</v>
      </c>
      <c r="X69">
        <v>12702053</v>
      </c>
      <c r="Y69">
        <v>6362895</v>
      </c>
      <c r="Z69">
        <v>22229236</v>
      </c>
      <c r="AA69">
        <v>15866341</v>
      </c>
      <c r="AB69">
        <v>3092090</v>
      </c>
      <c r="AC69">
        <v>3048303</v>
      </c>
      <c r="AD69">
        <v>0.40442546108407501</v>
      </c>
      <c r="AE69">
        <v>0.58861610023931199</v>
      </c>
      <c r="AF69">
        <v>0.68088352322421541</v>
      </c>
      <c r="AG69">
        <v>0.91095904643648207</v>
      </c>
      <c r="AH69">
        <v>0.95579699770510906</v>
      </c>
      <c r="AI69">
        <v>0.18419063915523701</v>
      </c>
      <c r="AJ69">
        <v>9.2267422984903438E-2</v>
      </c>
      <c r="AK69">
        <v>0.32234294619717008</v>
      </c>
      <c r="AL69">
        <v>0.23007552321226671</v>
      </c>
      <c r="AM69">
        <v>4.4837951268626948E-2</v>
      </c>
      <c r="AN69">
        <v>4.4203002294890943E-2</v>
      </c>
    </row>
    <row r="70" spans="1:40" x14ac:dyDescent="0.25">
      <c r="A70" t="s">
        <v>547</v>
      </c>
      <c r="B70" t="s">
        <v>30</v>
      </c>
      <c r="C70" t="s">
        <v>770</v>
      </c>
      <c r="D70">
        <v>26932215</v>
      </c>
      <c r="E70">
        <v>135501</v>
      </c>
      <c r="F70">
        <v>1320699</v>
      </c>
      <c r="G70">
        <v>0.1026</v>
      </c>
      <c r="H70">
        <v>199</v>
      </c>
      <c r="I70">
        <v>24483187</v>
      </c>
      <c r="J70">
        <v>119915</v>
      </c>
      <c r="K70">
        <v>1158413</v>
      </c>
      <c r="L70">
        <v>0.10349999999999999</v>
      </c>
      <c r="M70">
        <v>204</v>
      </c>
      <c r="N70">
        <v>0.1</v>
      </c>
      <c r="O70">
        <v>0.13</v>
      </c>
      <c r="P70">
        <v>0.1401</v>
      </c>
      <c r="Q70">
        <v>-8.9999999999999998E-4</v>
      </c>
      <c r="R70">
        <v>-2.6499999999999999E-2</v>
      </c>
      <c r="S70">
        <v>7616213</v>
      </c>
      <c r="T70">
        <v>12712402</v>
      </c>
      <c r="U70">
        <v>15082263</v>
      </c>
      <c r="V70">
        <v>22748136</v>
      </c>
      <c r="W70">
        <v>24497608</v>
      </c>
      <c r="X70">
        <v>5096189</v>
      </c>
      <c r="Y70">
        <v>2369861</v>
      </c>
      <c r="Z70">
        <v>10035734</v>
      </c>
      <c r="AA70">
        <v>7665873</v>
      </c>
      <c r="AB70">
        <v>1749472</v>
      </c>
      <c r="AC70">
        <v>2434607</v>
      </c>
      <c r="AD70">
        <v>0.28279192780838858</v>
      </c>
      <c r="AE70">
        <v>0.47201472288855562</v>
      </c>
      <c r="AF70">
        <v>0.56000826519467484</v>
      </c>
      <c r="AG70">
        <v>0.84464408144669867</v>
      </c>
      <c r="AH70">
        <v>0.90960242222928933</v>
      </c>
      <c r="AI70">
        <v>0.18922279508016701</v>
      </c>
      <c r="AJ70">
        <v>8.7993542306119277E-2</v>
      </c>
      <c r="AK70">
        <v>0.37262935855814311</v>
      </c>
      <c r="AL70">
        <v>0.28463581625202378</v>
      </c>
      <c r="AM70">
        <v>6.4958340782590662E-2</v>
      </c>
      <c r="AN70">
        <v>9.0397577770710655E-2</v>
      </c>
    </row>
    <row r="71" spans="1:40" x14ac:dyDescent="0.25">
      <c r="A71" t="s">
        <v>548</v>
      </c>
      <c r="B71" t="s">
        <v>30</v>
      </c>
      <c r="C71" t="s">
        <v>771</v>
      </c>
      <c r="D71">
        <v>31213408</v>
      </c>
      <c r="E71">
        <v>149593</v>
      </c>
      <c r="F71">
        <v>1358088</v>
      </c>
      <c r="G71">
        <v>0.1101</v>
      </c>
      <c r="H71">
        <v>209</v>
      </c>
      <c r="I71">
        <v>33753336</v>
      </c>
      <c r="J71">
        <v>152492</v>
      </c>
      <c r="K71">
        <v>1444055</v>
      </c>
      <c r="L71">
        <v>0.1056</v>
      </c>
      <c r="M71">
        <v>221</v>
      </c>
      <c r="N71">
        <v>-7.5200000000000003E-2</v>
      </c>
      <c r="O71">
        <v>-1.9E-2</v>
      </c>
      <c r="P71">
        <v>-5.9499999999999997E-2</v>
      </c>
      <c r="Q71">
        <v>4.4999999999999997E-3</v>
      </c>
      <c r="R71">
        <v>-5.7299999999999997E-2</v>
      </c>
      <c r="S71">
        <v>8476618</v>
      </c>
      <c r="T71">
        <v>14899240</v>
      </c>
      <c r="U71">
        <v>17797656</v>
      </c>
      <c r="V71">
        <v>27189590</v>
      </c>
      <c r="W71">
        <v>29062497</v>
      </c>
      <c r="X71">
        <v>6422622</v>
      </c>
      <c r="Y71">
        <v>2898416</v>
      </c>
      <c r="Z71">
        <v>12290350</v>
      </c>
      <c r="AA71">
        <v>9391934</v>
      </c>
      <c r="AB71">
        <v>1872907</v>
      </c>
      <c r="AC71">
        <v>2150911</v>
      </c>
      <c r="AD71">
        <v>0.27156976899158208</v>
      </c>
      <c r="AE71">
        <v>0.47733461210003092</v>
      </c>
      <c r="AF71">
        <v>0.57019265566899968</v>
      </c>
      <c r="AG71">
        <v>0.87108687394852879</v>
      </c>
      <c r="AH71">
        <v>0.93109015843447795</v>
      </c>
      <c r="AI71">
        <v>0.20576484310844881</v>
      </c>
      <c r="AJ71">
        <v>9.2858043568968818E-2</v>
      </c>
      <c r="AK71">
        <v>0.39375226184849788</v>
      </c>
      <c r="AL71">
        <v>0.30089421827952911</v>
      </c>
      <c r="AM71">
        <v>6.0003284485949118E-2</v>
      </c>
      <c r="AN71">
        <v>6.8909841565522101E-2</v>
      </c>
    </row>
    <row r="72" spans="1:40" x14ac:dyDescent="0.25">
      <c r="A72" t="s">
        <v>549</v>
      </c>
      <c r="B72" t="s">
        <v>30</v>
      </c>
      <c r="C72" t="s">
        <v>772</v>
      </c>
      <c r="D72">
        <v>37863326</v>
      </c>
      <c r="E72">
        <v>167527</v>
      </c>
      <c r="F72">
        <v>1420107</v>
      </c>
      <c r="G72">
        <v>0.11799999999999999</v>
      </c>
      <c r="H72">
        <v>226</v>
      </c>
      <c r="I72">
        <v>32911748</v>
      </c>
      <c r="J72">
        <v>150725</v>
      </c>
      <c r="K72">
        <v>1391851</v>
      </c>
      <c r="L72">
        <v>0.10829999999999999</v>
      </c>
      <c r="M72">
        <v>218</v>
      </c>
      <c r="N72">
        <v>0.15049999999999999</v>
      </c>
      <c r="O72">
        <v>0.1115</v>
      </c>
      <c r="P72">
        <v>2.0299999999999999E-2</v>
      </c>
      <c r="Q72">
        <v>9.7000000000000003E-3</v>
      </c>
      <c r="R72">
        <v>3.5099999999999999E-2</v>
      </c>
      <c r="S72">
        <v>14232303</v>
      </c>
      <c r="T72">
        <v>20838601</v>
      </c>
      <c r="U72">
        <v>23722813</v>
      </c>
      <c r="V72">
        <v>33629399</v>
      </c>
      <c r="W72">
        <v>35513966</v>
      </c>
      <c r="X72">
        <v>6606298</v>
      </c>
      <c r="Y72">
        <v>2884212</v>
      </c>
      <c r="Z72">
        <v>12790798</v>
      </c>
      <c r="AA72">
        <v>9906586</v>
      </c>
      <c r="AB72">
        <v>1884567</v>
      </c>
      <c r="AC72">
        <v>2349360</v>
      </c>
      <c r="AD72">
        <v>0.37588623355486522</v>
      </c>
      <c r="AE72">
        <v>0.55036372134872669</v>
      </c>
      <c r="AF72">
        <v>0.62653801200665782</v>
      </c>
      <c r="AG72">
        <v>0.88817868245383413</v>
      </c>
      <c r="AH72">
        <v>0.93795156822726033</v>
      </c>
      <c r="AI72">
        <v>0.17447748779386149</v>
      </c>
      <c r="AJ72">
        <v>7.6174290657931104E-2</v>
      </c>
      <c r="AK72">
        <v>0.33781496110510728</v>
      </c>
      <c r="AL72">
        <v>0.26164067044717632</v>
      </c>
      <c r="AM72">
        <v>4.9772885773426243E-2</v>
      </c>
      <c r="AN72">
        <v>6.2048431772739672E-2</v>
      </c>
    </row>
    <row r="73" spans="1:40" x14ac:dyDescent="0.25">
      <c r="A73" t="s">
        <v>550</v>
      </c>
      <c r="B73" t="s">
        <v>30</v>
      </c>
      <c r="C73" t="s">
        <v>773</v>
      </c>
      <c r="D73">
        <v>76580369</v>
      </c>
      <c r="E73">
        <v>243512</v>
      </c>
      <c r="F73">
        <v>1950695</v>
      </c>
      <c r="G73">
        <v>0.12479999999999999</v>
      </c>
      <c r="H73">
        <v>314</v>
      </c>
      <c r="I73">
        <v>25520543</v>
      </c>
      <c r="J73">
        <v>127232</v>
      </c>
      <c r="K73">
        <v>1804344</v>
      </c>
      <c r="L73">
        <v>7.0499999999999993E-2</v>
      </c>
      <c r="M73">
        <v>201</v>
      </c>
      <c r="N73">
        <v>2.0007000000000001</v>
      </c>
      <c r="O73">
        <v>0.91390000000000005</v>
      </c>
      <c r="P73">
        <v>8.1100000000000005E-2</v>
      </c>
      <c r="Q73">
        <v>5.4300000000000001E-2</v>
      </c>
      <c r="R73">
        <v>0.56779999999999997</v>
      </c>
      <c r="S73">
        <v>35445962</v>
      </c>
      <c r="T73">
        <v>47564322</v>
      </c>
      <c r="U73">
        <v>54038891</v>
      </c>
      <c r="V73">
        <v>71424284</v>
      </c>
      <c r="W73">
        <v>73588145</v>
      </c>
      <c r="X73">
        <v>12118360</v>
      </c>
      <c r="Y73">
        <v>6474569</v>
      </c>
      <c r="Z73">
        <v>23859962</v>
      </c>
      <c r="AA73">
        <v>17385393</v>
      </c>
      <c r="AB73">
        <v>2163861</v>
      </c>
      <c r="AC73">
        <v>2992224</v>
      </c>
      <c r="AD73">
        <v>0.46285963965517057</v>
      </c>
      <c r="AE73">
        <v>0.62110332740757623</v>
      </c>
      <c r="AF73">
        <v>0.70564939429842655</v>
      </c>
      <c r="AG73">
        <v>0.93267093032680481</v>
      </c>
      <c r="AH73">
        <v>0.96092700989727542</v>
      </c>
      <c r="AI73">
        <v>0.1582436877524056</v>
      </c>
      <c r="AJ73">
        <v>8.4546066890850313E-2</v>
      </c>
      <c r="AK73">
        <v>0.31156760291922858</v>
      </c>
      <c r="AL73">
        <v>0.22702153602837821</v>
      </c>
      <c r="AM73">
        <v>2.8256079570470601E-2</v>
      </c>
      <c r="AN73">
        <v>3.9072990102724629E-2</v>
      </c>
    </row>
    <row r="74" spans="1:40" x14ac:dyDescent="0.25">
      <c r="A74" t="s">
        <v>551</v>
      </c>
      <c r="B74" t="s">
        <v>30</v>
      </c>
      <c r="C74" t="s">
        <v>774</v>
      </c>
      <c r="D74">
        <v>73458219</v>
      </c>
      <c r="E74">
        <v>252725</v>
      </c>
      <c r="F74">
        <v>1893041</v>
      </c>
      <c r="G74">
        <v>0.13350000000000001</v>
      </c>
      <c r="H74">
        <v>291</v>
      </c>
      <c r="I74">
        <v>110335545</v>
      </c>
      <c r="J74">
        <v>352574</v>
      </c>
      <c r="K74">
        <v>1967047</v>
      </c>
      <c r="L74">
        <v>0.1792</v>
      </c>
      <c r="M74">
        <v>313</v>
      </c>
      <c r="N74">
        <v>-0.3342</v>
      </c>
      <c r="O74">
        <v>-0.28320000000000001</v>
      </c>
      <c r="P74">
        <v>-3.7600000000000001E-2</v>
      </c>
      <c r="Q74">
        <v>-4.5699999999999998E-2</v>
      </c>
      <c r="R74">
        <v>-7.1199999999999999E-2</v>
      </c>
    </row>
    <row r="75" spans="1:40" x14ac:dyDescent="0.25">
      <c r="A75" t="s">
        <v>552</v>
      </c>
      <c r="B75" t="s">
        <v>30</v>
      </c>
      <c r="C75" t="s">
        <v>775</v>
      </c>
      <c r="D75">
        <v>38390805</v>
      </c>
      <c r="E75">
        <v>151103</v>
      </c>
      <c r="F75">
        <v>1303785</v>
      </c>
      <c r="G75">
        <v>0.1159</v>
      </c>
      <c r="H75">
        <v>254</v>
      </c>
      <c r="I75">
        <v>39285453</v>
      </c>
      <c r="J75">
        <v>161415</v>
      </c>
      <c r="K75">
        <v>1377909</v>
      </c>
      <c r="L75">
        <v>0.1171</v>
      </c>
      <c r="M75">
        <v>243</v>
      </c>
      <c r="N75">
        <v>-2.2800000000000001E-2</v>
      </c>
      <c r="O75">
        <v>-6.3899999999999998E-2</v>
      </c>
      <c r="P75">
        <v>-5.3800000000000001E-2</v>
      </c>
      <c r="Q75">
        <v>-1.1999999999999999E-3</v>
      </c>
      <c r="R75">
        <v>4.3900000000000002E-2</v>
      </c>
      <c r="S75">
        <v>14210983</v>
      </c>
      <c r="T75">
        <v>21538804</v>
      </c>
      <c r="U75">
        <v>25070928</v>
      </c>
      <c r="V75">
        <v>34286389</v>
      </c>
      <c r="W75">
        <v>36114557</v>
      </c>
      <c r="X75">
        <v>7327821</v>
      </c>
      <c r="Y75">
        <v>3532124</v>
      </c>
      <c r="Z75">
        <v>12747585</v>
      </c>
      <c r="AA75">
        <v>9215461</v>
      </c>
      <c r="AB75">
        <v>1828168</v>
      </c>
      <c r="AC75">
        <v>2276248</v>
      </c>
      <c r="AD75">
        <v>0.37016631977370618</v>
      </c>
      <c r="AE75">
        <v>0.56104069711484295</v>
      </c>
      <c r="AF75">
        <v>0.65304512369563494</v>
      </c>
      <c r="AG75">
        <v>0.89308856638979051</v>
      </c>
      <c r="AH75">
        <v>0.94070851080095874</v>
      </c>
      <c r="AI75">
        <v>0.1908743773411368</v>
      </c>
      <c r="AJ75">
        <v>9.2004426580791943E-2</v>
      </c>
      <c r="AK75">
        <v>0.3320478692749475</v>
      </c>
      <c r="AL75">
        <v>0.24004344269415551</v>
      </c>
      <c r="AM75">
        <v>4.761994441116825E-2</v>
      </c>
      <c r="AN75">
        <v>5.9291489199041279E-2</v>
      </c>
    </row>
    <row r="76" spans="1:40" x14ac:dyDescent="0.25">
      <c r="A76" t="s">
        <v>553</v>
      </c>
      <c r="B76" t="s">
        <v>30</v>
      </c>
      <c r="C76" t="s">
        <v>776</v>
      </c>
      <c r="D76">
        <v>19524123</v>
      </c>
      <c r="E76">
        <v>88279</v>
      </c>
      <c r="F76">
        <v>1020506</v>
      </c>
      <c r="G76">
        <v>8.6499999999999994E-2</v>
      </c>
      <c r="H76">
        <v>221</v>
      </c>
      <c r="I76">
        <v>33178433</v>
      </c>
      <c r="J76">
        <v>138842</v>
      </c>
      <c r="K76">
        <v>1178120</v>
      </c>
      <c r="L76">
        <v>0.1179</v>
      </c>
      <c r="M76">
        <v>239</v>
      </c>
      <c r="N76">
        <v>-0.41149999999999998</v>
      </c>
      <c r="O76">
        <v>-0.36420000000000002</v>
      </c>
      <c r="P76">
        <v>-0.1338</v>
      </c>
      <c r="Q76">
        <v>-3.1300000000000001E-2</v>
      </c>
      <c r="R76">
        <v>-7.4499999999999997E-2</v>
      </c>
      <c r="S76">
        <v>5568862</v>
      </c>
      <c r="T76">
        <v>10036568</v>
      </c>
      <c r="U76">
        <v>11760452</v>
      </c>
      <c r="V76">
        <v>17306619</v>
      </c>
      <c r="W76">
        <v>18316753</v>
      </c>
      <c r="X76">
        <v>4467706</v>
      </c>
      <c r="Y76">
        <v>1723884</v>
      </c>
      <c r="Z76">
        <v>7270051</v>
      </c>
      <c r="AA76">
        <v>5546167</v>
      </c>
      <c r="AB76">
        <v>1010134</v>
      </c>
      <c r="AC76">
        <v>1207370</v>
      </c>
      <c r="AD76">
        <v>0.28522981544420722</v>
      </c>
      <c r="AE76">
        <v>0.5140598632778538</v>
      </c>
      <c r="AF76">
        <v>0.60235494316441252</v>
      </c>
      <c r="AG76">
        <v>0.88642235044309037</v>
      </c>
      <c r="AH76">
        <v>0.93816009046859616</v>
      </c>
      <c r="AI76">
        <v>0.2288300478336466</v>
      </c>
      <c r="AJ76">
        <v>8.8295079886558797E-2</v>
      </c>
      <c r="AK76">
        <v>0.37236248716523662</v>
      </c>
      <c r="AL76">
        <v>0.28406740727867769</v>
      </c>
      <c r="AM76">
        <v>5.1737740025505893E-2</v>
      </c>
      <c r="AN76">
        <v>6.1839909531403787E-2</v>
      </c>
    </row>
    <row r="77" spans="1:40" x14ac:dyDescent="0.25">
      <c r="A77" t="s">
        <v>554</v>
      </c>
      <c r="B77" t="s">
        <v>30</v>
      </c>
      <c r="C77" t="s">
        <v>777</v>
      </c>
      <c r="D77">
        <v>29879343</v>
      </c>
      <c r="E77">
        <v>158689</v>
      </c>
      <c r="F77">
        <v>1270121</v>
      </c>
      <c r="G77">
        <v>0.1249</v>
      </c>
      <c r="H77">
        <v>188</v>
      </c>
      <c r="I77">
        <v>25890723</v>
      </c>
      <c r="J77">
        <v>119352</v>
      </c>
      <c r="K77">
        <v>1054197</v>
      </c>
      <c r="L77">
        <v>0.1132</v>
      </c>
      <c r="M77">
        <v>217</v>
      </c>
      <c r="N77">
        <v>0.15409999999999999</v>
      </c>
      <c r="O77">
        <v>0.3296</v>
      </c>
      <c r="P77">
        <v>0.20480000000000001</v>
      </c>
      <c r="Q77">
        <v>1.17E-2</v>
      </c>
      <c r="R77">
        <v>-0.13200000000000001</v>
      </c>
      <c r="S77">
        <v>6946246</v>
      </c>
      <c r="T77">
        <v>12570673</v>
      </c>
      <c r="U77">
        <v>16701375</v>
      </c>
      <c r="V77">
        <v>26454549</v>
      </c>
      <c r="W77">
        <v>28096011</v>
      </c>
      <c r="X77">
        <v>5624427</v>
      </c>
      <c r="Y77">
        <v>4130702</v>
      </c>
      <c r="Z77">
        <v>13883876</v>
      </c>
      <c r="AA77">
        <v>9753174</v>
      </c>
      <c r="AB77">
        <v>1641462</v>
      </c>
      <c r="AC77">
        <v>1783332</v>
      </c>
      <c r="AD77">
        <v>0.23247653069212401</v>
      </c>
      <c r="AE77">
        <v>0.42071450500099677</v>
      </c>
      <c r="AF77">
        <v>0.55896058357106448</v>
      </c>
      <c r="AG77">
        <v>0.88537920663114977</v>
      </c>
      <c r="AH77">
        <v>0.94031555513118215</v>
      </c>
      <c r="AI77">
        <v>0.18823797430887279</v>
      </c>
      <c r="AJ77">
        <v>0.1382460785700676</v>
      </c>
      <c r="AK77">
        <v>0.464664701630153</v>
      </c>
      <c r="AL77">
        <v>0.32641862306008529</v>
      </c>
      <c r="AM77">
        <v>5.4936348500032282E-2</v>
      </c>
      <c r="AN77">
        <v>5.9684444868817903E-2</v>
      </c>
    </row>
    <row r="78" spans="1:40" x14ac:dyDescent="0.25">
      <c r="A78" t="s">
        <v>555</v>
      </c>
      <c r="B78" t="s">
        <v>30</v>
      </c>
      <c r="C78" t="s">
        <v>778</v>
      </c>
      <c r="D78">
        <v>39543689</v>
      </c>
      <c r="E78">
        <v>188091</v>
      </c>
      <c r="F78">
        <v>1367930</v>
      </c>
      <c r="G78">
        <v>0.13750000000000001</v>
      </c>
      <c r="H78">
        <v>210</v>
      </c>
      <c r="I78">
        <v>50211195</v>
      </c>
      <c r="J78">
        <v>214463</v>
      </c>
      <c r="K78">
        <v>1737572</v>
      </c>
      <c r="L78">
        <v>0.1234</v>
      </c>
      <c r="M78">
        <v>234</v>
      </c>
      <c r="N78">
        <v>-0.21249999999999999</v>
      </c>
      <c r="O78">
        <v>-0.123</v>
      </c>
      <c r="P78">
        <v>-0.2127</v>
      </c>
      <c r="Q78">
        <v>1.41E-2</v>
      </c>
      <c r="R78">
        <v>-0.10199999999999999</v>
      </c>
      <c r="S78">
        <v>15667759</v>
      </c>
      <c r="T78">
        <v>22583346</v>
      </c>
      <c r="U78">
        <v>26258482</v>
      </c>
      <c r="V78">
        <v>35934267</v>
      </c>
      <c r="W78">
        <v>37540238</v>
      </c>
      <c r="X78">
        <v>6915587</v>
      </c>
      <c r="Y78">
        <v>3675136</v>
      </c>
      <c r="Z78">
        <v>13350921</v>
      </c>
      <c r="AA78">
        <v>9675785</v>
      </c>
      <c r="AB78">
        <v>1605971</v>
      </c>
      <c r="AC78">
        <v>2003451</v>
      </c>
      <c r="AD78">
        <v>0.39621389395410228</v>
      </c>
      <c r="AE78">
        <v>0.5710986144969934</v>
      </c>
      <c r="AF78">
        <v>0.6640372373958332</v>
      </c>
      <c r="AG78">
        <v>0.90872318462751411</v>
      </c>
      <c r="AH78">
        <v>0.94933575873510434</v>
      </c>
      <c r="AI78">
        <v>0.1748847205428912</v>
      </c>
      <c r="AJ78">
        <v>9.2938622898839807E-2</v>
      </c>
      <c r="AK78">
        <v>0.33762457013052072</v>
      </c>
      <c r="AL78">
        <v>0.24468594723168091</v>
      </c>
      <c r="AM78">
        <v>4.0612574107590213E-2</v>
      </c>
      <c r="AN78">
        <v>5.0664241264895653E-2</v>
      </c>
    </row>
    <row r="79" spans="1:40" x14ac:dyDescent="0.25">
      <c r="A79" t="s">
        <v>556</v>
      </c>
      <c r="B79" t="s">
        <v>30</v>
      </c>
      <c r="C79" t="s">
        <v>779</v>
      </c>
      <c r="D79">
        <v>29743139</v>
      </c>
      <c r="E79">
        <v>175701</v>
      </c>
      <c r="F79">
        <v>1396704</v>
      </c>
      <c r="G79">
        <v>0.1258</v>
      </c>
      <c r="H79">
        <v>169</v>
      </c>
      <c r="I79">
        <v>38386466</v>
      </c>
      <c r="J79">
        <v>195076</v>
      </c>
      <c r="K79">
        <v>1738172</v>
      </c>
      <c r="L79">
        <v>0.11219999999999999</v>
      </c>
      <c r="M79">
        <v>197</v>
      </c>
      <c r="N79">
        <v>-0.22520000000000001</v>
      </c>
      <c r="O79">
        <v>-9.9299999999999999E-2</v>
      </c>
      <c r="P79">
        <v>-0.19650000000000001</v>
      </c>
      <c r="Q79">
        <v>1.3599999999999999E-2</v>
      </c>
      <c r="R79">
        <v>-0.13969999999999999</v>
      </c>
      <c r="S79">
        <v>7457398</v>
      </c>
      <c r="T79">
        <v>14273491</v>
      </c>
      <c r="U79">
        <v>17195648</v>
      </c>
      <c r="V79">
        <v>26326260</v>
      </c>
      <c r="W79">
        <v>27843288</v>
      </c>
      <c r="X79">
        <v>6816093</v>
      </c>
      <c r="Y79">
        <v>2922157</v>
      </c>
      <c r="Z79">
        <v>12052769</v>
      </c>
      <c r="AA79">
        <v>9130612</v>
      </c>
      <c r="AB79">
        <v>1517028</v>
      </c>
      <c r="AC79">
        <v>1899851</v>
      </c>
      <c r="AD79">
        <v>0.25072666338277211</v>
      </c>
      <c r="AE79">
        <v>0.47989188363743318</v>
      </c>
      <c r="AF79">
        <v>0.57813830611489936</v>
      </c>
      <c r="AG79">
        <v>0.88512043063107759</v>
      </c>
      <c r="AH79">
        <v>0.93612473115228356</v>
      </c>
      <c r="AI79">
        <v>0.2291652202546611</v>
      </c>
      <c r="AJ79">
        <v>9.824642247746615E-2</v>
      </c>
      <c r="AK79">
        <v>0.40522854699364452</v>
      </c>
      <c r="AL79">
        <v>0.30698212451617829</v>
      </c>
      <c r="AM79">
        <v>5.1004300521205907E-2</v>
      </c>
      <c r="AN79">
        <v>6.3875268847716438E-2</v>
      </c>
    </row>
    <row r="80" spans="1:40" x14ac:dyDescent="0.25">
      <c r="A80" t="s">
        <v>557</v>
      </c>
      <c r="B80" t="s">
        <v>30</v>
      </c>
      <c r="C80" t="s">
        <v>780</v>
      </c>
      <c r="D80">
        <v>45111573</v>
      </c>
      <c r="E80">
        <v>208008</v>
      </c>
      <c r="F80">
        <v>1746878</v>
      </c>
      <c r="G80">
        <v>0.1191</v>
      </c>
      <c r="H80">
        <v>217</v>
      </c>
      <c r="I80">
        <v>65683632</v>
      </c>
      <c r="J80">
        <v>241310</v>
      </c>
      <c r="K80">
        <v>1785360</v>
      </c>
      <c r="L80">
        <v>0.13519999999999999</v>
      </c>
      <c r="M80">
        <v>272</v>
      </c>
      <c r="N80">
        <v>-0.31319999999999998</v>
      </c>
      <c r="O80">
        <v>-0.13800000000000001</v>
      </c>
      <c r="P80">
        <v>-2.1600000000000001E-2</v>
      </c>
      <c r="Q80">
        <v>-1.61E-2</v>
      </c>
      <c r="R80">
        <v>-0.20319999999999999</v>
      </c>
      <c r="S80">
        <v>19120756</v>
      </c>
      <c r="T80">
        <v>26456882</v>
      </c>
      <c r="U80">
        <v>29737276</v>
      </c>
      <c r="V80">
        <v>41299086</v>
      </c>
      <c r="W80">
        <v>43185713</v>
      </c>
      <c r="X80">
        <v>7336126</v>
      </c>
      <c r="Y80">
        <v>3280394</v>
      </c>
      <c r="Z80">
        <v>14842204</v>
      </c>
      <c r="AA80">
        <v>11561810</v>
      </c>
      <c r="AB80">
        <v>1886627</v>
      </c>
      <c r="AC80">
        <v>1925860</v>
      </c>
      <c r="AD80">
        <v>0.423854783339078</v>
      </c>
      <c r="AE80">
        <v>0.58647660102652599</v>
      </c>
      <c r="AF80">
        <v>0.65919395007573778</v>
      </c>
      <c r="AG80">
        <v>0.91548760669462803</v>
      </c>
      <c r="AH80">
        <v>0.9573089592774785</v>
      </c>
      <c r="AI80">
        <v>0.16262181768744799</v>
      </c>
      <c r="AJ80">
        <v>7.271734904921183E-2</v>
      </c>
      <c r="AK80">
        <v>0.32901100566810199</v>
      </c>
      <c r="AL80">
        <v>0.25629365661889031</v>
      </c>
      <c r="AM80">
        <v>4.1821352582850517E-2</v>
      </c>
      <c r="AN80">
        <v>4.2691040722521473E-2</v>
      </c>
    </row>
    <row r="81" spans="1:40" x14ac:dyDescent="0.25">
      <c r="A81" t="s">
        <v>558</v>
      </c>
      <c r="B81" t="s">
        <v>30</v>
      </c>
      <c r="C81" t="s">
        <v>781</v>
      </c>
      <c r="D81">
        <v>54120631</v>
      </c>
      <c r="E81">
        <v>230187</v>
      </c>
      <c r="F81">
        <v>2024802</v>
      </c>
      <c r="G81">
        <v>0.1137</v>
      </c>
      <c r="H81">
        <v>235</v>
      </c>
      <c r="I81">
        <v>68961447</v>
      </c>
      <c r="J81">
        <v>249892</v>
      </c>
      <c r="K81">
        <v>1634412</v>
      </c>
      <c r="L81">
        <v>0.15290000000000001</v>
      </c>
      <c r="M81">
        <v>276</v>
      </c>
      <c r="N81">
        <v>-0.2152</v>
      </c>
      <c r="O81">
        <v>-7.8899999999999998E-2</v>
      </c>
      <c r="P81">
        <v>0.2389</v>
      </c>
      <c r="Q81">
        <v>-3.9199999999999999E-2</v>
      </c>
      <c r="R81">
        <v>-0.14799999999999999</v>
      </c>
      <c r="S81">
        <v>23595396</v>
      </c>
      <c r="T81">
        <v>34136075</v>
      </c>
      <c r="U81">
        <v>38301047</v>
      </c>
      <c r="V81">
        <v>50165471</v>
      </c>
      <c r="W81">
        <v>52068861</v>
      </c>
      <c r="X81">
        <v>10540679</v>
      </c>
      <c r="Y81">
        <v>4164972</v>
      </c>
      <c r="Z81">
        <v>16029396</v>
      </c>
      <c r="AA81">
        <v>11864424</v>
      </c>
      <c r="AB81">
        <v>1903390</v>
      </c>
      <c r="AC81">
        <v>2051770</v>
      </c>
      <c r="AD81">
        <v>0.43597784364339731</v>
      </c>
      <c r="AE81">
        <v>0.63074052111476675</v>
      </c>
      <c r="AF81">
        <v>0.70769771697599015</v>
      </c>
      <c r="AG81">
        <v>0.92691955125209091</v>
      </c>
      <c r="AH81">
        <v>0.96208894903682851</v>
      </c>
      <c r="AI81">
        <v>0.19476267747136949</v>
      </c>
      <c r="AJ81">
        <v>7.6957195861223418E-2</v>
      </c>
      <c r="AK81">
        <v>0.29617903013732422</v>
      </c>
      <c r="AL81">
        <v>0.2192218342761007</v>
      </c>
      <c r="AM81">
        <v>3.5169397784737579E-2</v>
      </c>
      <c r="AN81">
        <v>3.791105096317151E-2</v>
      </c>
    </row>
    <row r="82" spans="1:40" x14ac:dyDescent="0.25">
      <c r="A82" t="s">
        <v>559</v>
      </c>
      <c r="B82" t="s">
        <v>30</v>
      </c>
      <c r="C82" t="s">
        <v>782</v>
      </c>
      <c r="D82">
        <v>19136257</v>
      </c>
      <c r="E82">
        <v>144678</v>
      </c>
      <c r="F82">
        <v>1258707</v>
      </c>
      <c r="G82">
        <v>0.1149</v>
      </c>
      <c r="H82">
        <v>132</v>
      </c>
      <c r="I82">
        <v>26932215</v>
      </c>
      <c r="J82">
        <v>135501</v>
      </c>
      <c r="K82">
        <v>1320699</v>
      </c>
      <c r="L82">
        <v>0.1026</v>
      </c>
      <c r="M82">
        <v>199</v>
      </c>
      <c r="N82">
        <v>-0.28949999999999998</v>
      </c>
      <c r="O82">
        <v>6.7699999999999996E-2</v>
      </c>
      <c r="P82">
        <v>-4.6899999999999997E-2</v>
      </c>
      <c r="Q82">
        <v>1.23E-2</v>
      </c>
      <c r="R82">
        <v>-0.33450000000000002</v>
      </c>
      <c r="S82">
        <v>5236567</v>
      </c>
      <c r="T82">
        <v>9178141</v>
      </c>
      <c r="U82">
        <v>10850462</v>
      </c>
      <c r="V82">
        <v>16707198</v>
      </c>
      <c r="W82">
        <v>17807789</v>
      </c>
      <c r="X82">
        <v>3941574</v>
      </c>
      <c r="Y82">
        <v>1672321</v>
      </c>
      <c r="Z82">
        <v>7529057</v>
      </c>
      <c r="AA82">
        <v>5856736</v>
      </c>
      <c r="AB82">
        <v>1100591</v>
      </c>
      <c r="AC82">
        <v>1328468</v>
      </c>
      <c r="AD82">
        <v>0.27364635623361461</v>
      </c>
      <c r="AE82">
        <v>0.4796204921369942</v>
      </c>
      <c r="AF82">
        <v>0.56701067507611336</v>
      </c>
      <c r="AG82">
        <v>0.87306509313707481</v>
      </c>
      <c r="AH82">
        <v>0.93057848251097375</v>
      </c>
      <c r="AI82">
        <v>0.20597413590337971</v>
      </c>
      <c r="AJ82">
        <v>8.7390182939119182E-2</v>
      </c>
      <c r="AK82">
        <v>0.39344460100008061</v>
      </c>
      <c r="AL82">
        <v>0.30605441806096151</v>
      </c>
      <c r="AM82">
        <v>5.7513389373898979E-2</v>
      </c>
      <c r="AN82">
        <v>6.9421517489026197E-2</v>
      </c>
    </row>
    <row r="83" spans="1:40" x14ac:dyDescent="0.25">
      <c r="A83" t="s">
        <v>560</v>
      </c>
      <c r="B83" t="s">
        <v>30</v>
      </c>
      <c r="C83" t="s">
        <v>783</v>
      </c>
      <c r="D83">
        <v>29016652</v>
      </c>
      <c r="E83">
        <v>209619</v>
      </c>
      <c r="F83">
        <v>1512737</v>
      </c>
      <c r="G83">
        <v>0.1386</v>
      </c>
      <c r="H83">
        <v>138</v>
      </c>
      <c r="I83">
        <v>31213408</v>
      </c>
      <c r="J83">
        <v>149593</v>
      </c>
      <c r="K83">
        <v>1358088</v>
      </c>
      <c r="L83">
        <v>0.1101</v>
      </c>
      <c r="M83">
        <v>209</v>
      </c>
      <c r="N83">
        <v>-7.0400000000000004E-2</v>
      </c>
      <c r="O83">
        <v>0.40129999999999999</v>
      </c>
      <c r="P83">
        <v>0.1139</v>
      </c>
      <c r="Q83">
        <v>2.8400000000000002E-2</v>
      </c>
      <c r="R83">
        <v>-0.33660000000000001</v>
      </c>
      <c r="S83">
        <v>8220867</v>
      </c>
      <c r="T83">
        <v>13629791</v>
      </c>
      <c r="U83">
        <v>16358831</v>
      </c>
      <c r="V83">
        <v>25868827</v>
      </c>
      <c r="W83">
        <v>27358421</v>
      </c>
      <c r="X83">
        <v>5408924</v>
      </c>
      <c r="Y83">
        <v>2729040</v>
      </c>
      <c r="Z83">
        <v>12239036</v>
      </c>
      <c r="AA83">
        <v>9509996</v>
      </c>
      <c r="AB83">
        <v>1489594</v>
      </c>
      <c r="AC83">
        <v>1658231</v>
      </c>
      <c r="AD83">
        <v>0.28331549070513029</v>
      </c>
      <c r="AE83">
        <v>0.46972307487438592</v>
      </c>
      <c r="AF83">
        <v>0.56377389782942566</v>
      </c>
      <c r="AG83">
        <v>0.89151660225997131</v>
      </c>
      <c r="AH83">
        <v>0.94285243521547557</v>
      </c>
      <c r="AI83">
        <v>0.18640758416925571</v>
      </c>
      <c r="AJ83">
        <v>9.4050822955039748E-2</v>
      </c>
      <c r="AK83">
        <v>0.42179352738558529</v>
      </c>
      <c r="AL83">
        <v>0.32774270443054559</v>
      </c>
      <c r="AM83">
        <v>5.1335832955504312E-2</v>
      </c>
      <c r="AN83">
        <v>5.7147564784524423E-2</v>
      </c>
    </row>
    <row r="84" spans="1:40" x14ac:dyDescent="0.25">
      <c r="A84" t="s">
        <v>561</v>
      </c>
      <c r="B84" t="s">
        <v>30</v>
      </c>
      <c r="C84" t="s">
        <v>784</v>
      </c>
      <c r="D84">
        <v>27279687</v>
      </c>
      <c r="E84">
        <v>167180</v>
      </c>
      <c r="F84">
        <v>1284769</v>
      </c>
      <c r="G84">
        <v>0.13009999999999999</v>
      </c>
      <c r="H84">
        <v>163</v>
      </c>
      <c r="I84">
        <v>37863326</v>
      </c>
      <c r="J84">
        <v>167527</v>
      </c>
      <c r="K84">
        <v>1420107</v>
      </c>
      <c r="L84">
        <v>0.11799999999999999</v>
      </c>
      <c r="M84">
        <v>226</v>
      </c>
      <c r="N84">
        <v>-0.27950000000000003</v>
      </c>
      <c r="O84">
        <v>-2.0999999999999999E-3</v>
      </c>
      <c r="P84">
        <v>-9.5299999999999996E-2</v>
      </c>
      <c r="Q84">
        <v>1.2200000000000001E-2</v>
      </c>
      <c r="R84">
        <v>-0.27800000000000002</v>
      </c>
      <c r="S84">
        <v>8910257</v>
      </c>
      <c r="T84">
        <v>14201795</v>
      </c>
      <c r="U84">
        <v>16299770</v>
      </c>
      <c r="V84">
        <v>24242681</v>
      </c>
      <c r="W84">
        <v>25745698</v>
      </c>
      <c r="X84">
        <v>5291538</v>
      </c>
      <c r="Y84">
        <v>2097975</v>
      </c>
      <c r="Z84">
        <v>10040886</v>
      </c>
      <c r="AA84">
        <v>7942911</v>
      </c>
      <c r="AB84">
        <v>1503017</v>
      </c>
      <c r="AC84">
        <v>1533989</v>
      </c>
      <c r="AD84">
        <v>0.32662607162611512</v>
      </c>
      <c r="AE84">
        <v>0.52059963151336741</v>
      </c>
      <c r="AF84">
        <v>0.59750575583950061</v>
      </c>
      <c r="AG84">
        <v>0.8886715232473158</v>
      </c>
      <c r="AH84">
        <v>0.94376808648867561</v>
      </c>
      <c r="AI84">
        <v>0.1939735598872524</v>
      </c>
      <c r="AJ84">
        <v>7.690612432613321E-2</v>
      </c>
      <c r="AK84">
        <v>0.36807189173394839</v>
      </c>
      <c r="AL84">
        <v>0.29116576740781519</v>
      </c>
      <c r="AM84">
        <v>5.5096563241359767E-2</v>
      </c>
      <c r="AN84">
        <v>5.623191351132438E-2</v>
      </c>
    </row>
    <row r="85" spans="1:40" x14ac:dyDescent="0.25">
      <c r="A85" t="s">
        <v>562</v>
      </c>
      <c r="B85" t="s">
        <v>30</v>
      </c>
      <c r="C85" t="s">
        <v>785</v>
      </c>
      <c r="I85">
        <v>76580369</v>
      </c>
      <c r="J85">
        <v>243512</v>
      </c>
      <c r="K85">
        <v>1950695</v>
      </c>
      <c r="L85">
        <v>0.12479999999999999</v>
      </c>
      <c r="M85">
        <v>314</v>
      </c>
      <c r="S85">
        <v>24701495</v>
      </c>
      <c r="T85">
        <v>33408831</v>
      </c>
      <c r="U85">
        <v>38737578</v>
      </c>
      <c r="V85">
        <v>50687096</v>
      </c>
      <c r="W85">
        <v>52858423</v>
      </c>
      <c r="X85">
        <v>8707336</v>
      </c>
      <c r="Y85">
        <v>5328747</v>
      </c>
      <c r="Z85">
        <v>17278265</v>
      </c>
      <c r="AA85">
        <v>11949518</v>
      </c>
      <c r="AB85">
        <v>2171327</v>
      </c>
    </row>
  </sheetData>
  <phoneticPr fontId="22" type="noConversion"/>
  <pageMargins left="0.75" right="0.75" top="1" bottom="1" header="0.5" footer="0.5"/>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89CC-9078-42C5-A709-DA24FEDC0E0E}">
  <dimension ref="A1:AT73"/>
  <sheetViews>
    <sheetView topLeftCell="A25" workbookViewId="0">
      <selection activeCell="A73" sqref="A73"/>
    </sheetView>
  </sheetViews>
  <sheetFormatPr defaultRowHeight="14" x14ac:dyDescent="0.25"/>
  <sheetData>
    <row r="1" spans="1:46" x14ac:dyDescent="0.25">
      <c r="A1" s="263" t="s">
        <v>482</v>
      </c>
      <c r="B1" s="263" t="s">
        <v>711</v>
      </c>
      <c r="C1" s="263" t="s">
        <v>712</v>
      </c>
      <c r="D1" s="263" t="s">
        <v>106</v>
      </c>
      <c r="E1" s="263" t="s">
        <v>10950</v>
      </c>
      <c r="F1" s="263" t="s">
        <v>107</v>
      </c>
      <c r="G1" s="263" t="s">
        <v>10951</v>
      </c>
      <c r="H1" s="263" t="s">
        <v>12378</v>
      </c>
      <c r="I1" s="263" t="s">
        <v>10952</v>
      </c>
      <c r="J1" s="263" t="s">
        <v>12379</v>
      </c>
      <c r="K1" s="263" t="s">
        <v>10953</v>
      </c>
      <c r="L1" s="263" t="s">
        <v>3154</v>
      </c>
      <c r="M1" s="263" t="s">
        <v>12377</v>
      </c>
      <c r="N1" s="263" t="s">
        <v>10954</v>
      </c>
      <c r="O1" s="263" t="s">
        <v>10955</v>
      </c>
      <c r="P1" s="263" t="s">
        <v>3156</v>
      </c>
      <c r="Q1" s="263" t="s">
        <v>10956</v>
      </c>
      <c r="R1" s="263" t="s">
        <v>3157</v>
      </c>
      <c r="S1" s="263" t="s">
        <v>10957</v>
      </c>
      <c r="T1" s="263" t="s">
        <v>10958</v>
      </c>
      <c r="U1" s="263" t="s">
        <v>10959</v>
      </c>
      <c r="V1" s="263" t="s">
        <v>3177</v>
      </c>
      <c r="W1" s="263" t="s">
        <v>3178</v>
      </c>
      <c r="X1" s="263" t="s">
        <v>3179</v>
      </c>
      <c r="Y1" s="263" t="s">
        <v>3180</v>
      </c>
      <c r="Z1" s="263" t="s">
        <v>3181</v>
      </c>
      <c r="AA1" s="263" t="s">
        <v>3182</v>
      </c>
      <c r="AB1" s="263" t="s">
        <v>3183</v>
      </c>
      <c r="AC1" s="263" t="s">
        <v>3184</v>
      </c>
      <c r="AD1" s="263" t="s">
        <v>3185</v>
      </c>
      <c r="AE1" s="263" t="s">
        <v>3186</v>
      </c>
      <c r="AF1" s="263" t="s">
        <v>3187</v>
      </c>
      <c r="AG1" s="263" t="s">
        <v>3188</v>
      </c>
      <c r="AH1" s="263" t="s">
        <v>3189</v>
      </c>
      <c r="AI1" s="263" t="s">
        <v>3190</v>
      </c>
      <c r="AJ1" s="263" t="s">
        <v>3191</v>
      </c>
      <c r="AK1" s="263" t="s">
        <v>3192</v>
      </c>
      <c r="AL1" s="263" t="s">
        <v>3193</v>
      </c>
      <c r="AM1" s="263" t="s">
        <v>3194</v>
      </c>
      <c r="AN1" s="263" t="s">
        <v>3195</v>
      </c>
      <c r="AO1" s="263" t="s">
        <v>3196</v>
      </c>
      <c r="AP1" s="263" t="s">
        <v>3197</v>
      </c>
      <c r="AQ1" s="263" t="s">
        <v>3198</v>
      </c>
      <c r="AR1" s="263" t="s">
        <v>3199</v>
      </c>
      <c r="AS1" s="263" t="s">
        <v>3200</v>
      </c>
      <c r="AT1" s="263" t="s">
        <v>3201</v>
      </c>
    </row>
    <row r="2" spans="1:46" x14ac:dyDescent="0.25">
      <c r="A2" s="263" t="s">
        <v>541</v>
      </c>
      <c r="B2" s="263" t="s">
        <v>29</v>
      </c>
      <c r="C2" s="263" t="s">
        <v>716</v>
      </c>
      <c r="D2" s="263" t="s">
        <v>10960</v>
      </c>
      <c r="E2" s="263" t="s">
        <v>10961</v>
      </c>
      <c r="F2" s="263" t="s">
        <v>10962</v>
      </c>
      <c r="G2" s="263" t="s">
        <v>10963</v>
      </c>
      <c r="H2" s="263" t="s">
        <v>10964</v>
      </c>
      <c r="I2" s="263" t="s">
        <v>10965</v>
      </c>
      <c r="J2" s="263" t="s">
        <v>10966</v>
      </c>
      <c r="K2" s="263" t="s">
        <v>10967</v>
      </c>
      <c r="L2" s="263" t="s">
        <v>10968</v>
      </c>
      <c r="M2" s="263" t="s">
        <v>10969</v>
      </c>
      <c r="N2" s="263" t="s">
        <v>10970</v>
      </c>
      <c r="O2" s="263" t="s">
        <v>10971</v>
      </c>
      <c r="P2" s="263" t="s">
        <v>10972</v>
      </c>
      <c r="Q2" s="263" t="s">
        <v>10973</v>
      </c>
      <c r="R2" s="263" t="s">
        <v>10974</v>
      </c>
      <c r="S2" s="263" t="s">
        <v>10975</v>
      </c>
      <c r="T2" s="263" t="s">
        <v>10976</v>
      </c>
      <c r="U2" s="263" t="s">
        <v>10977</v>
      </c>
      <c r="V2" s="263" t="s">
        <v>10978</v>
      </c>
      <c r="W2" s="263" t="s">
        <v>10979</v>
      </c>
      <c r="X2" s="263" t="s">
        <v>10980</v>
      </c>
      <c r="Y2" s="263" t="s">
        <v>10981</v>
      </c>
      <c r="Z2" s="263" t="s">
        <v>10982</v>
      </c>
      <c r="AA2" s="263" t="s">
        <v>10983</v>
      </c>
      <c r="AB2" s="263" t="s">
        <v>10984</v>
      </c>
      <c r="AC2" s="263" t="s">
        <v>10985</v>
      </c>
      <c r="AD2" s="263" t="s">
        <v>10986</v>
      </c>
      <c r="AE2" s="263" t="s">
        <v>10987</v>
      </c>
      <c r="AF2" s="263" t="s">
        <v>10988</v>
      </c>
      <c r="AG2" s="263" t="s">
        <v>10989</v>
      </c>
      <c r="AH2" s="263" t="s">
        <v>10990</v>
      </c>
      <c r="AI2" s="263" t="s">
        <v>10991</v>
      </c>
      <c r="AJ2" s="263" t="s">
        <v>10992</v>
      </c>
      <c r="AK2" s="263" t="s">
        <v>10993</v>
      </c>
      <c r="AL2" s="263" t="s">
        <v>10994</v>
      </c>
      <c r="AM2" s="263" t="s">
        <v>10995</v>
      </c>
      <c r="AN2" s="263" t="s">
        <v>10996</v>
      </c>
      <c r="AO2" s="263" t="s">
        <v>10997</v>
      </c>
      <c r="AP2" s="263" t="s">
        <v>10998</v>
      </c>
      <c r="AQ2" s="263" t="s">
        <v>10999</v>
      </c>
      <c r="AR2" s="263" t="s">
        <v>11000</v>
      </c>
      <c r="AS2" s="263" t="s">
        <v>11001</v>
      </c>
      <c r="AT2" s="263" t="s">
        <v>11002</v>
      </c>
    </row>
    <row r="3" spans="1:46" x14ac:dyDescent="0.25">
      <c r="A3" s="263" t="s">
        <v>541</v>
      </c>
      <c r="B3" s="263" t="s">
        <v>28</v>
      </c>
      <c r="C3" s="263" t="s">
        <v>740</v>
      </c>
      <c r="D3" s="263" t="s">
        <v>11003</v>
      </c>
      <c r="E3" s="263" t="s">
        <v>11004</v>
      </c>
      <c r="F3" s="263" t="s">
        <v>11005</v>
      </c>
      <c r="G3" s="263">
        <v>1.1399999999999999</v>
      </c>
      <c r="H3" s="263" t="s">
        <v>11007</v>
      </c>
      <c r="I3" s="263" t="s">
        <v>11008</v>
      </c>
      <c r="J3" s="263" t="s">
        <v>11009</v>
      </c>
      <c r="K3" s="263" t="s">
        <v>11010</v>
      </c>
      <c r="L3" s="263" t="s">
        <v>11011</v>
      </c>
      <c r="M3" s="263" t="s">
        <v>11006</v>
      </c>
      <c r="N3" s="263" t="s">
        <v>10970</v>
      </c>
      <c r="O3" s="263" t="s">
        <v>11012</v>
      </c>
      <c r="P3" s="263" t="s">
        <v>11013</v>
      </c>
      <c r="Q3" s="263" t="s">
        <v>11014</v>
      </c>
      <c r="R3" s="263" t="s">
        <v>11015</v>
      </c>
      <c r="S3" s="263"/>
      <c r="T3" s="263" t="s">
        <v>11016</v>
      </c>
      <c r="U3" s="263" t="s">
        <v>11017</v>
      </c>
      <c r="V3" s="263"/>
      <c r="W3" s="263"/>
      <c r="X3" s="263"/>
      <c r="Y3" s="263"/>
      <c r="Z3" s="263"/>
      <c r="AA3" s="263"/>
      <c r="AB3" s="263"/>
      <c r="AC3" s="263"/>
      <c r="AD3" s="263"/>
      <c r="AE3" s="263"/>
      <c r="AF3" s="263"/>
      <c r="AG3" s="263"/>
      <c r="AH3" s="263"/>
      <c r="AI3" s="263"/>
      <c r="AJ3" s="263"/>
      <c r="AK3" s="263"/>
      <c r="AL3" s="263"/>
      <c r="AM3" s="263"/>
      <c r="AN3" s="263"/>
      <c r="AO3" s="263"/>
      <c r="AP3" s="263"/>
      <c r="AQ3" s="263"/>
      <c r="AR3" s="263"/>
      <c r="AS3" s="263"/>
      <c r="AT3" s="263"/>
    </row>
    <row r="4" spans="1:46" x14ac:dyDescent="0.25">
      <c r="A4" s="263" t="s">
        <v>541</v>
      </c>
      <c r="B4" s="263" t="s">
        <v>30</v>
      </c>
      <c r="C4" s="263" t="s">
        <v>764</v>
      </c>
      <c r="D4" s="263" t="s">
        <v>10982</v>
      </c>
      <c r="E4" s="263" t="s">
        <v>11018</v>
      </c>
      <c r="F4" s="263" t="s">
        <v>11019</v>
      </c>
      <c r="G4" s="263" t="s">
        <v>11020</v>
      </c>
      <c r="H4" s="263" t="s">
        <v>11021</v>
      </c>
      <c r="I4" s="263" t="s">
        <v>11022</v>
      </c>
      <c r="J4" s="263" t="s">
        <v>11023</v>
      </c>
      <c r="K4" s="263" t="s">
        <v>11024</v>
      </c>
      <c r="L4" s="263" t="s">
        <v>11025</v>
      </c>
      <c r="M4" s="263" t="s">
        <v>11026</v>
      </c>
      <c r="N4" s="263" t="s">
        <v>11027</v>
      </c>
      <c r="O4" s="263" t="s">
        <v>11028</v>
      </c>
      <c r="P4" s="263" t="s">
        <v>11029</v>
      </c>
      <c r="Q4" s="263" t="s">
        <v>11030</v>
      </c>
      <c r="R4" s="263" t="s">
        <v>11031</v>
      </c>
      <c r="S4" s="263" t="s">
        <v>11015</v>
      </c>
      <c r="T4" s="263" t="s">
        <v>11032</v>
      </c>
      <c r="U4" s="263" t="s">
        <v>11033</v>
      </c>
      <c r="V4" s="263"/>
      <c r="W4" s="263"/>
      <c r="X4" s="263"/>
      <c r="Y4" s="263"/>
      <c r="Z4" s="263"/>
      <c r="AA4" s="263"/>
      <c r="AB4" s="263"/>
      <c r="AC4" s="263"/>
      <c r="AD4" s="263"/>
      <c r="AE4" s="263"/>
      <c r="AF4" s="263"/>
      <c r="AG4" s="263"/>
      <c r="AH4" s="263"/>
      <c r="AI4" s="263"/>
      <c r="AJ4" s="263"/>
      <c r="AK4" s="263"/>
      <c r="AL4" s="263"/>
      <c r="AM4" s="263"/>
      <c r="AN4" s="263"/>
      <c r="AO4" s="263"/>
      <c r="AP4" s="263"/>
      <c r="AQ4" s="263"/>
      <c r="AR4" s="263"/>
      <c r="AS4" s="263"/>
      <c r="AT4" s="263"/>
    </row>
    <row r="5" spans="1:46" x14ac:dyDescent="0.25">
      <c r="A5" s="263" t="s">
        <v>542</v>
      </c>
      <c r="B5" s="263" t="s">
        <v>29</v>
      </c>
      <c r="C5" s="263" t="s">
        <v>717</v>
      </c>
      <c r="D5" s="263" t="s">
        <v>11034</v>
      </c>
      <c r="E5" s="263" t="s">
        <v>11035</v>
      </c>
      <c r="F5" s="263" t="s">
        <v>11036</v>
      </c>
      <c r="G5" s="263" t="s">
        <v>11037</v>
      </c>
      <c r="H5" s="263" t="s">
        <v>11038</v>
      </c>
      <c r="I5" s="263" t="s">
        <v>11039</v>
      </c>
      <c r="J5" s="263" t="s">
        <v>11040</v>
      </c>
      <c r="K5" s="263" t="s">
        <v>11041</v>
      </c>
      <c r="L5" s="263" t="s">
        <v>11042</v>
      </c>
      <c r="M5" s="263" t="s">
        <v>11043</v>
      </c>
      <c r="N5" s="263" t="s">
        <v>11007</v>
      </c>
      <c r="O5" s="263" t="s">
        <v>11044</v>
      </c>
      <c r="P5" s="263" t="s">
        <v>11045</v>
      </c>
      <c r="Q5" s="263" t="s">
        <v>11046</v>
      </c>
      <c r="R5" s="263" t="s">
        <v>11047</v>
      </c>
      <c r="S5" s="263" t="s">
        <v>11048</v>
      </c>
      <c r="T5" s="263" t="s">
        <v>11049</v>
      </c>
      <c r="U5" s="263" t="s">
        <v>11050</v>
      </c>
      <c r="V5" s="263" t="s">
        <v>11051</v>
      </c>
      <c r="W5" s="263" t="s">
        <v>11052</v>
      </c>
      <c r="X5" s="263" t="s">
        <v>11053</v>
      </c>
      <c r="Y5" s="263" t="s">
        <v>11054</v>
      </c>
      <c r="Z5" s="263" t="s">
        <v>11055</v>
      </c>
      <c r="AA5" s="263" t="s">
        <v>11056</v>
      </c>
      <c r="AB5" s="263" t="s">
        <v>11057</v>
      </c>
      <c r="AC5" s="263" t="s">
        <v>11058</v>
      </c>
      <c r="AD5" s="263" t="s">
        <v>11059</v>
      </c>
      <c r="AE5" s="263" t="s">
        <v>11060</v>
      </c>
      <c r="AF5" s="263" t="s">
        <v>11061</v>
      </c>
      <c r="AG5" s="263" t="s">
        <v>11062</v>
      </c>
      <c r="AH5" s="263" t="s">
        <v>11063</v>
      </c>
      <c r="AI5" s="263" t="s">
        <v>11064</v>
      </c>
      <c r="AJ5" s="263" t="s">
        <v>11065</v>
      </c>
      <c r="AK5" s="263" t="s">
        <v>11066</v>
      </c>
      <c r="AL5" s="263" t="s">
        <v>11067</v>
      </c>
      <c r="AM5" s="263" t="s">
        <v>11068</v>
      </c>
      <c r="AN5" s="263" t="s">
        <v>11069</v>
      </c>
      <c r="AO5" s="263" t="s">
        <v>11070</v>
      </c>
      <c r="AP5" s="263" t="s">
        <v>11071</v>
      </c>
      <c r="AQ5" s="263" t="s">
        <v>11072</v>
      </c>
      <c r="AR5" s="263" t="s">
        <v>11073</v>
      </c>
      <c r="AS5" s="263" t="s">
        <v>11074</v>
      </c>
      <c r="AT5" s="263" t="s">
        <v>11075</v>
      </c>
    </row>
    <row r="6" spans="1:46" x14ac:dyDescent="0.25">
      <c r="A6" s="263" t="s">
        <v>542</v>
      </c>
      <c r="B6" s="263" t="s">
        <v>28</v>
      </c>
      <c r="C6" s="263" t="s">
        <v>741</v>
      </c>
      <c r="D6" s="263" t="s">
        <v>11076</v>
      </c>
      <c r="E6" s="263" t="s">
        <v>11077</v>
      </c>
      <c r="F6" s="263" t="s">
        <v>11078</v>
      </c>
      <c r="G6" s="263" t="s">
        <v>11079</v>
      </c>
      <c r="H6" s="263" t="s">
        <v>11007</v>
      </c>
      <c r="I6" s="263" t="s">
        <v>11080</v>
      </c>
      <c r="J6" s="263" t="s">
        <v>11081</v>
      </c>
      <c r="K6" s="263" t="s">
        <v>11082</v>
      </c>
      <c r="L6" s="263" t="s">
        <v>11083</v>
      </c>
      <c r="M6" s="263" t="s">
        <v>11079</v>
      </c>
      <c r="N6" s="263" t="s">
        <v>11084</v>
      </c>
      <c r="O6" s="263" t="s">
        <v>11085</v>
      </c>
      <c r="P6" s="263" t="s">
        <v>11086</v>
      </c>
      <c r="Q6" s="263" t="s">
        <v>11087</v>
      </c>
      <c r="R6" s="263" t="s">
        <v>11088</v>
      </c>
      <c r="S6" s="263"/>
      <c r="T6" s="263" t="s">
        <v>11089</v>
      </c>
      <c r="U6" s="263" t="s">
        <v>11090</v>
      </c>
      <c r="V6" s="263"/>
      <c r="W6" s="263"/>
      <c r="X6" s="263"/>
      <c r="Y6" s="263"/>
      <c r="Z6" s="263"/>
      <c r="AA6" s="263"/>
      <c r="AB6" s="263"/>
      <c r="AC6" s="263"/>
      <c r="AD6" s="263"/>
      <c r="AE6" s="263"/>
      <c r="AF6" s="263"/>
      <c r="AG6" s="263"/>
      <c r="AH6" s="263"/>
      <c r="AI6" s="263"/>
      <c r="AJ6" s="263"/>
      <c r="AK6" s="263"/>
      <c r="AL6" s="263"/>
      <c r="AM6" s="263"/>
      <c r="AN6" s="263"/>
      <c r="AO6" s="263"/>
      <c r="AP6" s="263"/>
      <c r="AQ6" s="263"/>
      <c r="AR6" s="263"/>
      <c r="AS6" s="263"/>
      <c r="AT6" s="263"/>
    </row>
    <row r="7" spans="1:46" x14ac:dyDescent="0.25">
      <c r="A7" s="263" t="s">
        <v>542</v>
      </c>
      <c r="B7" s="263" t="s">
        <v>30</v>
      </c>
      <c r="C7" s="263" t="s">
        <v>765</v>
      </c>
      <c r="D7" s="263" t="s">
        <v>11055</v>
      </c>
      <c r="E7" s="263" t="s">
        <v>11091</v>
      </c>
      <c r="F7" s="263" t="s">
        <v>11092</v>
      </c>
      <c r="G7" s="263" t="s">
        <v>11093</v>
      </c>
      <c r="H7" s="263" t="s">
        <v>11021</v>
      </c>
      <c r="I7" s="263" t="s">
        <v>11094</v>
      </c>
      <c r="J7" s="263" t="s">
        <v>11095</v>
      </c>
      <c r="K7" s="263" t="s">
        <v>11096</v>
      </c>
      <c r="L7" s="263" t="s">
        <v>11097</v>
      </c>
      <c r="M7" s="263" t="s">
        <v>11098</v>
      </c>
      <c r="N7" s="263" t="s">
        <v>11021</v>
      </c>
      <c r="O7" s="263" t="s">
        <v>11099</v>
      </c>
      <c r="P7" s="263" t="s">
        <v>11100</v>
      </c>
      <c r="Q7" s="263" t="s">
        <v>11101</v>
      </c>
      <c r="R7" s="263" t="s">
        <v>11102</v>
      </c>
      <c r="S7" s="263" t="s">
        <v>11103</v>
      </c>
      <c r="T7" s="263"/>
      <c r="U7" s="263" t="s">
        <v>11104</v>
      </c>
      <c r="V7" s="263"/>
      <c r="W7" s="263"/>
      <c r="X7" s="263"/>
      <c r="Y7" s="263"/>
      <c r="Z7" s="263"/>
      <c r="AA7" s="263"/>
      <c r="AB7" s="263"/>
      <c r="AC7" s="263"/>
      <c r="AD7" s="263"/>
      <c r="AE7" s="263"/>
      <c r="AF7" s="263"/>
      <c r="AG7" s="263"/>
      <c r="AH7" s="263"/>
      <c r="AI7" s="263"/>
      <c r="AJ7" s="263"/>
      <c r="AK7" s="263"/>
      <c r="AL7" s="263"/>
      <c r="AM7" s="263"/>
      <c r="AN7" s="263"/>
      <c r="AO7" s="263"/>
      <c r="AP7" s="263"/>
      <c r="AQ7" s="263"/>
      <c r="AR7" s="263"/>
      <c r="AS7" s="263"/>
      <c r="AT7" s="263"/>
    </row>
    <row r="8" spans="1:46" x14ac:dyDescent="0.25">
      <c r="A8" s="263" t="s">
        <v>543</v>
      </c>
      <c r="B8" s="263" t="s">
        <v>29</v>
      </c>
      <c r="C8" s="263" t="s">
        <v>718</v>
      </c>
      <c r="D8" s="263" t="s">
        <v>11105</v>
      </c>
      <c r="E8" s="263" t="s">
        <v>11106</v>
      </c>
      <c r="F8" s="263" t="s">
        <v>11107</v>
      </c>
      <c r="G8" s="263" t="s">
        <v>10963</v>
      </c>
      <c r="H8" s="263" t="s">
        <v>11108</v>
      </c>
      <c r="I8" s="263" t="s">
        <v>11109</v>
      </c>
      <c r="J8" s="263" t="s">
        <v>11110</v>
      </c>
      <c r="K8" s="263" t="s">
        <v>11111</v>
      </c>
      <c r="L8" s="263" t="s">
        <v>11112</v>
      </c>
      <c r="M8" s="263" t="s">
        <v>11113</v>
      </c>
      <c r="N8" s="263" t="s">
        <v>11114</v>
      </c>
      <c r="O8" s="263" t="s">
        <v>11115</v>
      </c>
      <c r="P8" s="263" t="s">
        <v>11116</v>
      </c>
      <c r="Q8" s="263" t="s">
        <v>11117</v>
      </c>
      <c r="R8" s="263" t="s">
        <v>11118</v>
      </c>
      <c r="S8" s="263" t="s">
        <v>11119</v>
      </c>
      <c r="T8" s="263" t="s">
        <v>11120</v>
      </c>
      <c r="U8" s="263" t="s">
        <v>11121</v>
      </c>
      <c r="V8" s="263" t="s">
        <v>11122</v>
      </c>
      <c r="W8" s="263" t="s">
        <v>11123</v>
      </c>
      <c r="X8" s="263" t="s">
        <v>11124</v>
      </c>
      <c r="Y8" s="263" t="s">
        <v>11125</v>
      </c>
      <c r="Z8" s="263" t="s">
        <v>11126</v>
      </c>
      <c r="AA8" s="263" t="s">
        <v>11127</v>
      </c>
      <c r="AB8" s="263" t="s">
        <v>11128</v>
      </c>
      <c r="AC8" s="263" t="s">
        <v>11129</v>
      </c>
      <c r="AD8" s="263" t="s">
        <v>11130</v>
      </c>
      <c r="AE8" s="263" t="s">
        <v>11131</v>
      </c>
      <c r="AF8" s="263" t="s">
        <v>11132</v>
      </c>
      <c r="AG8" s="263" t="s">
        <v>11133</v>
      </c>
      <c r="AH8" s="263" t="s">
        <v>11134</v>
      </c>
      <c r="AI8" s="263" t="s">
        <v>11135</v>
      </c>
      <c r="AJ8" s="263" t="s">
        <v>11136</v>
      </c>
      <c r="AK8" s="263" t="s">
        <v>11137</v>
      </c>
      <c r="AL8" s="263" t="s">
        <v>11138</v>
      </c>
      <c r="AM8" s="263" t="s">
        <v>11139</v>
      </c>
      <c r="AN8" s="263" t="s">
        <v>11140</v>
      </c>
      <c r="AO8" s="263" t="s">
        <v>11141</v>
      </c>
      <c r="AP8" s="263" t="s">
        <v>11142</v>
      </c>
      <c r="AQ8" s="263" t="s">
        <v>11143</v>
      </c>
      <c r="AR8" s="263" t="s">
        <v>11144</v>
      </c>
      <c r="AS8" s="263" t="s">
        <v>11145</v>
      </c>
      <c r="AT8" s="263" t="s">
        <v>11146</v>
      </c>
    </row>
    <row r="9" spans="1:46" x14ac:dyDescent="0.25">
      <c r="A9" s="263" t="s">
        <v>543</v>
      </c>
      <c r="B9" s="263" t="s">
        <v>28</v>
      </c>
      <c r="C9" s="263" t="s">
        <v>742</v>
      </c>
      <c r="D9" s="263" t="s">
        <v>11147</v>
      </c>
      <c r="E9" s="263" t="s">
        <v>11148</v>
      </c>
      <c r="F9" s="263" t="s">
        <v>11149</v>
      </c>
      <c r="G9" s="263" t="s">
        <v>11150</v>
      </c>
      <c r="H9" s="263" t="s">
        <v>10970</v>
      </c>
      <c r="I9" s="263" t="s">
        <v>11151</v>
      </c>
      <c r="J9" s="263" t="s">
        <v>11152</v>
      </c>
      <c r="K9" s="263" t="s">
        <v>11153</v>
      </c>
      <c r="L9" s="263" t="s">
        <v>11154</v>
      </c>
      <c r="M9" s="263" t="s">
        <v>11079</v>
      </c>
      <c r="N9" s="263" t="s">
        <v>11155</v>
      </c>
      <c r="O9" s="263" t="s">
        <v>11156</v>
      </c>
      <c r="P9" s="263" t="s">
        <v>11157</v>
      </c>
      <c r="Q9" s="263" t="s">
        <v>11158</v>
      </c>
      <c r="R9" s="263" t="s">
        <v>11159</v>
      </c>
      <c r="S9" s="263" t="s">
        <v>11160</v>
      </c>
      <c r="T9" s="263" t="s">
        <v>11161</v>
      </c>
      <c r="U9" s="263" t="s">
        <v>11162</v>
      </c>
      <c r="V9" s="263"/>
      <c r="W9" s="263"/>
      <c r="X9" s="263"/>
      <c r="Y9" s="263"/>
      <c r="Z9" s="263"/>
      <c r="AA9" s="263"/>
      <c r="AB9" s="263"/>
      <c r="AC9" s="263"/>
      <c r="AD9" s="263"/>
      <c r="AE9" s="263"/>
      <c r="AF9" s="263"/>
      <c r="AG9" s="263"/>
      <c r="AH9" s="263"/>
      <c r="AI9" s="263"/>
      <c r="AJ9" s="263"/>
      <c r="AK9" s="263"/>
      <c r="AL9" s="263"/>
      <c r="AM9" s="263"/>
      <c r="AN9" s="263"/>
      <c r="AO9" s="263"/>
      <c r="AP9" s="263"/>
      <c r="AQ9" s="263"/>
      <c r="AR9" s="263"/>
      <c r="AS9" s="263"/>
      <c r="AT9" s="263"/>
    </row>
    <row r="10" spans="1:46" x14ac:dyDescent="0.25">
      <c r="A10" s="263" t="s">
        <v>543</v>
      </c>
      <c r="B10" s="263" t="s">
        <v>30</v>
      </c>
      <c r="C10" s="263" t="s">
        <v>766</v>
      </c>
      <c r="D10" s="263" t="s">
        <v>11163</v>
      </c>
      <c r="E10" s="263" t="s">
        <v>11164</v>
      </c>
      <c r="F10" s="263" t="s">
        <v>11165</v>
      </c>
      <c r="G10" s="263" t="s">
        <v>11166</v>
      </c>
      <c r="H10" s="263" t="s">
        <v>11167</v>
      </c>
      <c r="I10" s="263" t="s">
        <v>11168</v>
      </c>
      <c r="J10" s="263" t="s">
        <v>11169</v>
      </c>
      <c r="K10" s="263" t="s">
        <v>11170</v>
      </c>
      <c r="L10" s="263" t="s">
        <v>11171</v>
      </c>
      <c r="M10" s="263" t="s">
        <v>11172</v>
      </c>
      <c r="N10" s="263" t="s">
        <v>11167</v>
      </c>
      <c r="O10" s="263" t="s">
        <v>11173</v>
      </c>
      <c r="P10" s="263" t="s">
        <v>11174</v>
      </c>
      <c r="Q10" s="263" t="s">
        <v>11175</v>
      </c>
      <c r="R10" s="263" t="s">
        <v>11176</v>
      </c>
      <c r="S10" s="263" t="s">
        <v>11177</v>
      </c>
      <c r="T10" s="263"/>
      <c r="U10" s="263" t="s">
        <v>11178</v>
      </c>
      <c r="V10" s="263"/>
      <c r="W10" s="263"/>
      <c r="X10" s="263"/>
      <c r="Y10" s="263"/>
      <c r="Z10" s="263"/>
      <c r="AA10" s="263"/>
      <c r="AB10" s="263"/>
      <c r="AC10" s="263"/>
      <c r="AD10" s="263"/>
      <c r="AE10" s="263"/>
      <c r="AF10" s="263"/>
      <c r="AG10" s="263"/>
      <c r="AH10" s="263"/>
      <c r="AI10" s="263"/>
      <c r="AJ10" s="263"/>
      <c r="AK10" s="263"/>
      <c r="AL10" s="263"/>
      <c r="AM10" s="263"/>
      <c r="AN10" s="263"/>
      <c r="AO10" s="263"/>
      <c r="AP10" s="263"/>
      <c r="AQ10" s="263"/>
      <c r="AR10" s="263"/>
      <c r="AS10" s="263"/>
      <c r="AT10" s="263"/>
    </row>
    <row r="11" spans="1:46" x14ac:dyDescent="0.25">
      <c r="A11" s="263" t="s">
        <v>544</v>
      </c>
      <c r="B11" s="263" t="s">
        <v>29</v>
      </c>
      <c r="C11" s="263" t="s">
        <v>719</v>
      </c>
      <c r="D11" s="263" t="s">
        <v>11179</v>
      </c>
      <c r="E11" s="263" t="s">
        <v>11180</v>
      </c>
      <c r="F11" s="263" t="s">
        <v>11181</v>
      </c>
      <c r="G11" s="263" t="s">
        <v>11182</v>
      </c>
      <c r="H11" s="263" t="s">
        <v>11108</v>
      </c>
      <c r="I11" s="263" t="s">
        <v>11183</v>
      </c>
      <c r="J11" s="263" t="s">
        <v>11184</v>
      </c>
      <c r="K11" s="263" t="s">
        <v>11185</v>
      </c>
      <c r="L11" s="263" t="s">
        <v>11186</v>
      </c>
      <c r="M11" s="263" t="s">
        <v>11187</v>
      </c>
      <c r="N11" s="263" t="s">
        <v>10964</v>
      </c>
      <c r="O11" s="263" t="s">
        <v>11188</v>
      </c>
      <c r="P11" s="263" t="s">
        <v>11189</v>
      </c>
      <c r="Q11" s="263" t="s">
        <v>11190</v>
      </c>
      <c r="R11" s="263" t="s">
        <v>11191</v>
      </c>
      <c r="S11" s="263" t="s">
        <v>11192</v>
      </c>
      <c r="T11" s="263" t="s">
        <v>11193</v>
      </c>
      <c r="U11" s="263" t="s">
        <v>11194</v>
      </c>
      <c r="V11" s="263" t="s">
        <v>11195</v>
      </c>
      <c r="W11" s="263" t="s">
        <v>11196</v>
      </c>
      <c r="X11" s="263" t="s">
        <v>11197</v>
      </c>
      <c r="Y11" s="263" t="s">
        <v>11198</v>
      </c>
      <c r="Z11" s="263" t="s">
        <v>11199</v>
      </c>
      <c r="AA11" s="263" t="s">
        <v>11200</v>
      </c>
      <c r="AB11" s="263" t="s">
        <v>11201</v>
      </c>
      <c r="AC11" s="263" t="s">
        <v>11202</v>
      </c>
      <c r="AD11" s="263" t="s">
        <v>11203</v>
      </c>
      <c r="AE11" s="263" t="s">
        <v>11204</v>
      </c>
      <c r="AF11" s="263" t="s">
        <v>11205</v>
      </c>
      <c r="AG11" s="263" t="s">
        <v>11206</v>
      </c>
      <c r="AH11" s="263" t="s">
        <v>11207</v>
      </c>
      <c r="AI11" s="263" t="s">
        <v>11208</v>
      </c>
      <c r="AJ11" s="263" t="s">
        <v>11209</v>
      </c>
      <c r="AK11" s="263" t="s">
        <v>11210</v>
      </c>
      <c r="AL11" s="263" t="s">
        <v>11211</v>
      </c>
      <c r="AM11" s="263" t="s">
        <v>11212</v>
      </c>
      <c r="AN11" s="263" t="s">
        <v>11213</v>
      </c>
      <c r="AO11" s="263" t="s">
        <v>11214</v>
      </c>
      <c r="AP11" s="263" t="s">
        <v>11215</v>
      </c>
      <c r="AQ11" s="263" t="s">
        <v>11216</v>
      </c>
      <c r="AR11" s="263" t="s">
        <v>11217</v>
      </c>
      <c r="AS11" s="263" t="s">
        <v>11218</v>
      </c>
      <c r="AT11" s="263" t="s">
        <v>11219</v>
      </c>
    </row>
    <row r="12" spans="1:46" x14ac:dyDescent="0.25">
      <c r="A12" s="263" t="s">
        <v>544</v>
      </c>
      <c r="B12" s="263" t="s">
        <v>28</v>
      </c>
      <c r="C12" s="263" t="s">
        <v>743</v>
      </c>
      <c r="D12" s="263" t="s">
        <v>11220</v>
      </c>
      <c r="E12" s="263" t="s">
        <v>11221</v>
      </c>
      <c r="F12" s="263" t="s">
        <v>11222</v>
      </c>
      <c r="G12" s="263" t="s">
        <v>11223</v>
      </c>
      <c r="H12" s="263" t="s">
        <v>11007</v>
      </c>
      <c r="I12" s="263" t="s">
        <v>11224</v>
      </c>
      <c r="J12" s="263" t="s">
        <v>11225</v>
      </c>
      <c r="K12" s="263" t="s">
        <v>11226</v>
      </c>
      <c r="L12" s="263" t="s">
        <v>11227</v>
      </c>
      <c r="M12" s="263" t="s">
        <v>11150</v>
      </c>
      <c r="N12" s="263" t="s">
        <v>10970</v>
      </c>
      <c r="O12" s="263" t="s">
        <v>11228</v>
      </c>
      <c r="P12" s="263" t="s">
        <v>11229</v>
      </c>
      <c r="Q12" s="263" t="s">
        <v>11230</v>
      </c>
      <c r="R12" s="263" t="s">
        <v>11231</v>
      </c>
      <c r="S12" s="263" t="s">
        <v>11232</v>
      </c>
      <c r="T12" s="263" t="s">
        <v>11016</v>
      </c>
      <c r="U12" s="263" t="s">
        <v>11233</v>
      </c>
      <c r="V12" s="263"/>
      <c r="W12" s="263"/>
      <c r="X12" s="263"/>
      <c r="Y12" s="263"/>
      <c r="Z12" s="263"/>
      <c r="AA12" s="263"/>
      <c r="AB12" s="263"/>
      <c r="AC12" s="263"/>
      <c r="AD12" s="263"/>
      <c r="AE12" s="263"/>
      <c r="AF12" s="263"/>
      <c r="AG12" s="263"/>
      <c r="AH12" s="263"/>
      <c r="AI12" s="263"/>
      <c r="AJ12" s="263"/>
      <c r="AK12" s="263"/>
      <c r="AL12" s="263"/>
      <c r="AM12" s="263"/>
      <c r="AN12" s="263"/>
      <c r="AO12" s="263"/>
      <c r="AP12" s="263"/>
      <c r="AQ12" s="263"/>
      <c r="AR12" s="263"/>
      <c r="AS12" s="263"/>
      <c r="AT12" s="263"/>
    </row>
    <row r="13" spans="1:46" x14ac:dyDescent="0.25">
      <c r="A13" s="263" t="s">
        <v>544</v>
      </c>
      <c r="B13" s="263" t="s">
        <v>30</v>
      </c>
      <c r="C13" s="263" t="s">
        <v>767</v>
      </c>
      <c r="D13" s="263" t="s">
        <v>11199</v>
      </c>
      <c r="E13" s="263" t="s">
        <v>11234</v>
      </c>
      <c r="F13" s="263" t="s">
        <v>11235</v>
      </c>
      <c r="G13" s="263" t="s">
        <v>11236</v>
      </c>
      <c r="H13" s="263" t="s">
        <v>11237</v>
      </c>
      <c r="I13" s="263" t="s">
        <v>11238</v>
      </c>
      <c r="J13" s="263" t="s">
        <v>11239</v>
      </c>
      <c r="K13" s="263" t="s">
        <v>11240</v>
      </c>
      <c r="L13" s="263" t="s">
        <v>11241</v>
      </c>
      <c r="M13" s="263" t="s">
        <v>11242</v>
      </c>
      <c r="N13" s="263" t="s">
        <v>11021</v>
      </c>
      <c r="O13" s="263" t="s">
        <v>11243</v>
      </c>
      <c r="P13" s="263" t="s">
        <v>11244</v>
      </c>
      <c r="Q13" s="263" t="s">
        <v>11245</v>
      </c>
      <c r="R13" s="263" t="s">
        <v>11246</v>
      </c>
      <c r="S13" s="263" t="s">
        <v>11247</v>
      </c>
      <c r="T13" s="263" t="s">
        <v>11248</v>
      </c>
      <c r="U13" s="263" t="s">
        <v>11249</v>
      </c>
      <c r="V13" s="263"/>
      <c r="W13" s="263"/>
      <c r="X13" s="263"/>
      <c r="Y13" s="263"/>
      <c r="Z13" s="263"/>
      <c r="AA13" s="263"/>
      <c r="AB13" s="263"/>
      <c r="AC13" s="263"/>
      <c r="AD13" s="263"/>
      <c r="AE13" s="263"/>
      <c r="AF13" s="263"/>
      <c r="AG13" s="263"/>
      <c r="AH13" s="263"/>
      <c r="AI13" s="263"/>
      <c r="AJ13" s="263"/>
      <c r="AK13" s="263"/>
      <c r="AL13" s="263"/>
      <c r="AM13" s="263"/>
      <c r="AN13" s="263"/>
      <c r="AO13" s="263"/>
      <c r="AP13" s="263"/>
      <c r="AQ13" s="263"/>
      <c r="AR13" s="263"/>
      <c r="AS13" s="263"/>
      <c r="AT13" s="263"/>
    </row>
    <row r="14" spans="1:46" x14ac:dyDescent="0.25">
      <c r="A14" s="263" t="s">
        <v>545</v>
      </c>
      <c r="B14" s="263" t="s">
        <v>29</v>
      </c>
      <c r="C14" s="263" t="s">
        <v>720</v>
      </c>
      <c r="D14" s="263" t="s">
        <v>11250</v>
      </c>
      <c r="E14" s="263" t="s">
        <v>11251</v>
      </c>
      <c r="F14" s="263" t="s">
        <v>11252</v>
      </c>
      <c r="G14" s="263" t="s">
        <v>11253</v>
      </c>
      <c r="H14" s="263" t="s">
        <v>11254</v>
      </c>
      <c r="I14" s="263" t="s">
        <v>11255</v>
      </c>
      <c r="J14" s="263" t="s">
        <v>11256</v>
      </c>
      <c r="K14" s="263" t="s">
        <v>11257</v>
      </c>
      <c r="L14" s="263" t="s">
        <v>11258</v>
      </c>
      <c r="M14" s="263" t="s">
        <v>11037</v>
      </c>
      <c r="N14" s="263" t="s">
        <v>11259</v>
      </c>
      <c r="O14" s="263" t="s">
        <v>11260</v>
      </c>
      <c r="P14" s="263" t="s">
        <v>11261</v>
      </c>
      <c r="Q14" s="263" t="s">
        <v>11262</v>
      </c>
      <c r="R14" s="263" t="s">
        <v>11263</v>
      </c>
      <c r="S14" s="263" t="s">
        <v>11264</v>
      </c>
      <c r="T14" s="263" t="s">
        <v>11265</v>
      </c>
      <c r="U14" s="263" t="s">
        <v>11266</v>
      </c>
      <c r="V14" s="263" t="s">
        <v>11267</v>
      </c>
      <c r="W14" s="263" t="s">
        <v>11268</v>
      </c>
      <c r="X14" s="263" t="s">
        <v>11269</v>
      </c>
      <c r="Y14" s="263" t="s">
        <v>11270</v>
      </c>
      <c r="Z14" s="263" t="s">
        <v>11271</v>
      </c>
      <c r="AA14" s="263" t="s">
        <v>11272</v>
      </c>
      <c r="AB14" s="263" t="s">
        <v>11273</v>
      </c>
      <c r="AC14" s="263" t="s">
        <v>11274</v>
      </c>
      <c r="AD14" s="263" t="s">
        <v>11275</v>
      </c>
      <c r="AE14" s="263" t="s">
        <v>11276</v>
      </c>
      <c r="AF14" s="263" t="s">
        <v>11277</v>
      </c>
      <c r="AG14" s="263" t="s">
        <v>11278</v>
      </c>
      <c r="AH14" s="263" t="s">
        <v>11279</v>
      </c>
      <c r="AI14" s="263" t="s">
        <v>11280</v>
      </c>
      <c r="AJ14" s="263" t="s">
        <v>11281</v>
      </c>
      <c r="AK14" s="263" t="s">
        <v>11282</v>
      </c>
      <c r="AL14" s="263" t="s">
        <v>11283</v>
      </c>
      <c r="AM14" s="263" t="s">
        <v>11284</v>
      </c>
      <c r="AN14" s="263" t="s">
        <v>11285</v>
      </c>
      <c r="AO14" s="263" t="s">
        <v>11286</v>
      </c>
      <c r="AP14" s="263" t="s">
        <v>11287</v>
      </c>
      <c r="AQ14" s="263" t="s">
        <v>11288</v>
      </c>
      <c r="AR14" s="263" t="s">
        <v>11289</v>
      </c>
      <c r="AS14" s="263" t="s">
        <v>11290</v>
      </c>
      <c r="AT14" s="263" t="s">
        <v>11291</v>
      </c>
    </row>
    <row r="15" spans="1:46" x14ac:dyDescent="0.25">
      <c r="A15" s="263" t="s">
        <v>545</v>
      </c>
      <c r="B15" s="263" t="s">
        <v>28</v>
      </c>
      <c r="C15" s="263" t="s">
        <v>744</v>
      </c>
      <c r="D15" s="263" t="s">
        <v>11292</v>
      </c>
      <c r="E15" s="263" t="s">
        <v>11293</v>
      </c>
      <c r="F15" s="263" t="s">
        <v>11294</v>
      </c>
      <c r="G15" s="263" t="s">
        <v>11006</v>
      </c>
      <c r="H15" s="263" t="s">
        <v>11259</v>
      </c>
      <c r="I15" s="263" t="s">
        <v>11295</v>
      </c>
      <c r="J15" s="263" t="s">
        <v>11296</v>
      </c>
      <c r="K15" s="263" t="s">
        <v>11297</v>
      </c>
      <c r="L15" s="263" t="s">
        <v>11298</v>
      </c>
      <c r="M15" s="263" t="s">
        <v>11079</v>
      </c>
      <c r="N15" s="263" t="s">
        <v>10970</v>
      </c>
      <c r="O15" s="263" t="s">
        <v>11299</v>
      </c>
      <c r="P15" s="263" t="s">
        <v>11300</v>
      </c>
      <c r="Q15" s="263" t="s">
        <v>11301</v>
      </c>
      <c r="R15" s="263" t="s">
        <v>11302</v>
      </c>
      <c r="S15" s="263" t="s">
        <v>11303</v>
      </c>
      <c r="T15" s="263" t="s">
        <v>11304</v>
      </c>
      <c r="U15" s="263" t="s">
        <v>11305</v>
      </c>
      <c r="V15" s="263"/>
      <c r="W15" s="263"/>
      <c r="X15" s="263"/>
      <c r="Y15" s="263"/>
      <c r="Z15" s="263"/>
      <c r="AA15" s="263"/>
      <c r="AB15" s="263"/>
      <c r="AC15" s="263"/>
      <c r="AD15" s="263"/>
      <c r="AE15" s="263"/>
      <c r="AF15" s="263"/>
      <c r="AG15" s="263"/>
      <c r="AH15" s="263"/>
      <c r="AI15" s="263"/>
      <c r="AJ15" s="263"/>
      <c r="AK15" s="263"/>
      <c r="AL15" s="263"/>
      <c r="AM15" s="263"/>
      <c r="AN15" s="263"/>
      <c r="AO15" s="263"/>
      <c r="AP15" s="263"/>
      <c r="AQ15" s="263"/>
      <c r="AR15" s="263"/>
      <c r="AS15" s="263"/>
      <c r="AT15" s="263"/>
    </row>
    <row r="16" spans="1:46" x14ac:dyDescent="0.25">
      <c r="A16" s="263" t="s">
        <v>545</v>
      </c>
      <c r="B16" s="263" t="s">
        <v>30</v>
      </c>
      <c r="C16" s="263" t="s">
        <v>768</v>
      </c>
      <c r="D16" s="263" t="s">
        <v>11271</v>
      </c>
      <c r="E16" s="263" t="s">
        <v>11306</v>
      </c>
      <c r="F16" s="263" t="s">
        <v>11307</v>
      </c>
      <c r="G16" s="263" t="s">
        <v>11093</v>
      </c>
      <c r="H16" s="263" t="s">
        <v>11308</v>
      </c>
      <c r="I16" s="263" t="s">
        <v>11309</v>
      </c>
      <c r="J16" s="263" t="s">
        <v>11310</v>
      </c>
      <c r="K16" s="263" t="s">
        <v>11311</v>
      </c>
      <c r="L16" s="263" t="s">
        <v>11312</v>
      </c>
      <c r="M16" s="263" t="s">
        <v>11236</v>
      </c>
      <c r="N16" s="263" t="s">
        <v>11167</v>
      </c>
      <c r="O16" s="263" t="s">
        <v>11313</v>
      </c>
      <c r="P16" s="263" t="s">
        <v>11314</v>
      </c>
      <c r="Q16" s="263" t="s">
        <v>11315</v>
      </c>
      <c r="R16" s="263" t="s">
        <v>11316</v>
      </c>
      <c r="S16" s="263" t="s">
        <v>11317</v>
      </c>
      <c r="T16" s="263" t="s">
        <v>11318</v>
      </c>
      <c r="U16" s="263" t="s">
        <v>11319</v>
      </c>
      <c r="V16" s="263"/>
      <c r="W16" s="263"/>
      <c r="X16" s="263"/>
      <c r="Y16" s="263"/>
      <c r="Z16" s="263"/>
      <c r="AA16" s="263"/>
      <c r="AB16" s="263"/>
      <c r="AC16" s="263"/>
      <c r="AD16" s="263"/>
      <c r="AE16" s="263"/>
      <c r="AF16" s="263"/>
      <c r="AG16" s="263"/>
      <c r="AH16" s="263"/>
      <c r="AI16" s="263"/>
      <c r="AJ16" s="263"/>
      <c r="AK16" s="263"/>
      <c r="AL16" s="263"/>
      <c r="AM16" s="263"/>
      <c r="AN16" s="263"/>
      <c r="AO16" s="263"/>
      <c r="AP16" s="263"/>
      <c r="AQ16" s="263"/>
      <c r="AR16" s="263"/>
      <c r="AS16" s="263"/>
      <c r="AT16" s="263"/>
    </row>
    <row r="17" spans="1:46" x14ac:dyDescent="0.25">
      <c r="A17" s="263" t="s">
        <v>546</v>
      </c>
      <c r="B17" s="263" t="s">
        <v>29</v>
      </c>
      <c r="C17" s="263" t="s">
        <v>721</v>
      </c>
      <c r="D17" s="263" t="s">
        <v>11320</v>
      </c>
      <c r="E17" s="263" t="s">
        <v>11321</v>
      </c>
      <c r="F17" s="263" t="s">
        <v>11322</v>
      </c>
      <c r="G17" s="263" t="s">
        <v>11323</v>
      </c>
      <c r="H17" s="263" t="s">
        <v>11324</v>
      </c>
      <c r="I17" s="263" t="s">
        <v>11325</v>
      </c>
      <c r="J17" s="263" t="s">
        <v>11326</v>
      </c>
      <c r="K17" s="263" t="s">
        <v>11327</v>
      </c>
      <c r="L17" s="263" t="s">
        <v>11328</v>
      </c>
      <c r="M17" s="263" t="s">
        <v>11253</v>
      </c>
      <c r="N17" s="263" t="s">
        <v>11114</v>
      </c>
      <c r="O17" s="263" t="s">
        <v>11329</v>
      </c>
      <c r="P17" s="263" t="s">
        <v>11330</v>
      </c>
      <c r="Q17" s="263" t="s">
        <v>11331</v>
      </c>
      <c r="R17" s="263" t="s">
        <v>11332</v>
      </c>
      <c r="S17" s="263" t="s">
        <v>11333</v>
      </c>
      <c r="T17" s="263" t="s">
        <v>11334</v>
      </c>
      <c r="U17" s="263" t="s">
        <v>11335</v>
      </c>
      <c r="V17" s="263" t="s">
        <v>11336</v>
      </c>
      <c r="W17" s="263" t="s">
        <v>11337</v>
      </c>
      <c r="X17" s="263" t="s">
        <v>11338</v>
      </c>
      <c r="Y17" s="263" t="s">
        <v>11339</v>
      </c>
      <c r="Z17" s="263" t="s">
        <v>11340</v>
      </c>
      <c r="AA17" s="263" t="s">
        <v>11341</v>
      </c>
      <c r="AB17" s="263" t="s">
        <v>11342</v>
      </c>
      <c r="AC17" s="263" t="s">
        <v>11343</v>
      </c>
      <c r="AD17" s="263" t="s">
        <v>11344</v>
      </c>
      <c r="AE17" s="263" t="s">
        <v>11345</v>
      </c>
      <c r="AF17" s="263" t="s">
        <v>11346</v>
      </c>
      <c r="AG17" s="263" t="s">
        <v>11347</v>
      </c>
      <c r="AH17" s="263" t="s">
        <v>11348</v>
      </c>
      <c r="AI17" s="263" t="s">
        <v>11349</v>
      </c>
      <c r="AJ17" s="263" t="s">
        <v>11350</v>
      </c>
      <c r="AK17" s="263" t="s">
        <v>11351</v>
      </c>
      <c r="AL17" s="263" t="s">
        <v>11352</v>
      </c>
      <c r="AM17" s="263" t="s">
        <v>11353</v>
      </c>
      <c r="AN17" s="263" t="s">
        <v>11354</v>
      </c>
      <c r="AO17" s="263" t="s">
        <v>11355</v>
      </c>
      <c r="AP17" s="263" t="s">
        <v>11356</v>
      </c>
      <c r="AQ17" s="263" t="s">
        <v>11357</v>
      </c>
      <c r="AR17" s="263" t="s">
        <v>11358</v>
      </c>
      <c r="AS17" s="263" t="s">
        <v>11359</v>
      </c>
      <c r="AT17" s="263" t="s">
        <v>11360</v>
      </c>
    </row>
    <row r="18" spans="1:46" x14ac:dyDescent="0.25">
      <c r="A18" s="263" t="s">
        <v>546</v>
      </c>
      <c r="B18" s="263" t="s">
        <v>28</v>
      </c>
      <c r="C18" s="263" t="s">
        <v>745</v>
      </c>
      <c r="D18" s="263" t="s">
        <v>11361</v>
      </c>
      <c r="E18" s="263" t="s">
        <v>11362</v>
      </c>
      <c r="F18" s="263" t="s">
        <v>11363</v>
      </c>
      <c r="G18" s="263" t="s">
        <v>11364</v>
      </c>
      <c r="H18" s="263" t="s">
        <v>11259</v>
      </c>
      <c r="I18" s="263" t="s">
        <v>11365</v>
      </c>
      <c r="J18" s="263" t="s">
        <v>11366</v>
      </c>
      <c r="K18" s="263" t="s">
        <v>11367</v>
      </c>
      <c r="L18" s="263" t="s">
        <v>11368</v>
      </c>
      <c r="M18" s="263" t="s">
        <v>11150</v>
      </c>
      <c r="N18" s="263" t="s">
        <v>10970</v>
      </c>
      <c r="O18" s="263" t="s">
        <v>11369</v>
      </c>
      <c r="P18" s="263" t="s">
        <v>11370</v>
      </c>
      <c r="Q18" s="263" t="s">
        <v>11371</v>
      </c>
      <c r="R18" s="263" t="s">
        <v>11372</v>
      </c>
      <c r="S18" s="263" t="s">
        <v>11373</v>
      </c>
      <c r="T18" s="263" t="s">
        <v>11304</v>
      </c>
      <c r="U18" s="263" t="s">
        <v>11374</v>
      </c>
      <c r="V18" s="263"/>
      <c r="W18" s="263"/>
      <c r="X18" s="263"/>
      <c r="Y18" s="263"/>
      <c r="Z18" s="263"/>
      <c r="AA18" s="263"/>
      <c r="AB18" s="263"/>
      <c r="AC18" s="263"/>
      <c r="AD18" s="263"/>
      <c r="AE18" s="263"/>
      <c r="AF18" s="263"/>
      <c r="AG18" s="263"/>
      <c r="AH18" s="263"/>
      <c r="AI18" s="263"/>
      <c r="AJ18" s="263"/>
      <c r="AK18" s="263"/>
      <c r="AL18" s="263"/>
      <c r="AM18" s="263"/>
      <c r="AN18" s="263"/>
      <c r="AO18" s="263"/>
      <c r="AP18" s="263"/>
      <c r="AQ18" s="263"/>
      <c r="AR18" s="263"/>
      <c r="AS18" s="263"/>
      <c r="AT18" s="263"/>
    </row>
    <row r="19" spans="1:46" x14ac:dyDescent="0.25">
      <c r="A19" s="263" t="s">
        <v>546</v>
      </c>
      <c r="B19" s="263" t="s">
        <v>30</v>
      </c>
      <c r="C19" s="263" t="s">
        <v>769</v>
      </c>
      <c r="D19" s="263" t="s">
        <v>11340</v>
      </c>
      <c r="E19" s="263" t="s">
        <v>11375</v>
      </c>
      <c r="F19" s="263" t="s">
        <v>11376</v>
      </c>
      <c r="G19" s="263" t="s">
        <v>11377</v>
      </c>
      <c r="H19" s="263" t="s">
        <v>11167</v>
      </c>
      <c r="I19" s="263" t="s">
        <v>11378</v>
      </c>
      <c r="J19" s="263" t="s">
        <v>11379</v>
      </c>
      <c r="K19" s="263" t="s">
        <v>11380</v>
      </c>
      <c r="L19" s="263" t="s">
        <v>11381</v>
      </c>
      <c r="M19" s="263" t="s">
        <v>11382</v>
      </c>
      <c r="N19" s="263" t="s">
        <v>11027</v>
      </c>
      <c r="O19" s="263" t="s">
        <v>11383</v>
      </c>
      <c r="P19" s="263" t="s">
        <v>11384</v>
      </c>
      <c r="Q19" s="263" t="s">
        <v>11385</v>
      </c>
      <c r="R19" s="263" t="s">
        <v>11304</v>
      </c>
      <c r="S19" s="263" t="s">
        <v>11386</v>
      </c>
      <c r="T19" s="263" t="s">
        <v>11387</v>
      </c>
      <c r="U19" s="263" t="s">
        <v>11388</v>
      </c>
      <c r="V19" s="263"/>
      <c r="W19" s="263"/>
      <c r="X19" s="263"/>
      <c r="Y19" s="263"/>
      <c r="Z19" s="263"/>
      <c r="AA19" s="263"/>
      <c r="AB19" s="263"/>
      <c r="AC19" s="263"/>
      <c r="AD19" s="263"/>
      <c r="AE19" s="263"/>
      <c r="AF19" s="263"/>
      <c r="AG19" s="263"/>
      <c r="AH19" s="263"/>
      <c r="AI19" s="263"/>
      <c r="AJ19" s="263"/>
      <c r="AK19" s="263"/>
      <c r="AL19" s="263"/>
      <c r="AM19" s="263"/>
      <c r="AN19" s="263"/>
      <c r="AO19" s="263"/>
      <c r="AP19" s="263"/>
      <c r="AQ19" s="263"/>
      <c r="AR19" s="263"/>
      <c r="AS19" s="263"/>
      <c r="AT19" s="263"/>
    </row>
    <row r="20" spans="1:46" x14ac:dyDescent="0.25">
      <c r="A20" s="263" t="s">
        <v>547</v>
      </c>
      <c r="B20" s="263" t="s">
        <v>29</v>
      </c>
      <c r="C20" s="263" t="s">
        <v>722</v>
      </c>
      <c r="D20" s="263" t="s">
        <v>11389</v>
      </c>
      <c r="E20" s="263" t="s">
        <v>11390</v>
      </c>
      <c r="F20" s="263" t="s">
        <v>11391</v>
      </c>
      <c r="G20" s="263" t="s">
        <v>11392</v>
      </c>
      <c r="H20" s="263" t="s">
        <v>11038</v>
      </c>
      <c r="I20" s="263" t="s">
        <v>11393</v>
      </c>
      <c r="J20" s="263" t="s">
        <v>11394</v>
      </c>
      <c r="K20" s="263" t="s">
        <v>11395</v>
      </c>
      <c r="L20" s="263" t="s">
        <v>11396</v>
      </c>
      <c r="M20" s="263" t="s">
        <v>11397</v>
      </c>
      <c r="N20" s="263" t="s">
        <v>10964</v>
      </c>
      <c r="O20" s="263" t="s">
        <v>11398</v>
      </c>
      <c r="P20" s="263" t="s">
        <v>11399</v>
      </c>
      <c r="Q20" s="263" t="s">
        <v>11400</v>
      </c>
      <c r="R20" s="263" t="s">
        <v>11401</v>
      </c>
      <c r="S20" s="263" t="s">
        <v>11402</v>
      </c>
      <c r="T20" s="263" t="s">
        <v>11403</v>
      </c>
      <c r="U20" s="263" t="s">
        <v>11404</v>
      </c>
      <c r="V20" s="263" t="s">
        <v>11405</v>
      </c>
      <c r="W20" s="263" t="s">
        <v>11406</v>
      </c>
      <c r="X20" s="263" t="s">
        <v>11407</v>
      </c>
      <c r="Y20" s="263" t="s">
        <v>11408</v>
      </c>
      <c r="Z20" s="263" t="s">
        <v>11409</v>
      </c>
      <c r="AA20" s="263" t="s">
        <v>11410</v>
      </c>
      <c r="AB20" s="263" t="s">
        <v>11411</v>
      </c>
      <c r="AC20" s="263" t="s">
        <v>11412</v>
      </c>
      <c r="AD20" s="263" t="s">
        <v>11413</v>
      </c>
      <c r="AE20" s="263" t="s">
        <v>11414</v>
      </c>
      <c r="AF20" s="263" t="s">
        <v>11415</v>
      </c>
      <c r="AG20" s="263" t="s">
        <v>11416</v>
      </c>
      <c r="AH20" s="263" t="s">
        <v>11417</v>
      </c>
      <c r="AI20" s="263" t="s">
        <v>11418</v>
      </c>
      <c r="AJ20" s="263" t="s">
        <v>11419</v>
      </c>
      <c r="AK20" s="263" t="s">
        <v>11420</v>
      </c>
      <c r="AL20" s="263" t="s">
        <v>11421</v>
      </c>
      <c r="AM20" s="263" t="s">
        <v>11422</v>
      </c>
      <c r="AN20" s="263" t="s">
        <v>11423</v>
      </c>
      <c r="AO20" s="263" t="s">
        <v>11424</v>
      </c>
      <c r="AP20" s="263" t="s">
        <v>11425</v>
      </c>
      <c r="AQ20" s="263" t="s">
        <v>11426</v>
      </c>
      <c r="AR20" s="263" t="s">
        <v>11427</v>
      </c>
      <c r="AS20" s="263" t="s">
        <v>11428</v>
      </c>
      <c r="AT20" s="263" t="s">
        <v>11429</v>
      </c>
    </row>
    <row r="21" spans="1:46" x14ac:dyDescent="0.25">
      <c r="A21" s="263" t="s">
        <v>547</v>
      </c>
      <c r="B21" s="263" t="s">
        <v>28</v>
      </c>
      <c r="C21" s="263" t="s">
        <v>746</v>
      </c>
      <c r="D21" s="263" t="s">
        <v>11430</v>
      </c>
      <c r="E21" s="263" t="s">
        <v>11431</v>
      </c>
      <c r="F21" s="263" t="s">
        <v>11432</v>
      </c>
      <c r="G21" s="263" t="s">
        <v>11223</v>
      </c>
      <c r="H21" s="263" t="s">
        <v>11084</v>
      </c>
      <c r="I21" s="263" t="s">
        <v>11433</v>
      </c>
      <c r="J21" s="263" t="s">
        <v>11434</v>
      </c>
      <c r="K21" s="263" t="s">
        <v>11435</v>
      </c>
      <c r="L21" s="263" t="s">
        <v>11436</v>
      </c>
      <c r="M21" s="263" t="s">
        <v>11006</v>
      </c>
      <c r="N21" s="263" t="s">
        <v>11437</v>
      </c>
      <c r="O21" s="263" t="s">
        <v>11438</v>
      </c>
      <c r="P21" s="263" t="s">
        <v>11439</v>
      </c>
      <c r="Q21" s="263" t="s">
        <v>11440</v>
      </c>
      <c r="R21" s="263" t="s">
        <v>11441</v>
      </c>
      <c r="S21" s="263" t="s">
        <v>11442</v>
      </c>
      <c r="T21" s="263" t="s">
        <v>11443</v>
      </c>
      <c r="U21" s="263" t="s">
        <v>11444</v>
      </c>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3"/>
      <c r="AT21" s="263"/>
    </row>
    <row r="22" spans="1:46" x14ac:dyDescent="0.25">
      <c r="A22" s="263" t="s">
        <v>547</v>
      </c>
      <c r="B22" s="263" t="s">
        <v>30</v>
      </c>
      <c r="C22" s="263" t="s">
        <v>770</v>
      </c>
      <c r="D22" s="263" t="s">
        <v>11409</v>
      </c>
      <c r="E22" s="263" t="s">
        <v>11445</v>
      </c>
      <c r="F22" s="263" t="s">
        <v>11446</v>
      </c>
      <c r="G22" s="263" t="s">
        <v>11447</v>
      </c>
      <c r="H22" s="263" t="s">
        <v>11167</v>
      </c>
      <c r="I22" s="263" t="s">
        <v>11448</v>
      </c>
      <c r="J22" s="263" t="s">
        <v>11449</v>
      </c>
      <c r="K22" s="263" t="s">
        <v>11450</v>
      </c>
      <c r="L22" s="263" t="s">
        <v>11451</v>
      </c>
      <c r="M22" s="263" t="s">
        <v>11452</v>
      </c>
      <c r="N22" s="263" t="s">
        <v>11021</v>
      </c>
      <c r="O22" s="263" t="s">
        <v>11453</v>
      </c>
      <c r="P22" s="263" t="s">
        <v>11440</v>
      </c>
      <c r="Q22" s="263" t="s">
        <v>11454</v>
      </c>
      <c r="R22" s="263" t="s">
        <v>11455</v>
      </c>
      <c r="S22" s="263" t="s">
        <v>11456</v>
      </c>
      <c r="T22" s="263" t="s">
        <v>11015</v>
      </c>
      <c r="U22" s="263" t="s">
        <v>11457</v>
      </c>
      <c r="V22" s="263"/>
      <c r="W22" s="263"/>
      <c r="X22" s="263"/>
      <c r="Y22" s="263"/>
      <c r="Z22" s="263"/>
      <c r="AA22" s="263"/>
      <c r="AB22" s="263"/>
      <c r="AC22" s="263"/>
      <c r="AD22" s="263"/>
      <c r="AE22" s="263"/>
      <c r="AF22" s="263"/>
      <c r="AG22" s="263"/>
      <c r="AH22" s="263"/>
      <c r="AI22" s="263"/>
      <c r="AJ22" s="263"/>
      <c r="AK22" s="263"/>
      <c r="AL22" s="263"/>
      <c r="AM22" s="263"/>
      <c r="AN22" s="263"/>
      <c r="AO22" s="263"/>
      <c r="AP22" s="263"/>
      <c r="AQ22" s="263"/>
      <c r="AR22" s="263"/>
      <c r="AS22" s="263"/>
      <c r="AT22" s="263"/>
    </row>
    <row r="23" spans="1:46" x14ac:dyDescent="0.25">
      <c r="A23" s="263" t="s">
        <v>548</v>
      </c>
      <c r="B23" s="263" t="s">
        <v>29</v>
      </c>
      <c r="C23" s="263" t="s">
        <v>723</v>
      </c>
      <c r="D23" s="263" t="s">
        <v>11458</v>
      </c>
      <c r="E23" s="263" t="s">
        <v>11459</v>
      </c>
      <c r="F23" s="263" t="s">
        <v>11460</v>
      </c>
      <c r="G23" s="263" t="s">
        <v>11461</v>
      </c>
      <c r="H23" s="263" t="s">
        <v>11038</v>
      </c>
      <c r="I23" s="263" t="s">
        <v>11462</v>
      </c>
      <c r="J23" s="263" t="s">
        <v>11463</v>
      </c>
      <c r="K23" s="263" t="s">
        <v>11464</v>
      </c>
      <c r="L23" s="263" t="s">
        <v>11465</v>
      </c>
      <c r="M23" s="263" t="s">
        <v>11461</v>
      </c>
      <c r="N23" s="263" t="s">
        <v>11114</v>
      </c>
      <c r="O23" s="263" t="s">
        <v>11466</v>
      </c>
      <c r="P23" s="263" t="s">
        <v>11467</v>
      </c>
      <c r="Q23" s="263" t="s">
        <v>11468</v>
      </c>
      <c r="R23" s="263" t="s">
        <v>11469</v>
      </c>
      <c r="S23" s="263"/>
      <c r="T23" s="263" t="s">
        <v>11470</v>
      </c>
      <c r="U23" s="263" t="s">
        <v>11471</v>
      </c>
      <c r="V23" s="263" t="s">
        <v>11472</v>
      </c>
      <c r="W23" s="263" t="s">
        <v>11473</v>
      </c>
      <c r="X23" s="263" t="s">
        <v>11474</v>
      </c>
      <c r="Y23" s="263" t="s">
        <v>11475</v>
      </c>
      <c r="Z23" s="263" t="s">
        <v>11476</v>
      </c>
      <c r="AA23" s="263" t="s">
        <v>11477</v>
      </c>
      <c r="AB23" s="263" t="s">
        <v>11478</v>
      </c>
      <c r="AC23" s="263" t="s">
        <v>11479</v>
      </c>
      <c r="AD23" s="263" t="s">
        <v>11480</v>
      </c>
      <c r="AE23" s="263" t="s">
        <v>11481</v>
      </c>
      <c r="AF23" s="263" t="s">
        <v>11482</v>
      </c>
      <c r="AG23" s="263" t="s">
        <v>11483</v>
      </c>
      <c r="AH23" s="263" t="s">
        <v>11484</v>
      </c>
      <c r="AI23" s="263" t="s">
        <v>11485</v>
      </c>
      <c r="AJ23" s="263" t="s">
        <v>11486</v>
      </c>
      <c r="AK23" s="263" t="s">
        <v>11487</v>
      </c>
      <c r="AL23" s="263" t="s">
        <v>11488</v>
      </c>
      <c r="AM23" s="263" t="s">
        <v>11489</v>
      </c>
      <c r="AN23" s="263" t="s">
        <v>11490</v>
      </c>
      <c r="AO23" s="263" t="s">
        <v>11491</v>
      </c>
      <c r="AP23" s="263" t="s">
        <v>11492</v>
      </c>
      <c r="AQ23" s="263" t="s">
        <v>11493</v>
      </c>
      <c r="AR23" s="263" t="s">
        <v>11494</v>
      </c>
      <c r="AS23" s="263" t="s">
        <v>11495</v>
      </c>
      <c r="AT23" s="263" t="s">
        <v>11496</v>
      </c>
    </row>
    <row r="24" spans="1:46" x14ac:dyDescent="0.25">
      <c r="A24" s="263" t="s">
        <v>548</v>
      </c>
      <c r="B24" s="263" t="s">
        <v>28</v>
      </c>
      <c r="C24" s="263" t="s">
        <v>747</v>
      </c>
      <c r="D24" s="263" t="s">
        <v>11497</v>
      </c>
      <c r="E24" s="263" t="s">
        <v>11498</v>
      </c>
      <c r="F24" s="263" t="s">
        <v>11499</v>
      </c>
      <c r="G24" s="263" t="s">
        <v>11150</v>
      </c>
      <c r="H24" s="263" t="s">
        <v>10970</v>
      </c>
      <c r="I24" s="263" t="s">
        <v>11500</v>
      </c>
      <c r="J24" s="263" t="s">
        <v>11501</v>
      </c>
      <c r="K24" s="263" t="s">
        <v>11502</v>
      </c>
      <c r="L24" s="263" t="s">
        <v>11503</v>
      </c>
      <c r="M24" s="263" t="s">
        <v>11150</v>
      </c>
      <c r="N24" s="263" t="s">
        <v>11084</v>
      </c>
      <c r="O24" s="263" t="s">
        <v>11504</v>
      </c>
      <c r="P24" s="263" t="s">
        <v>11505</v>
      </c>
      <c r="Q24" s="263" t="s">
        <v>11506</v>
      </c>
      <c r="R24" s="263" t="s">
        <v>11507</v>
      </c>
      <c r="S24" s="263"/>
      <c r="T24" s="263" t="s">
        <v>11508</v>
      </c>
      <c r="U24" s="263" t="s">
        <v>11509</v>
      </c>
      <c r="V24" s="263"/>
      <c r="W24" s="263"/>
      <c r="X24" s="263"/>
      <c r="Y24" s="263"/>
      <c r="Z24" s="263"/>
      <c r="AA24" s="263"/>
      <c r="AB24" s="263"/>
      <c r="AC24" s="263"/>
      <c r="AD24" s="263"/>
      <c r="AE24" s="263"/>
      <c r="AF24" s="263"/>
      <c r="AG24" s="263"/>
      <c r="AH24" s="263"/>
      <c r="AI24" s="263"/>
      <c r="AJ24" s="263"/>
      <c r="AK24" s="263"/>
      <c r="AL24" s="263"/>
      <c r="AM24" s="263"/>
      <c r="AN24" s="263"/>
      <c r="AO24" s="263"/>
      <c r="AP24" s="263"/>
      <c r="AQ24" s="263"/>
      <c r="AR24" s="263"/>
      <c r="AS24" s="263"/>
      <c r="AT24" s="263"/>
    </row>
    <row r="25" spans="1:46" x14ac:dyDescent="0.25">
      <c r="A25" s="263" t="s">
        <v>548</v>
      </c>
      <c r="B25" s="263" t="s">
        <v>30</v>
      </c>
      <c r="C25" s="263" t="s">
        <v>771</v>
      </c>
      <c r="D25" s="263" t="s">
        <v>11476</v>
      </c>
      <c r="E25" s="263" t="s">
        <v>11510</v>
      </c>
      <c r="F25" s="263" t="s">
        <v>11511</v>
      </c>
      <c r="G25" s="263" t="s">
        <v>11512</v>
      </c>
      <c r="H25" s="263" t="s">
        <v>11513</v>
      </c>
      <c r="I25" s="263" t="s">
        <v>11514</v>
      </c>
      <c r="J25" s="263" t="s">
        <v>11515</v>
      </c>
      <c r="K25" s="263" t="s">
        <v>11516</v>
      </c>
      <c r="L25" s="263" t="s">
        <v>11517</v>
      </c>
      <c r="M25" s="263" t="s">
        <v>11020</v>
      </c>
      <c r="N25" s="263" t="s">
        <v>11518</v>
      </c>
      <c r="O25" s="263" t="s">
        <v>11519</v>
      </c>
      <c r="P25" s="263" t="s">
        <v>11520</v>
      </c>
      <c r="Q25" s="263" t="s">
        <v>11521</v>
      </c>
      <c r="R25" s="263" t="s">
        <v>11522</v>
      </c>
      <c r="S25" s="263" t="s">
        <v>11523</v>
      </c>
      <c r="T25" s="263" t="s">
        <v>11524</v>
      </c>
      <c r="U25" s="263" t="s">
        <v>11525</v>
      </c>
      <c r="V25" s="263"/>
      <c r="W25" s="263"/>
      <c r="X25" s="263"/>
      <c r="Y25" s="263"/>
      <c r="Z25" s="263"/>
      <c r="AA25" s="263"/>
      <c r="AB25" s="263"/>
      <c r="AC25" s="263"/>
      <c r="AD25" s="263"/>
      <c r="AE25" s="263"/>
      <c r="AF25" s="263"/>
      <c r="AG25" s="263"/>
      <c r="AH25" s="263"/>
      <c r="AI25" s="263"/>
      <c r="AJ25" s="263"/>
      <c r="AK25" s="263"/>
      <c r="AL25" s="263"/>
      <c r="AM25" s="263"/>
      <c r="AN25" s="263"/>
      <c r="AO25" s="263"/>
      <c r="AP25" s="263"/>
      <c r="AQ25" s="263"/>
      <c r="AR25" s="263"/>
      <c r="AS25" s="263"/>
      <c r="AT25" s="263"/>
    </row>
    <row r="26" spans="1:46" x14ac:dyDescent="0.25">
      <c r="A26" s="263" t="s">
        <v>549</v>
      </c>
      <c r="B26" s="263" t="s">
        <v>29</v>
      </c>
      <c r="C26" s="263" t="s">
        <v>724</v>
      </c>
      <c r="D26" s="263" t="s">
        <v>11526</v>
      </c>
      <c r="E26" s="263" t="s">
        <v>11527</v>
      </c>
      <c r="F26" s="263" t="s">
        <v>11528</v>
      </c>
      <c r="G26" s="263" t="s">
        <v>11461</v>
      </c>
      <c r="H26" s="263" t="s">
        <v>11324</v>
      </c>
      <c r="I26" s="263" t="s">
        <v>11529</v>
      </c>
      <c r="J26" s="263" t="s">
        <v>11530</v>
      </c>
      <c r="K26" s="263" t="s">
        <v>11531</v>
      </c>
      <c r="L26" s="263" t="s">
        <v>11532</v>
      </c>
      <c r="M26" s="263" t="s">
        <v>11461</v>
      </c>
      <c r="N26" s="263" t="s">
        <v>11038</v>
      </c>
      <c r="O26" s="263" t="s">
        <v>11533</v>
      </c>
      <c r="P26" s="263" t="s">
        <v>11534</v>
      </c>
      <c r="Q26" s="263" t="s">
        <v>11535</v>
      </c>
      <c r="R26" s="263" t="s">
        <v>11536</v>
      </c>
      <c r="S26" s="263"/>
      <c r="T26" s="263" t="s">
        <v>11537</v>
      </c>
      <c r="U26" s="263" t="s">
        <v>11538</v>
      </c>
      <c r="V26" s="263" t="s">
        <v>11539</v>
      </c>
      <c r="W26" s="263" t="s">
        <v>11540</v>
      </c>
      <c r="X26" s="263" t="s">
        <v>11541</v>
      </c>
      <c r="Y26" s="263" t="s">
        <v>11542</v>
      </c>
      <c r="Z26" s="263" t="s">
        <v>11543</v>
      </c>
      <c r="AA26" s="263" t="s">
        <v>11544</v>
      </c>
      <c r="AB26" s="263" t="s">
        <v>11545</v>
      </c>
      <c r="AC26" s="263" t="s">
        <v>11546</v>
      </c>
      <c r="AD26" s="263" t="s">
        <v>11547</v>
      </c>
      <c r="AE26" s="263" t="s">
        <v>11548</v>
      </c>
      <c r="AF26" s="263" t="s">
        <v>11549</v>
      </c>
      <c r="AG26" s="263" t="s">
        <v>11550</v>
      </c>
      <c r="AH26" s="263" t="s">
        <v>11551</v>
      </c>
      <c r="AI26" s="263" t="s">
        <v>11552</v>
      </c>
      <c r="AJ26" s="263" t="s">
        <v>11553</v>
      </c>
      <c r="AK26" s="263" t="s">
        <v>11554</v>
      </c>
      <c r="AL26" s="263" t="s">
        <v>11555</v>
      </c>
      <c r="AM26" s="263" t="s">
        <v>11556</v>
      </c>
      <c r="AN26" s="263" t="s">
        <v>11557</v>
      </c>
      <c r="AO26" s="263" t="s">
        <v>11558</v>
      </c>
      <c r="AP26" s="263" t="s">
        <v>11559</v>
      </c>
      <c r="AQ26" s="263" t="s">
        <v>11560</v>
      </c>
      <c r="AR26" s="263" t="s">
        <v>11561</v>
      </c>
      <c r="AS26" s="263" t="s">
        <v>11562</v>
      </c>
      <c r="AT26" s="263" t="s">
        <v>11563</v>
      </c>
    </row>
    <row r="27" spans="1:46" x14ac:dyDescent="0.25">
      <c r="A27" s="263" t="s">
        <v>549</v>
      </c>
      <c r="B27" s="263" t="s">
        <v>28</v>
      </c>
      <c r="C27" s="263" t="s">
        <v>748</v>
      </c>
      <c r="D27" s="263" t="s">
        <v>11564</v>
      </c>
      <c r="E27" s="263" t="s">
        <v>11565</v>
      </c>
      <c r="F27" s="263" t="s">
        <v>11566</v>
      </c>
      <c r="G27" s="263" t="s">
        <v>11150</v>
      </c>
      <c r="H27" s="263" t="s">
        <v>11007</v>
      </c>
      <c r="I27" s="263" t="s">
        <v>11567</v>
      </c>
      <c r="J27" s="263" t="s">
        <v>11568</v>
      </c>
      <c r="K27" s="263" t="s">
        <v>11569</v>
      </c>
      <c r="L27" s="263" t="s">
        <v>11570</v>
      </c>
      <c r="M27" s="263" t="s">
        <v>11150</v>
      </c>
      <c r="N27" s="263" t="s">
        <v>10970</v>
      </c>
      <c r="O27" s="263" t="s">
        <v>11571</v>
      </c>
      <c r="P27" s="263" t="s">
        <v>11572</v>
      </c>
      <c r="Q27" s="263" t="s">
        <v>11573</v>
      </c>
      <c r="R27" s="263" t="s">
        <v>11574</v>
      </c>
      <c r="S27" s="263"/>
      <c r="T27" s="263" t="s">
        <v>11016</v>
      </c>
      <c r="U27" s="263" t="s">
        <v>11575</v>
      </c>
      <c r="V27" s="263"/>
      <c r="W27" s="263"/>
      <c r="X27" s="263"/>
      <c r="Y27" s="263"/>
      <c r="Z27" s="263"/>
      <c r="AA27" s="263"/>
      <c r="AB27" s="263"/>
      <c r="AC27" s="263"/>
      <c r="AD27" s="263"/>
      <c r="AE27" s="263"/>
      <c r="AF27" s="263"/>
      <c r="AG27" s="263"/>
      <c r="AH27" s="263"/>
      <c r="AI27" s="263"/>
      <c r="AJ27" s="263"/>
      <c r="AK27" s="263"/>
      <c r="AL27" s="263"/>
      <c r="AM27" s="263"/>
      <c r="AN27" s="263"/>
      <c r="AO27" s="263"/>
      <c r="AP27" s="263"/>
      <c r="AQ27" s="263"/>
      <c r="AR27" s="263"/>
      <c r="AS27" s="263"/>
      <c r="AT27" s="263"/>
    </row>
    <row r="28" spans="1:46" x14ac:dyDescent="0.25">
      <c r="A28" s="263" t="s">
        <v>549</v>
      </c>
      <c r="B28" s="263" t="s">
        <v>30</v>
      </c>
      <c r="C28" s="263" t="s">
        <v>772</v>
      </c>
      <c r="D28" s="263" t="s">
        <v>11543</v>
      </c>
      <c r="E28" s="263" t="s">
        <v>11576</v>
      </c>
      <c r="F28" s="263" t="s">
        <v>11577</v>
      </c>
      <c r="G28" s="263" t="s">
        <v>11512</v>
      </c>
      <c r="H28" s="263" t="s">
        <v>11167</v>
      </c>
      <c r="I28" s="263" t="s">
        <v>11578</v>
      </c>
      <c r="J28" s="263" t="s">
        <v>11579</v>
      </c>
      <c r="K28" s="263" t="s">
        <v>11580</v>
      </c>
      <c r="L28" s="263" t="s">
        <v>11581</v>
      </c>
      <c r="M28" s="263" t="s">
        <v>11582</v>
      </c>
      <c r="N28" s="263" t="s">
        <v>11583</v>
      </c>
      <c r="O28" s="263" t="s">
        <v>11584</v>
      </c>
      <c r="P28" s="263" t="s">
        <v>11585</v>
      </c>
      <c r="Q28" s="263" t="s">
        <v>11586</v>
      </c>
      <c r="R28" s="263" t="s">
        <v>11587</v>
      </c>
      <c r="S28" s="263" t="s">
        <v>11588</v>
      </c>
      <c r="T28" s="263" t="s">
        <v>11589</v>
      </c>
      <c r="U28" s="263" t="s">
        <v>11590</v>
      </c>
      <c r="V28" s="263"/>
      <c r="W28" s="263"/>
      <c r="X28" s="263"/>
      <c r="Y28" s="263"/>
      <c r="Z28" s="263"/>
      <c r="AA28" s="263"/>
      <c r="AB28" s="263"/>
      <c r="AC28" s="263"/>
      <c r="AD28" s="263"/>
      <c r="AE28" s="263"/>
      <c r="AF28" s="263"/>
      <c r="AG28" s="263"/>
      <c r="AH28" s="263"/>
      <c r="AI28" s="263"/>
      <c r="AJ28" s="263"/>
      <c r="AK28" s="263"/>
      <c r="AL28" s="263"/>
      <c r="AM28" s="263"/>
      <c r="AN28" s="263"/>
      <c r="AO28" s="263"/>
      <c r="AP28" s="263"/>
      <c r="AQ28" s="263"/>
      <c r="AR28" s="263"/>
      <c r="AS28" s="263"/>
      <c r="AT28" s="263"/>
    </row>
    <row r="29" spans="1:46" x14ac:dyDescent="0.25">
      <c r="A29" s="263" t="s">
        <v>550</v>
      </c>
      <c r="B29" s="263" t="s">
        <v>29</v>
      </c>
      <c r="C29" s="263" t="s">
        <v>725</v>
      </c>
      <c r="D29" s="263" t="s">
        <v>11591</v>
      </c>
      <c r="E29" s="263" t="s">
        <v>11592</v>
      </c>
      <c r="F29" s="263" t="s">
        <v>11593</v>
      </c>
      <c r="G29" s="263" t="s">
        <v>11594</v>
      </c>
      <c r="H29" s="263" t="s">
        <v>11114</v>
      </c>
      <c r="I29" s="263" t="s">
        <v>11595</v>
      </c>
      <c r="J29" s="263" t="s">
        <v>11596</v>
      </c>
      <c r="K29" s="263" t="s">
        <v>11597</v>
      </c>
      <c r="L29" s="263" t="s">
        <v>11598</v>
      </c>
      <c r="M29" s="263" t="s">
        <v>11037</v>
      </c>
      <c r="N29" s="263" t="s">
        <v>11114</v>
      </c>
      <c r="O29" s="263" t="s">
        <v>11599</v>
      </c>
      <c r="P29" s="263" t="s">
        <v>11600</v>
      </c>
      <c r="Q29" s="263" t="s">
        <v>11601</v>
      </c>
      <c r="R29" s="263" t="s">
        <v>11602</v>
      </c>
      <c r="S29" s="263" t="s">
        <v>11603</v>
      </c>
      <c r="T29" s="263"/>
      <c r="U29" s="263" t="s">
        <v>11604</v>
      </c>
      <c r="V29" s="263" t="s">
        <v>11605</v>
      </c>
      <c r="W29" s="263" t="s">
        <v>11606</v>
      </c>
      <c r="X29" s="263" t="s">
        <v>11607</v>
      </c>
      <c r="Y29" s="263" t="s">
        <v>11608</v>
      </c>
      <c r="Z29" s="263" t="s">
        <v>11609</v>
      </c>
      <c r="AA29" s="263" t="s">
        <v>11610</v>
      </c>
      <c r="AB29" s="263" t="s">
        <v>11611</v>
      </c>
      <c r="AC29" s="263" t="s">
        <v>11612</v>
      </c>
      <c r="AD29" s="263" t="s">
        <v>11613</v>
      </c>
      <c r="AE29" s="263" t="s">
        <v>11614</v>
      </c>
      <c r="AF29" s="263" t="s">
        <v>11615</v>
      </c>
      <c r="AG29" s="263" t="s">
        <v>11616</v>
      </c>
      <c r="AH29" s="263" t="s">
        <v>11617</v>
      </c>
      <c r="AI29" s="263" t="s">
        <v>11618</v>
      </c>
      <c r="AJ29" s="263" t="s">
        <v>11619</v>
      </c>
      <c r="AK29" s="263" t="s">
        <v>11620</v>
      </c>
      <c r="AL29" s="263" t="s">
        <v>11621</v>
      </c>
      <c r="AM29" s="263" t="s">
        <v>11622</v>
      </c>
      <c r="AN29" s="263" t="s">
        <v>11623</v>
      </c>
      <c r="AO29" s="263" t="s">
        <v>11624</v>
      </c>
      <c r="AP29" s="263" t="s">
        <v>11625</v>
      </c>
      <c r="AQ29" s="263" t="s">
        <v>11626</v>
      </c>
      <c r="AR29" s="263" t="s">
        <v>11627</v>
      </c>
      <c r="AS29" s="263" t="s">
        <v>11628</v>
      </c>
      <c r="AT29" s="263" t="s">
        <v>11629</v>
      </c>
    </row>
    <row r="30" spans="1:46" x14ac:dyDescent="0.25">
      <c r="A30" s="263" t="s">
        <v>550</v>
      </c>
      <c r="B30" s="263" t="s">
        <v>28</v>
      </c>
      <c r="C30" s="263" t="s">
        <v>749</v>
      </c>
      <c r="D30" s="263" t="s">
        <v>11630</v>
      </c>
      <c r="E30" s="263" t="s">
        <v>11631</v>
      </c>
      <c r="F30" s="263" t="s">
        <v>11632</v>
      </c>
      <c r="G30" s="263" t="s">
        <v>11633</v>
      </c>
      <c r="H30" s="263" t="s">
        <v>11259</v>
      </c>
      <c r="I30" s="263" t="s">
        <v>11634</v>
      </c>
      <c r="J30" s="263" t="s">
        <v>11635</v>
      </c>
      <c r="K30" s="263" t="s">
        <v>11636</v>
      </c>
      <c r="L30" s="263" t="s">
        <v>11637</v>
      </c>
      <c r="M30" s="263" t="s">
        <v>11150</v>
      </c>
      <c r="N30" s="263" t="s">
        <v>10970</v>
      </c>
      <c r="O30" s="263" t="s">
        <v>11638</v>
      </c>
      <c r="P30" s="263" t="s">
        <v>11639</v>
      </c>
      <c r="Q30" s="263" t="s">
        <v>11640</v>
      </c>
      <c r="R30" s="263" t="s">
        <v>11641</v>
      </c>
      <c r="S30" s="263" t="s">
        <v>11642</v>
      </c>
      <c r="T30" s="263" t="s">
        <v>11304</v>
      </c>
      <c r="U30" s="263" t="s">
        <v>11643</v>
      </c>
      <c r="V30" s="263"/>
      <c r="W30" s="263"/>
      <c r="X30" s="263"/>
      <c r="Y30" s="263"/>
      <c r="Z30" s="263"/>
      <c r="AA30" s="263"/>
      <c r="AB30" s="263"/>
      <c r="AC30" s="263"/>
      <c r="AD30" s="263"/>
      <c r="AE30" s="263"/>
      <c r="AF30" s="263"/>
      <c r="AG30" s="263"/>
      <c r="AH30" s="263"/>
      <c r="AI30" s="263"/>
      <c r="AJ30" s="263"/>
      <c r="AK30" s="263"/>
      <c r="AL30" s="263"/>
      <c r="AM30" s="263"/>
      <c r="AN30" s="263"/>
      <c r="AO30" s="263"/>
      <c r="AP30" s="263"/>
      <c r="AQ30" s="263"/>
      <c r="AR30" s="263"/>
      <c r="AS30" s="263"/>
      <c r="AT30" s="263"/>
    </row>
    <row r="31" spans="1:46" x14ac:dyDescent="0.25">
      <c r="A31" s="263" t="s">
        <v>550</v>
      </c>
      <c r="B31" s="263" t="s">
        <v>30</v>
      </c>
      <c r="C31" s="263" t="s">
        <v>773</v>
      </c>
      <c r="D31" s="263" t="s">
        <v>11609</v>
      </c>
      <c r="E31" s="263" t="s">
        <v>11644</v>
      </c>
      <c r="F31" s="263" t="s">
        <v>11645</v>
      </c>
      <c r="G31" s="263" t="s">
        <v>11236</v>
      </c>
      <c r="H31" s="263" t="s">
        <v>11167</v>
      </c>
      <c r="I31" s="263" t="s">
        <v>11646</v>
      </c>
      <c r="J31" s="263" t="s">
        <v>11647</v>
      </c>
      <c r="K31" s="263" t="s">
        <v>11648</v>
      </c>
      <c r="L31" s="263" t="s">
        <v>11649</v>
      </c>
      <c r="M31" s="263" t="s">
        <v>11650</v>
      </c>
      <c r="N31" s="263" t="s">
        <v>11651</v>
      </c>
      <c r="O31" s="263" t="s">
        <v>11652</v>
      </c>
      <c r="P31" s="263" t="s">
        <v>11653</v>
      </c>
      <c r="Q31" s="263" t="s">
        <v>11654</v>
      </c>
      <c r="R31" s="263" t="s">
        <v>11655</v>
      </c>
      <c r="S31" s="263" t="s">
        <v>11656</v>
      </c>
      <c r="T31" s="263" t="s">
        <v>11657</v>
      </c>
      <c r="U31" s="263" t="s">
        <v>11658</v>
      </c>
      <c r="V31" s="263"/>
      <c r="W31" s="263"/>
      <c r="X31" s="263"/>
      <c r="Y31" s="263"/>
      <c r="Z31" s="263"/>
      <c r="AA31" s="263"/>
      <c r="AB31" s="263"/>
      <c r="AC31" s="263"/>
      <c r="AD31" s="263"/>
      <c r="AE31" s="263"/>
      <c r="AF31" s="263"/>
      <c r="AG31" s="263"/>
      <c r="AH31" s="263"/>
      <c r="AI31" s="263"/>
      <c r="AJ31" s="263"/>
      <c r="AK31" s="263"/>
      <c r="AL31" s="263"/>
      <c r="AM31" s="263"/>
      <c r="AN31" s="263"/>
      <c r="AO31" s="263"/>
      <c r="AP31" s="263"/>
      <c r="AQ31" s="263"/>
      <c r="AR31" s="263"/>
      <c r="AS31" s="263"/>
      <c r="AT31" s="263"/>
    </row>
    <row r="32" spans="1:46" x14ac:dyDescent="0.25">
      <c r="A32" s="263" t="s">
        <v>551</v>
      </c>
      <c r="B32" s="263" t="s">
        <v>29</v>
      </c>
      <c r="C32" s="263" t="s">
        <v>726</v>
      </c>
      <c r="D32" s="263" t="s">
        <v>11659</v>
      </c>
      <c r="E32" s="263" t="s">
        <v>11660</v>
      </c>
      <c r="F32" s="263" t="s">
        <v>11661</v>
      </c>
      <c r="G32" s="263" t="s">
        <v>11662</v>
      </c>
      <c r="H32" s="263" t="s">
        <v>11108</v>
      </c>
      <c r="I32" s="263" t="s">
        <v>11663</v>
      </c>
      <c r="J32" s="263" t="s">
        <v>11664</v>
      </c>
      <c r="K32" s="263" t="s">
        <v>11665</v>
      </c>
      <c r="L32" s="263" t="s">
        <v>11666</v>
      </c>
      <c r="M32" s="263" t="s">
        <v>11253</v>
      </c>
      <c r="N32" s="263" t="s">
        <v>11324</v>
      </c>
      <c r="O32" s="263" t="s">
        <v>11667</v>
      </c>
      <c r="P32" s="263" t="s">
        <v>11668</v>
      </c>
      <c r="Q32" s="263" t="s">
        <v>11669</v>
      </c>
      <c r="R32" s="263" t="s">
        <v>11670</v>
      </c>
      <c r="S32" s="263" t="s">
        <v>11671</v>
      </c>
      <c r="T32" s="263" t="s">
        <v>11672</v>
      </c>
      <c r="U32" s="263" t="s">
        <v>11303</v>
      </c>
      <c r="V32" s="263" t="s">
        <v>11673</v>
      </c>
      <c r="W32" s="263" t="s">
        <v>11674</v>
      </c>
      <c r="X32" s="263" t="s">
        <v>11675</v>
      </c>
      <c r="Y32" s="263" t="s">
        <v>11676</v>
      </c>
      <c r="Z32" s="263" t="s">
        <v>11677</v>
      </c>
      <c r="AA32" s="263" t="s">
        <v>11678</v>
      </c>
      <c r="AB32" s="263" t="s">
        <v>11679</v>
      </c>
      <c r="AC32" s="263" t="s">
        <v>11680</v>
      </c>
      <c r="AD32" s="263" t="s">
        <v>11681</v>
      </c>
      <c r="AE32" s="263" t="s">
        <v>11682</v>
      </c>
      <c r="AF32" s="263" t="s">
        <v>11683</v>
      </c>
      <c r="AG32" s="263" t="s">
        <v>11684</v>
      </c>
      <c r="AH32" s="263" t="s">
        <v>11685</v>
      </c>
      <c r="AI32" s="263" t="s">
        <v>11686</v>
      </c>
      <c r="AJ32" s="263" t="s">
        <v>11687</v>
      </c>
      <c r="AK32" s="263" t="s">
        <v>11688</v>
      </c>
      <c r="AL32" s="263" t="s">
        <v>11689</v>
      </c>
      <c r="AM32" s="263" t="s">
        <v>11690</v>
      </c>
      <c r="AN32" s="263" t="s">
        <v>11691</v>
      </c>
      <c r="AO32" s="263" t="s">
        <v>11692</v>
      </c>
      <c r="AP32" s="263" t="s">
        <v>11693</v>
      </c>
      <c r="AQ32" s="263" t="s">
        <v>11694</v>
      </c>
      <c r="AR32" s="263" t="s">
        <v>11695</v>
      </c>
      <c r="AS32" s="263" t="s">
        <v>11696</v>
      </c>
      <c r="AT32" s="263" t="s">
        <v>11697</v>
      </c>
    </row>
    <row r="33" spans="1:46" x14ac:dyDescent="0.25">
      <c r="A33" s="263" t="s">
        <v>551</v>
      </c>
      <c r="B33" s="263" t="s">
        <v>28</v>
      </c>
      <c r="C33" s="263" t="s">
        <v>750</v>
      </c>
      <c r="D33" s="263" t="s">
        <v>11698</v>
      </c>
      <c r="E33" s="263" t="s">
        <v>11699</v>
      </c>
      <c r="F33" s="263" t="s">
        <v>11700</v>
      </c>
      <c r="G33" s="263" t="s">
        <v>11223</v>
      </c>
      <c r="H33" s="263" t="s">
        <v>11259</v>
      </c>
      <c r="I33" s="263" t="s">
        <v>11701</v>
      </c>
      <c r="J33" s="263" t="s">
        <v>11702</v>
      </c>
      <c r="K33" s="263" t="s">
        <v>11703</v>
      </c>
      <c r="L33" s="263" t="s">
        <v>11704</v>
      </c>
      <c r="M33" s="263" t="s">
        <v>11150</v>
      </c>
      <c r="N33" s="263" t="s">
        <v>11259</v>
      </c>
      <c r="O33" s="263" t="s">
        <v>11705</v>
      </c>
      <c r="P33" s="263" t="s">
        <v>11706</v>
      </c>
      <c r="Q33" s="263" t="s">
        <v>11707</v>
      </c>
      <c r="R33" s="263" t="s">
        <v>11708</v>
      </c>
      <c r="S33" s="263" t="s">
        <v>11232</v>
      </c>
      <c r="T33" s="263"/>
      <c r="U33" s="263" t="s">
        <v>11709</v>
      </c>
      <c r="V33" s="263"/>
      <c r="W33" s="263"/>
      <c r="X33" s="263"/>
      <c r="Y33" s="263"/>
      <c r="Z33" s="263"/>
      <c r="AA33" s="263"/>
      <c r="AB33" s="263"/>
      <c r="AC33" s="263"/>
      <c r="AD33" s="263"/>
      <c r="AE33" s="263"/>
      <c r="AF33" s="263"/>
      <c r="AG33" s="263"/>
      <c r="AH33" s="263"/>
      <c r="AI33" s="263"/>
      <c r="AJ33" s="263"/>
      <c r="AK33" s="263"/>
      <c r="AL33" s="263"/>
      <c r="AM33" s="263"/>
      <c r="AN33" s="263"/>
      <c r="AO33" s="263"/>
      <c r="AP33" s="263"/>
      <c r="AQ33" s="263"/>
      <c r="AR33" s="263"/>
      <c r="AS33" s="263"/>
      <c r="AT33" s="263"/>
    </row>
    <row r="34" spans="1:46" x14ac:dyDescent="0.25">
      <c r="A34" s="263" t="s">
        <v>551</v>
      </c>
      <c r="B34" s="263" t="s">
        <v>30</v>
      </c>
      <c r="C34" s="263" t="s">
        <v>774</v>
      </c>
      <c r="D34" s="263" t="s">
        <v>11677</v>
      </c>
      <c r="E34" s="263" t="s">
        <v>11710</v>
      </c>
      <c r="F34" s="263" t="s">
        <v>11711</v>
      </c>
      <c r="G34" s="263" t="s">
        <v>11236</v>
      </c>
      <c r="H34" s="263" t="s">
        <v>11518</v>
      </c>
      <c r="I34" s="263" t="s">
        <v>11712</v>
      </c>
      <c r="J34" s="263" t="s">
        <v>11684</v>
      </c>
      <c r="K34" s="263" t="s">
        <v>11713</v>
      </c>
      <c r="L34" s="263" t="s">
        <v>11714</v>
      </c>
      <c r="M34" s="263" t="s">
        <v>11377</v>
      </c>
      <c r="N34" s="263" t="s">
        <v>11021</v>
      </c>
      <c r="O34" s="263" t="s">
        <v>11715</v>
      </c>
      <c r="P34" s="263" t="s">
        <v>11716</v>
      </c>
      <c r="Q34" s="263" t="s">
        <v>11717</v>
      </c>
      <c r="R34" s="263" t="s">
        <v>11718</v>
      </c>
      <c r="S34" s="263" t="s">
        <v>11719</v>
      </c>
      <c r="T34" s="263" t="s">
        <v>11720</v>
      </c>
      <c r="U34" s="263" t="s">
        <v>11721</v>
      </c>
      <c r="V34" s="263"/>
      <c r="W34" s="263"/>
      <c r="X34" s="263"/>
      <c r="Y34" s="263"/>
      <c r="Z34" s="263"/>
      <c r="AA34" s="263"/>
      <c r="AB34" s="263"/>
      <c r="AC34" s="263"/>
      <c r="AD34" s="263"/>
      <c r="AE34" s="263"/>
      <c r="AF34" s="263"/>
      <c r="AG34" s="263"/>
      <c r="AH34" s="263"/>
      <c r="AI34" s="263"/>
      <c r="AJ34" s="263"/>
      <c r="AK34" s="263"/>
      <c r="AL34" s="263"/>
      <c r="AM34" s="263"/>
      <c r="AN34" s="263"/>
      <c r="AO34" s="263"/>
      <c r="AP34" s="263"/>
      <c r="AQ34" s="263"/>
      <c r="AR34" s="263"/>
      <c r="AS34" s="263"/>
      <c r="AT34" s="263"/>
    </row>
    <row r="35" spans="1:46" x14ac:dyDescent="0.25">
      <c r="A35" s="263" t="s">
        <v>552</v>
      </c>
      <c r="B35" s="263" t="s">
        <v>29</v>
      </c>
      <c r="C35" s="263" t="s">
        <v>727</v>
      </c>
      <c r="D35" s="263" t="s">
        <v>11722</v>
      </c>
      <c r="E35" s="263" t="s">
        <v>11723</v>
      </c>
      <c r="F35" s="263" t="s">
        <v>11724</v>
      </c>
      <c r="G35" s="263" t="s">
        <v>10963</v>
      </c>
      <c r="H35" s="263" t="s">
        <v>11114</v>
      </c>
      <c r="I35" s="263" t="s">
        <v>11725</v>
      </c>
      <c r="J35" s="263" t="s">
        <v>11726</v>
      </c>
      <c r="K35" s="263" t="s">
        <v>11727</v>
      </c>
      <c r="L35" s="263" t="s">
        <v>11728</v>
      </c>
      <c r="M35" s="263" t="s">
        <v>10963</v>
      </c>
      <c r="N35" s="263" t="s">
        <v>11114</v>
      </c>
      <c r="O35" s="263" t="s">
        <v>11729</v>
      </c>
      <c r="P35" s="263" t="s">
        <v>11730</v>
      </c>
      <c r="Q35" s="263" t="s">
        <v>11731</v>
      </c>
      <c r="R35" s="263" t="s">
        <v>11732</v>
      </c>
      <c r="S35" s="263"/>
      <c r="T35" s="263"/>
      <c r="U35" s="263" t="s">
        <v>11733</v>
      </c>
      <c r="V35" s="263" t="s">
        <v>11734</v>
      </c>
      <c r="W35" s="263" t="s">
        <v>11735</v>
      </c>
      <c r="X35" s="263" t="s">
        <v>11736</v>
      </c>
      <c r="Y35" s="263" t="s">
        <v>11737</v>
      </c>
      <c r="Z35" s="263" t="s">
        <v>11738</v>
      </c>
      <c r="AA35" s="263" t="s">
        <v>11739</v>
      </c>
      <c r="AB35" s="263" t="s">
        <v>11740</v>
      </c>
      <c r="AC35" s="263" t="s">
        <v>11741</v>
      </c>
      <c r="AD35" s="263" t="s">
        <v>11742</v>
      </c>
      <c r="AE35" s="263" t="s">
        <v>11743</v>
      </c>
      <c r="AF35" s="263" t="s">
        <v>11744</v>
      </c>
      <c r="AG35" s="263" t="s">
        <v>11745</v>
      </c>
      <c r="AH35" s="263" t="s">
        <v>11746</v>
      </c>
      <c r="AI35" s="263" t="s">
        <v>11747</v>
      </c>
      <c r="AJ35" s="263" t="s">
        <v>11748</v>
      </c>
      <c r="AK35" s="263" t="s">
        <v>11749</v>
      </c>
      <c r="AL35" s="263" t="s">
        <v>11750</v>
      </c>
      <c r="AM35" s="263" t="s">
        <v>11751</v>
      </c>
      <c r="AN35" s="263" t="s">
        <v>11752</v>
      </c>
      <c r="AO35" s="263" t="s">
        <v>11753</v>
      </c>
      <c r="AP35" s="263" t="s">
        <v>11754</v>
      </c>
      <c r="AQ35" s="263" t="s">
        <v>11755</v>
      </c>
      <c r="AR35" s="263" t="s">
        <v>11756</v>
      </c>
      <c r="AS35" s="263" t="s">
        <v>11757</v>
      </c>
      <c r="AT35" s="263" t="s">
        <v>11758</v>
      </c>
    </row>
    <row r="36" spans="1:46" x14ac:dyDescent="0.25">
      <c r="A36" s="263" t="s">
        <v>552</v>
      </c>
      <c r="B36" s="263" t="s">
        <v>28</v>
      </c>
      <c r="C36" s="263" t="s">
        <v>751</v>
      </c>
      <c r="D36" s="263" t="s">
        <v>11759</v>
      </c>
      <c r="E36" s="263" t="s">
        <v>11760</v>
      </c>
      <c r="F36" s="263" t="s">
        <v>11761</v>
      </c>
      <c r="G36" s="263" t="s">
        <v>11150</v>
      </c>
      <c r="H36" s="263" t="s">
        <v>11084</v>
      </c>
      <c r="I36" s="263" t="s">
        <v>11762</v>
      </c>
      <c r="J36" s="263" t="s">
        <v>11763</v>
      </c>
      <c r="K36" s="263" t="s">
        <v>11764</v>
      </c>
      <c r="L36" s="263" t="s">
        <v>11765</v>
      </c>
      <c r="M36" s="263" t="s">
        <v>11150</v>
      </c>
      <c r="N36" s="263" t="s">
        <v>10970</v>
      </c>
      <c r="O36" s="263" t="s">
        <v>11766</v>
      </c>
      <c r="P36" s="263" t="s">
        <v>11767</v>
      </c>
      <c r="Q36" s="263" t="s">
        <v>11768</v>
      </c>
      <c r="R36" s="263" t="s">
        <v>11769</v>
      </c>
      <c r="S36" s="263"/>
      <c r="T36" s="263" t="s">
        <v>11770</v>
      </c>
      <c r="U36" s="263" t="s">
        <v>11771</v>
      </c>
      <c r="V36" s="263"/>
      <c r="W36" s="263"/>
      <c r="X36" s="263"/>
      <c r="Y36" s="263"/>
      <c r="Z36" s="263"/>
      <c r="AA36" s="263"/>
      <c r="AB36" s="263"/>
      <c r="AC36" s="263"/>
      <c r="AD36" s="263"/>
      <c r="AE36" s="263"/>
      <c r="AF36" s="263"/>
      <c r="AG36" s="263"/>
      <c r="AH36" s="263"/>
      <c r="AI36" s="263"/>
      <c r="AJ36" s="263"/>
      <c r="AK36" s="263"/>
      <c r="AL36" s="263"/>
      <c r="AM36" s="263"/>
      <c r="AN36" s="263"/>
      <c r="AO36" s="263"/>
      <c r="AP36" s="263"/>
      <c r="AQ36" s="263"/>
      <c r="AR36" s="263"/>
      <c r="AS36" s="263"/>
      <c r="AT36" s="263"/>
    </row>
    <row r="37" spans="1:46" x14ac:dyDescent="0.25">
      <c r="A37" s="263" t="s">
        <v>552</v>
      </c>
      <c r="B37" s="263" t="s">
        <v>30</v>
      </c>
      <c r="C37" s="263" t="s">
        <v>775</v>
      </c>
      <c r="D37" s="263" t="s">
        <v>11738</v>
      </c>
      <c r="E37" s="263" t="s">
        <v>11772</v>
      </c>
      <c r="F37" s="263" t="s">
        <v>11773</v>
      </c>
      <c r="G37" s="263" t="s">
        <v>11093</v>
      </c>
      <c r="H37" s="263" t="s">
        <v>11021</v>
      </c>
      <c r="I37" s="263" t="s">
        <v>11774</v>
      </c>
      <c r="J37" s="263" t="s">
        <v>11775</v>
      </c>
      <c r="K37" s="263" t="s">
        <v>11776</v>
      </c>
      <c r="L37" s="263" t="s">
        <v>11777</v>
      </c>
      <c r="M37" s="263" t="s">
        <v>11166</v>
      </c>
      <c r="N37" s="263" t="s">
        <v>11021</v>
      </c>
      <c r="O37" s="263" t="s">
        <v>11778</v>
      </c>
      <c r="P37" s="263" t="s">
        <v>11779</v>
      </c>
      <c r="Q37" s="263" t="s">
        <v>11780</v>
      </c>
      <c r="R37" s="263" t="s">
        <v>11781</v>
      </c>
      <c r="S37" s="263" t="s">
        <v>11525</v>
      </c>
      <c r="T37" s="263"/>
      <c r="U37" s="263" t="s">
        <v>11709</v>
      </c>
      <c r="V37" s="263"/>
      <c r="W37" s="263"/>
      <c r="X37" s="263"/>
      <c r="Y37" s="263"/>
      <c r="Z37" s="263"/>
      <c r="AA37" s="263"/>
      <c r="AB37" s="263"/>
      <c r="AC37" s="263"/>
      <c r="AD37" s="263"/>
      <c r="AE37" s="263"/>
      <c r="AF37" s="263"/>
      <c r="AG37" s="263"/>
      <c r="AH37" s="263"/>
      <c r="AI37" s="263"/>
      <c r="AJ37" s="263"/>
      <c r="AK37" s="263"/>
      <c r="AL37" s="263"/>
      <c r="AM37" s="263"/>
      <c r="AN37" s="263"/>
      <c r="AO37" s="263"/>
      <c r="AP37" s="263"/>
      <c r="AQ37" s="263"/>
      <c r="AR37" s="263"/>
      <c r="AS37" s="263"/>
      <c r="AT37" s="263"/>
    </row>
    <row r="38" spans="1:46" x14ac:dyDescent="0.25">
      <c r="A38" s="263" t="s">
        <v>553</v>
      </c>
      <c r="B38" s="263" t="s">
        <v>29</v>
      </c>
      <c r="C38" s="263" t="s">
        <v>728</v>
      </c>
      <c r="D38" s="263" t="s">
        <v>11782</v>
      </c>
      <c r="E38" s="263" t="s">
        <v>11783</v>
      </c>
      <c r="F38" s="263" t="s">
        <v>11784</v>
      </c>
      <c r="G38" s="263" t="s">
        <v>11392</v>
      </c>
      <c r="H38" s="263" t="s">
        <v>10964</v>
      </c>
      <c r="I38" s="263" t="s">
        <v>11785</v>
      </c>
      <c r="J38" s="263" t="s">
        <v>10960</v>
      </c>
      <c r="K38" s="263" t="s">
        <v>10961</v>
      </c>
      <c r="L38" s="263" t="s">
        <v>10962</v>
      </c>
      <c r="M38" s="263" t="s">
        <v>10963</v>
      </c>
      <c r="N38" s="263" t="s">
        <v>10964</v>
      </c>
      <c r="O38" s="263" t="s">
        <v>10965</v>
      </c>
      <c r="P38" s="263" t="s">
        <v>11786</v>
      </c>
      <c r="Q38" s="263" t="s">
        <v>11787</v>
      </c>
      <c r="R38" s="263" t="s">
        <v>11788</v>
      </c>
      <c r="S38" s="263" t="s">
        <v>11789</v>
      </c>
      <c r="T38" s="263"/>
      <c r="U38" s="263" t="s">
        <v>11790</v>
      </c>
      <c r="V38" s="263" t="s">
        <v>11791</v>
      </c>
      <c r="W38" s="263" t="s">
        <v>11792</v>
      </c>
      <c r="X38" s="263" t="s">
        <v>11793</v>
      </c>
      <c r="Y38" s="263" t="s">
        <v>11794</v>
      </c>
      <c r="Z38" s="263" t="s">
        <v>11795</v>
      </c>
      <c r="AA38" s="263" t="s">
        <v>11796</v>
      </c>
      <c r="AB38" s="263" t="s">
        <v>11797</v>
      </c>
      <c r="AC38" s="263" t="s">
        <v>10978</v>
      </c>
      <c r="AD38" s="263" t="s">
        <v>10979</v>
      </c>
      <c r="AE38" s="263" t="s">
        <v>11798</v>
      </c>
      <c r="AF38" s="263" t="s">
        <v>11799</v>
      </c>
      <c r="AG38" s="263" t="s">
        <v>11800</v>
      </c>
      <c r="AH38" s="263" t="s">
        <v>11801</v>
      </c>
      <c r="AI38" s="263" t="s">
        <v>11802</v>
      </c>
      <c r="AJ38" s="263" t="s">
        <v>11803</v>
      </c>
      <c r="AK38" s="263" t="s">
        <v>11804</v>
      </c>
      <c r="AL38" s="263" t="s">
        <v>11805</v>
      </c>
      <c r="AM38" s="263" t="s">
        <v>11806</v>
      </c>
      <c r="AN38" s="263" t="s">
        <v>11807</v>
      </c>
      <c r="AO38" s="263" t="s">
        <v>11808</v>
      </c>
      <c r="AP38" s="263" t="s">
        <v>11809</v>
      </c>
      <c r="AQ38" s="263" t="s">
        <v>11810</v>
      </c>
      <c r="AR38" s="263" t="s">
        <v>11811</v>
      </c>
      <c r="AS38" s="263" t="s">
        <v>11812</v>
      </c>
      <c r="AT38" s="263" t="s">
        <v>11813</v>
      </c>
    </row>
    <row r="39" spans="1:46" x14ac:dyDescent="0.25">
      <c r="A39" s="263" t="s">
        <v>553</v>
      </c>
      <c r="B39" s="263" t="s">
        <v>28</v>
      </c>
      <c r="C39" s="263" t="s">
        <v>752</v>
      </c>
      <c r="D39" s="263" t="s">
        <v>11814</v>
      </c>
      <c r="E39" s="263" t="s">
        <v>11815</v>
      </c>
      <c r="F39" s="263" t="s">
        <v>11816</v>
      </c>
      <c r="G39" s="263" t="s">
        <v>11079</v>
      </c>
      <c r="H39" s="263" t="s">
        <v>10970</v>
      </c>
      <c r="I39" s="263" t="s">
        <v>11817</v>
      </c>
      <c r="J39" s="263" t="s">
        <v>11003</v>
      </c>
      <c r="K39" s="263" t="s">
        <v>11004</v>
      </c>
      <c r="L39" s="263" t="s">
        <v>11005</v>
      </c>
      <c r="M39" s="263" t="s">
        <v>11006</v>
      </c>
      <c r="N39" s="263" t="s">
        <v>11007</v>
      </c>
      <c r="O39" s="263" t="s">
        <v>11008</v>
      </c>
      <c r="P39" s="263" t="s">
        <v>11818</v>
      </c>
      <c r="Q39" s="263" t="s">
        <v>11819</v>
      </c>
      <c r="R39" s="263" t="s">
        <v>11820</v>
      </c>
      <c r="S39" s="263" t="s">
        <v>11821</v>
      </c>
      <c r="T39" s="263" t="s">
        <v>11822</v>
      </c>
      <c r="U39" s="263" t="s">
        <v>11440</v>
      </c>
      <c r="V39" s="263"/>
      <c r="W39" s="263"/>
      <c r="X39" s="263"/>
      <c r="Y39" s="263"/>
      <c r="Z39" s="263"/>
      <c r="AA39" s="263"/>
      <c r="AB39" s="263"/>
      <c r="AC39" s="263"/>
      <c r="AD39" s="263"/>
      <c r="AE39" s="263"/>
      <c r="AF39" s="263"/>
      <c r="AG39" s="263"/>
      <c r="AH39" s="263"/>
      <c r="AI39" s="263"/>
      <c r="AJ39" s="263"/>
      <c r="AK39" s="263"/>
      <c r="AL39" s="263"/>
      <c r="AM39" s="263"/>
      <c r="AN39" s="263"/>
      <c r="AO39" s="263"/>
      <c r="AP39" s="263"/>
      <c r="AQ39" s="263"/>
      <c r="AR39" s="263"/>
      <c r="AS39" s="263"/>
      <c r="AT39" s="263"/>
    </row>
    <row r="40" spans="1:46" x14ac:dyDescent="0.25">
      <c r="A40" s="263" t="s">
        <v>553</v>
      </c>
      <c r="B40" s="263" t="s">
        <v>30</v>
      </c>
      <c r="C40" s="263" t="s">
        <v>776</v>
      </c>
      <c r="D40" s="263" t="s">
        <v>11795</v>
      </c>
      <c r="E40" s="263" t="s">
        <v>11823</v>
      </c>
      <c r="F40" s="263" t="s">
        <v>11824</v>
      </c>
      <c r="G40" s="263" t="s">
        <v>11447</v>
      </c>
      <c r="H40" s="263" t="s">
        <v>11518</v>
      </c>
      <c r="I40" s="263" t="s">
        <v>11825</v>
      </c>
      <c r="J40" s="263" t="s">
        <v>10982</v>
      </c>
      <c r="K40" s="263" t="s">
        <v>11018</v>
      </c>
      <c r="L40" s="263" t="s">
        <v>11019</v>
      </c>
      <c r="M40" s="263" t="s">
        <v>11020</v>
      </c>
      <c r="N40" s="263" t="s">
        <v>11021</v>
      </c>
      <c r="O40" s="263" t="s">
        <v>11022</v>
      </c>
      <c r="P40" s="263" t="s">
        <v>11826</v>
      </c>
      <c r="Q40" s="263" t="s">
        <v>11827</v>
      </c>
      <c r="R40" s="263" t="s">
        <v>11828</v>
      </c>
      <c r="S40" s="263" t="s">
        <v>11829</v>
      </c>
      <c r="T40" s="263" t="s">
        <v>11720</v>
      </c>
      <c r="U40" s="263" t="s">
        <v>11830</v>
      </c>
      <c r="V40" s="263"/>
      <c r="W40" s="263"/>
      <c r="X40" s="263"/>
      <c r="Y40" s="263"/>
      <c r="Z40" s="263"/>
      <c r="AA40" s="263"/>
      <c r="AB40" s="263"/>
      <c r="AC40" s="263"/>
      <c r="AD40" s="263"/>
      <c r="AE40" s="263"/>
      <c r="AF40" s="263"/>
      <c r="AG40" s="263"/>
      <c r="AH40" s="263"/>
      <c r="AI40" s="263"/>
      <c r="AJ40" s="263"/>
      <c r="AK40" s="263"/>
      <c r="AL40" s="263"/>
      <c r="AM40" s="263"/>
      <c r="AN40" s="263"/>
      <c r="AO40" s="263"/>
      <c r="AP40" s="263"/>
      <c r="AQ40" s="263"/>
      <c r="AR40" s="263"/>
      <c r="AS40" s="263"/>
      <c r="AT40" s="263"/>
    </row>
    <row r="41" spans="1:46" x14ac:dyDescent="0.25">
      <c r="A41" s="263" t="s">
        <v>554</v>
      </c>
      <c r="B41" s="263" t="s">
        <v>29</v>
      </c>
      <c r="C41" s="263" t="s">
        <v>729</v>
      </c>
      <c r="D41" s="263" t="s">
        <v>11831</v>
      </c>
      <c r="E41" s="263" t="s">
        <v>11832</v>
      </c>
      <c r="F41" s="263" t="s">
        <v>11833</v>
      </c>
      <c r="G41" s="263" t="s">
        <v>11037</v>
      </c>
      <c r="H41" s="263" t="s">
        <v>11324</v>
      </c>
      <c r="I41" s="263" t="s">
        <v>11834</v>
      </c>
      <c r="J41" s="263" t="s">
        <v>11034</v>
      </c>
      <c r="K41" s="263" t="s">
        <v>11035</v>
      </c>
      <c r="L41" s="263" t="s">
        <v>11036</v>
      </c>
      <c r="M41" s="263" t="s">
        <v>11037</v>
      </c>
      <c r="N41" s="263" t="s">
        <v>11038</v>
      </c>
      <c r="O41" s="263" t="s">
        <v>11039</v>
      </c>
      <c r="P41" s="263" t="s">
        <v>11835</v>
      </c>
      <c r="Q41" s="263" t="s">
        <v>11836</v>
      </c>
      <c r="R41" s="263" t="s">
        <v>11837</v>
      </c>
      <c r="S41" s="263"/>
      <c r="T41" s="263" t="s">
        <v>11537</v>
      </c>
      <c r="U41" s="263" t="s">
        <v>11838</v>
      </c>
      <c r="V41" s="263" t="s">
        <v>11839</v>
      </c>
      <c r="W41" s="263" t="s">
        <v>11840</v>
      </c>
      <c r="X41" s="263" t="s">
        <v>11841</v>
      </c>
      <c r="Y41" s="263" t="s">
        <v>11842</v>
      </c>
      <c r="Z41" s="263" t="s">
        <v>11843</v>
      </c>
      <c r="AA41" s="263" t="s">
        <v>11844</v>
      </c>
      <c r="AB41" s="263" t="s">
        <v>11845</v>
      </c>
      <c r="AC41" s="263" t="s">
        <v>11051</v>
      </c>
      <c r="AD41" s="263" t="s">
        <v>11052</v>
      </c>
      <c r="AE41" s="263" t="s">
        <v>11846</v>
      </c>
      <c r="AF41" s="263" t="s">
        <v>11847</v>
      </c>
      <c r="AG41" s="263" t="s">
        <v>11848</v>
      </c>
      <c r="AH41" s="263" t="s">
        <v>11849</v>
      </c>
      <c r="AI41" s="263" t="s">
        <v>11850</v>
      </c>
      <c r="AJ41" s="263" t="s">
        <v>11851</v>
      </c>
      <c r="AK41" s="263" t="s">
        <v>11852</v>
      </c>
      <c r="AL41" s="263" t="s">
        <v>11853</v>
      </c>
      <c r="AM41" s="263" t="s">
        <v>11854</v>
      </c>
      <c r="AN41" s="263" t="s">
        <v>11855</v>
      </c>
      <c r="AO41" s="263" t="s">
        <v>11856</v>
      </c>
      <c r="AP41" s="263" t="s">
        <v>11857</v>
      </c>
      <c r="AQ41" s="263" t="s">
        <v>11858</v>
      </c>
      <c r="AR41" s="263" t="s">
        <v>11859</v>
      </c>
      <c r="AS41" s="263" t="s">
        <v>11860</v>
      </c>
      <c r="AT41" s="263" t="s">
        <v>11861</v>
      </c>
    </row>
    <row r="42" spans="1:46" x14ac:dyDescent="0.25">
      <c r="A42" s="263" t="s">
        <v>554</v>
      </c>
      <c r="B42" s="263" t="s">
        <v>28</v>
      </c>
      <c r="C42" s="263" t="s">
        <v>753</v>
      </c>
      <c r="D42" s="263" t="s">
        <v>11862</v>
      </c>
      <c r="E42" s="263" t="s">
        <v>11863</v>
      </c>
      <c r="F42" s="263" t="s">
        <v>11864</v>
      </c>
      <c r="G42" s="263" t="s">
        <v>11079</v>
      </c>
      <c r="H42" s="263" t="s">
        <v>10970</v>
      </c>
      <c r="I42" s="263" t="s">
        <v>11865</v>
      </c>
      <c r="J42" s="263" t="s">
        <v>11076</v>
      </c>
      <c r="K42" s="263" t="s">
        <v>11077</v>
      </c>
      <c r="L42" s="263" t="s">
        <v>11078</v>
      </c>
      <c r="M42" s="263" t="s">
        <v>11079</v>
      </c>
      <c r="N42" s="263" t="s">
        <v>11007</v>
      </c>
      <c r="O42" s="263" t="s">
        <v>11080</v>
      </c>
      <c r="P42" s="263" t="s">
        <v>11866</v>
      </c>
      <c r="Q42" s="263" t="s">
        <v>11867</v>
      </c>
      <c r="R42" s="263" t="s">
        <v>11868</v>
      </c>
      <c r="S42" s="263"/>
      <c r="T42" s="263" t="s">
        <v>11822</v>
      </c>
      <c r="U42" s="263" t="s">
        <v>11869</v>
      </c>
      <c r="V42" s="263"/>
      <c r="W42" s="263"/>
      <c r="X42" s="263"/>
      <c r="Y42" s="263"/>
      <c r="Z42" s="263"/>
      <c r="AA42" s="263"/>
      <c r="AB42" s="263"/>
      <c r="AC42" s="263"/>
      <c r="AD42" s="263"/>
      <c r="AE42" s="263"/>
      <c r="AF42" s="263"/>
      <c r="AG42" s="263"/>
      <c r="AH42" s="263"/>
      <c r="AI42" s="263"/>
      <c r="AJ42" s="263"/>
      <c r="AK42" s="263"/>
      <c r="AL42" s="263"/>
      <c r="AM42" s="263"/>
      <c r="AN42" s="263"/>
      <c r="AO42" s="263"/>
      <c r="AP42" s="263"/>
      <c r="AQ42" s="263"/>
      <c r="AR42" s="263"/>
      <c r="AS42" s="263"/>
      <c r="AT42" s="263"/>
    </row>
    <row r="43" spans="1:46" x14ac:dyDescent="0.25">
      <c r="A43" s="263" t="s">
        <v>554</v>
      </c>
      <c r="B43" s="263" t="s">
        <v>30</v>
      </c>
      <c r="C43" s="263" t="s">
        <v>777</v>
      </c>
      <c r="D43" s="263" t="s">
        <v>11843</v>
      </c>
      <c r="E43" s="263" t="s">
        <v>11870</v>
      </c>
      <c r="F43" s="263" t="s">
        <v>11871</v>
      </c>
      <c r="G43" s="263" t="s">
        <v>11662</v>
      </c>
      <c r="H43" s="263" t="s">
        <v>11872</v>
      </c>
      <c r="I43" s="263" t="s">
        <v>11873</v>
      </c>
      <c r="J43" s="263" t="s">
        <v>11055</v>
      </c>
      <c r="K43" s="263" t="s">
        <v>11091</v>
      </c>
      <c r="L43" s="263" t="s">
        <v>11092</v>
      </c>
      <c r="M43" s="263" t="s">
        <v>11093</v>
      </c>
      <c r="N43" s="263" t="s">
        <v>11021</v>
      </c>
      <c r="O43" s="263" t="s">
        <v>11094</v>
      </c>
      <c r="P43" s="263" t="s">
        <v>11874</v>
      </c>
      <c r="Q43" s="263" t="s">
        <v>11875</v>
      </c>
      <c r="R43" s="263" t="s">
        <v>11876</v>
      </c>
      <c r="S43" s="263" t="s">
        <v>11877</v>
      </c>
      <c r="T43" s="263" t="s">
        <v>11878</v>
      </c>
      <c r="U43" s="263" t="s">
        <v>11879</v>
      </c>
      <c r="V43" s="263"/>
      <c r="W43" s="263"/>
      <c r="X43" s="263"/>
      <c r="Y43" s="263"/>
      <c r="Z43" s="263"/>
      <c r="AA43" s="263"/>
      <c r="AB43" s="263"/>
      <c r="AC43" s="263"/>
      <c r="AD43" s="263"/>
      <c r="AE43" s="263"/>
      <c r="AF43" s="263"/>
      <c r="AG43" s="263"/>
      <c r="AH43" s="263"/>
      <c r="AI43" s="263"/>
      <c r="AJ43" s="263"/>
      <c r="AK43" s="263"/>
      <c r="AL43" s="263"/>
      <c r="AM43" s="263"/>
      <c r="AN43" s="263"/>
      <c r="AO43" s="263"/>
      <c r="AP43" s="263"/>
      <c r="AQ43" s="263"/>
      <c r="AR43" s="263"/>
      <c r="AS43" s="263"/>
      <c r="AT43" s="263"/>
    </row>
    <row r="44" spans="1:46" x14ac:dyDescent="0.25">
      <c r="A44" s="263" t="s">
        <v>555</v>
      </c>
      <c r="B44" s="263" t="s">
        <v>29</v>
      </c>
      <c r="C44" s="263" t="s">
        <v>730</v>
      </c>
      <c r="D44" s="263" t="s">
        <v>11880</v>
      </c>
      <c r="E44" s="263" t="s">
        <v>11881</v>
      </c>
      <c r="F44" s="263" t="s">
        <v>11882</v>
      </c>
      <c r="G44" s="263" t="s">
        <v>11397</v>
      </c>
      <c r="H44" s="263" t="s">
        <v>11324</v>
      </c>
      <c r="I44" s="263" t="s">
        <v>11883</v>
      </c>
      <c r="J44" s="263" t="s">
        <v>11105</v>
      </c>
      <c r="K44" s="263" t="s">
        <v>11106</v>
      </c>
      <c r="L44" s="263" t="s">
        <v>11107</v>
      </c>
      <c r="M44" s="263" t="s">
        <v>10963</v>
      </c>
      <c r="N44" s="263" t="s">
        <v>11108</v>
      </c>
      <c r="O44" s="263" t="s">
        <v>11109</v>
      </c>
      <c r="P44" s="263" t="s">
        <v>11884</v>
      </c>
      <c r="Q44" s="263" t="s">
        <v>11885</v>
      </c>
      <c r="R44" s="263" t="s">
        <v>11886</v>
      </c>
      <c r="S44" s="263" t="s">
        <v>11887</v>
      </c>
      <c r="T44" s="263" t="s">
        <v>11888</v>
      </c>
      <c r="U44" s="263" t="s">
        <v>11889</v>
      </c>
      <c r="V44" s="263" t="s">
        <v>11890</v>
      </c>
      <c r="W44" s="263" t="s">
        <v>11891</v>
      </c>
      <c r="X44" s="263" t="s">
        <v>11892</v>
      </c>
      <c r="Y44" s="263" t="s">
        <v>11893</v>
      </c>
      <c r="Z44" s="263" t="s">
        <v>11894</v>
      </c>
      <c r="AA44" s="263" t="s">
        <v>11895</v>
      </c>
      <c r="AB44" s="263" t="s">
        <v>11896</v>
      </c>
      <c r="AC44" s="263" t="s">
        <v>11122</v>
      </c>
      <c r="AD44" s="263" t="s">
        <v>11123</v>
      </c>
      <c r="AE44" s="263" t="s">
        <v>11124</v>
      </c>
      <c r="AF44" s="263" t="s">
        <v>11125</v>
      </c>
      <c r="AG44" s="263" t="s">
        <v>11126</v>
      </c>
      <c r="AH44" s="263" t="s">
        <v>11897</v>
      </c>
      <c r="AI44" s="263" t="s">
        <v>11898</v>
      </c>
      <c r="AJ44" s="263" t="s">
        <v>11899</v>
      </c>
      <c r="AK44" s="263" t="s">
        <v>11900</v>
      </c>
      <c r="AL44" s="263" t="s">
        <v>11901</v>
      </c>
      <c r="AM44" s="263" t="s">
        <v>11902</v>
      </c>
      <c r="AN44" s="263" t="s">
        <v>11903</v>
      </c>
      <c r="AO44" s="263" t="s">
        <v>11904</v>
      </c>
      <c r="AP44" s="263" t="s">
        <v>11905</v>
      </c>
      <c r="AQ44" s="263" t="s">
        <v>11906</v>
      </c>
      <c r="AR44" s="263" t="s">
        <v>11907</v>
      </c>
      <c r="AS44" s="263" t="s">
        <v>11908</v>
      </c>
      <c r="AT44" s="263" t="s">
        <v>11909</v>
      </c>
    </row>
    <row r="45" spans="1:46" x14ac:dyDescent="0.25">
      <c r="A45" s="263" t="s">
        <v>555</v>
      </c>
      <c r="B45" s="263" t="s">
        <v>28</v>
      </c>
      <c r="C45" s="263" t="s">
        <v>754</v>
      </c>
      <c r="D45" s="263" t="s">
        <v>11910</v>
      </c>
      <c r="E45" s="263" t="s">
        <v>11911</v>
      </c>
      <c r="F45" s="263" t="s">
        <v>11912</v>
      </c>
      <c r="G45" s="263" t="s">
        <v>11079</v>
      </c>
      <c r="H45" s="263" t="s">
        <v>11259</v>
      </c>
      <c r="I45" s="263" t="s">
        <v>11913</v>
      </c>
      <c r="J45" s="263" t="s">
        <v>11147</v>
      </c>
      <c r="K45" s="263" t="s">
        <v>11148</v>
      </c>
      <c r="L45" s="263" t="s">
        <v>11149</v>
      </c>
      <c r="M45" s="263" t="s">
        <v>11150</v>
      </c>
      <c r="N45" s="263" t="s">
        <v>10970</v>
      </c>
      <c r="O45" s="263" t="s">
        <v>11151</v>
      </c>
      <c r="P45" s="263" t="s">
        <v>11914</v>
      </c>
      <c r="Q45" s="263" t="s">
        <v>11915</v>
      </c>
      <c r="R45" s="263" t="s">
        <v>11916</v>
      </c>
      <c r="S45" s="263" t="s">
        <v>11917</v>
      </c>
      <c r="T45" s="263" t="s">
        <v>11304</v>
      </c>
      <c r="U45" s="263" t="s">
        <v>11918</v>
      </c>
      <c r="V45" s="263"/>
      <c r="W45" s="263"/>
      <c r="X45" s="263"/>
      <c r="Y45" s="263"/>
      <c r="Z45" s="263"/>
      <c r="AA45" s="263"/>
      <c r="AB45" s="263"/>
      <c r="AC45" s="263"/>
      <c r="AD45" s="263"/>
      <c r="AE45" s="263"/>
      <c r="AF45" s="263"/>
      <c r="AG45" s="263"/>
      <c r="AH45" s="263"/>
      <c r="AI45" s="263"/>
      <c r="AJ45" s="263"/>
      <c r="AK45" s="263"/>
      <c r="AL45" s="263"/>
      <c r="AM45" s="263"/>
      <c r="AN45" s="263"/>
      <c r="AO45" s="263"/>
      <c r="AP45" s="263"/>
      <c r="AQ45" s="263"/>
      <c r="AR45" s="263"/>
      <c r="AS45" s="263"/>
      <c r="AT45" s="263"/>
    </row>
    <row r="46" spans="1:46" x14ac:dyDescent="0.25">
      <c r="A46" s="263" t="s">
        <v>555</v>
      </c>
      <c r="B46" s="263" t="s">
        <v>30</v>
      </c>
      <c r="C46" s="263" t="s">
        <v>778</v>
      </c>
      <c r="D46" s="263" t="s">
        <v>11894</v>
      </c>
      <c r="E46" s="263" t="s">
        <v>11919</v>
      </c>
      <c r="F46" s="263" t="s">
        <v>11920</v>
      </c>
      <c r="G46" s="263" t="s">
        <v>11921</v>
      </c>
      <c r="H46" s="263" t="s">
        <v>11872</v>
      </c>
      <c r="I46" s="263" t="s">
        <v>11922</v>
      </c>
      <c r="J46" s="263" t="s">
        <v>11163</v>
      </c>
      <c r="K46" s="263" t="s">
        <v>11164</v>
      </c>
      <c r="L46" s="263" t="s">
        <v>11165</v>
      </c>
      <c r="M46" s="263" t="s">
        <v>11166</v>
      </c>
      <c r="N46" s="263" t="s">
        <v>11167</v>
      </c>
      <c r="O46" s="263" t="s">
        <v>11168</v>
      </c>
      <c r="P46" s="263" t="s">
        <v>11923</v>
      </c>
      <c r="Q46" s="263" t="s">
        <v>11924</v>
      </c>
      <c r="R46" s="263" t="s">
        <v>11925</v>
      </c>
      <c r="S46" s="263" t="s">
        <v>11926</v>
      </c>
      <c r="T46" s="263" t="s">
        <v>11523</v>
      </c>
      <c r="U46" s="263" t="s">
        <v>11927</v>
      </c>
      <c r="V46" s="263"/>
      <c r="W46" s="263"/>
      <c r="X46" s="263"/>
      <c r="Y46" s="263"/>
      <c r="Z46" s="263"/>
      <c r="AA46" s="263"/>
      <c r="AB46" s="263"/>
      <c r="AC46" s="263"/>
      <c r="AD46" s="263"/>
      <c r="AE46" s="263"/>
      <c r="AF46" s="263"/>
      <c r="AG46" s="263"/>
      <c r="AH46" s="263"/>
      <c r="AI46" s="263"/>
      <c r="AJ46" s="263"/>
      <c r="AK46" s="263"/>
      <c r="AL46" s="263"/>
      <c r="AM46" s="263"/>
      <c r="AN46" s="263"/>
      <c r="AO46" s="263"/>
      <c r="AP46" s="263"/>
      <c r="AQ46" s="263"/>
      <c r="AR46" s="263"/>
      <c r="AS46" s="263"/>
      <c r="AT46" s="263"/>
    </row>
    <row r="47" spans="1:46" x14ac:dyDescent="0.25">
      <c r="A47" s="263" t="s">
        <v>556</v>
      </c>
      <c r="B47" s="263" t="s">
        <v>29</v>
      </c>
      <c r="C47" s="263" t="s">
        <v>731</v>
      </c>
      <c r="D47" s="263" t="s">
        <v>11928</v>
      </c>
      <c r="E47" s="263" t="s">
        <v>11929</v>
      </c>
      <c r="F47" s="263" t="s">
        <v>11930</v>
      </c>
      <c r="G47" s="263" t="s">
        <v>11397</v>
      </c>
      <c r="H47" s="263" t="s">
        <v>10964</v>
      </c>
      <c r="I47" s="263" t="s">
        <v>11931</v>
      </c>
      <c r="J47" s="263" t="s">
        <v>11179</v>
      </c>
      <c r="K47" s="263" t="s">
        <v>11180</v>
      </c>
      <c r="L47" s="263" t="s">
        <v>11181</v>
      </c>
      <c r="M47" s="263" t="s">
        <v>11182</v>
      </c>
      <c r="N47" s="263" t="s">
        <v>11108</v>
      </c>
      <c r="O47" s="263" t="s">
        <v>11183</v>
      </c>
      <c r="P47" s="263" t="s">
        <v>11932</v>
      </c>
      <c r="Q47" s="263" t="s">
        <v>11933</v>
      </c>
      <c r="R47" s="263" t="s">
        <v>11934</v>
      </c>
      <c r="S47" s="263" t="s">
        <v>11935</v>
      </c>
      <c r="T47" s="263" t="s">
        <v>11936</v>
      </c>
      <c r="U47" s="263" t="s">
        <v>11937</v>
      </c>
      <c r="V47" s="263" t="s">
        <v>11938</v>
      </c>
      <c r="W47" s="263" t="s">
        <v>11939</v>
      </c>
      <c r="X47" s="263" t="s">
        <v>11940</v>
      </c>
      <c r="Y47" s="263" t="s">
        <v>11941</v>
      </c>
      <c r="Z47" s="263" t="s">
        <v>11942</v>
      </c>
      <c r="AA47" s="263" t="s">
        <v>11943</v>
      </c>
      <c r="AB47" s="263" t="s">
        <v>11944</v>
      </c>
      <c r="AC47" s="263" t="s">
        <v>11195</v>
      </c>
      <c r="AD47" s="263" t="s">
        <v>11196</v>
      </c>
      <c r="AE47" s="263" t="s">
        <v>11197</v>
      </c>
      <c r="AF47" s="263" t="s">
        <v>11198</v>
      </c>
      <c r="AG47" s="263" t="s">
        <v>11945</v>
      </c>
      <c r="AH47" s="263" t="s">
        <v>11946</v>
      </c>
      <c r="AI47" s="263" t="s">
        <v>11947</v>
      </c>
      <c r="AJ47" s="263" t="s">
        <v>11948</v>
      </c>
      <c r="AK47" s="263" t="s">
        <v>11949</v>
      </c>
      <c r="AL47" s="263" t="s">
        <v>11950</v>
      </c>
      <c r="AM47" s="263" t="s">
        <v>11951</v>
      </c>
      <c r="AN47" s="263" t="s">
        <v>11952</v>
      </c>
      <c r="AO47" s="263" t="s">
        <v>11953</v>
      </c>
      <c r="AP47" s="263" t="s">
        <v>11954</v>
      </c>
      <c r="AQ47" s="263" t="s">
        <v>11955</v>
      </c>
      <c r="AR47" s="263" t="s">
        <v>11956</v>
      </c>
      <c r="AS47" s="263" t="s">
        <v>11957</v>
      </c>
      <c r="AT47" s="263" t="s">
        <v>11958</v>
      </c>
    </row>
    <row r="48" spans="1:46" x14ac:dyDescent="0.25">
      <c r="A48" s="263" t="s">
        <v>556</v>
      </c>
      <c r="B48" s="263" t="s">
        <v>28</v>
      </c>
      <c r="C48" s="263" t="s">
        <v>755</v>
      </c>
      <c r="D48" s="263" t="s">
        <v>11959</v>
      </c>
      <c r="E48" s="263" t="s">
        <v>11960</v>
      </c>
      <c r="F48" s="263" t="s">
        <v>11961</v>
      </c>
      <c r="G48" s="263" t="s">
        <v>11079</v>
      </c>
      <c r="H48" s="263" t="s">
        <v>11962</v>
      </c>
      <c r="I48" s="263" t="s">
        <v>11963</v>
      </c>
      <c r="J48" s="263" t="s">
        <v>11220</v>
      </c>
      <c r="K48" s="263" t="s">
        <v>11221</v>
      </c>
      <c r="L48" s="263" t="s">
        <v>11222</v>
      </c>
      <c r="M48" s="263" t="s">
        <v>11223</v>
      </c>
      <c r="N48" s="263" t="s">
        <v>11007</v>
      </c>
      <c r="O48" s="263" t="s">
        <v>11224</v>
      </c>
      <c r="P48" s="263" t="s">
        <v>11964</v>
      </c>
      <c r="Q48" s="263" t="s">
        <v>11965</v>
      </c>
      <c r="R48" s="263" t="s">
        <v>11966</v>
      </c>
      <c r="S48" s="263" t="s">
        <v>11967</v>
      </c>
      <c r="T48" s="263" t="s">
        <v>11968</v>
      </c>
      <c r="U48" s="263" t="s">
        <v>11969</v>
      </c>
      <c r="V48" s="263"/>
      <c r="W48" s="263"/>
      <c r="X48" s="263"/>
      <c r="Y48" s="263"/>
      <c r="Z48" s="263"/>
      <c r="AA48" s="263"/>
      <c r="AB48" s="263"/>
      <c r="AC48" s="263"/>
      <c r="AD48" s="263"/>
      <c r="AE48" s="263"/>
      <c r="AF48" s="263"/>
      <c r="AG48" s="263"/>
      <c r="AH48" s="263"/>
      <c r="AI48" s="263"/>
      <c r="AJ48" s="263"/>
      <c r="AK48" s="263"/>
      <c r="AL48" s="263"/>
      <c r="AM48" s="263"/>
      <c r="AN48" s="263"/>
      <c r="AO48" s="263"/>
      <c r="AP48" s="263"/>
      <c r="AQ48" s="263"/>
      <c r="AR48" s="263"/>
      <c r="AS48" s="263"/>
      <c r="AT48" s="263"/>
    </row>
    <row r="49" spans="1:46" x14ac:dyDescent="0.25">
      <c r="A49" s="263" t="s">
        <v>556</v>
      </c>
      <c r="B49" s="263" t="s">
        <v>30</v>
      </c>
      <c r="C49" s="263" t="s">
        <v>779</v>
      </c>
      <c r="D49" s="263" t="s">
        <v>11942</v>
      </c>
      <c r="E49" s="263" t="s">
        <v>11970</v>
      </c>
      <c r="F49" s="263" t="s">
        <v>11971</v>
      </c>
      <c r="G49" s="263" t="s">
        <v>11972</v>
      </c>
      <c r="H49" s="263" t="s">
        <v>11872</v>
      </c>
      <c r="I49" s="263" t="s">
        <v>11973</v>
      </c>
      <c r="J49" s="263" t="s">
        <v>11199</v>
      </c>
      <c r="K49" s="263" t="s">
        <v>11234</v>
      </c>
      <c r="L49" s="263" t="s">
        <v>11235</v>
      </c>
      <c r="M49" s="263" t="s">
        <v>11236</v>
      </c>
      <c r="N49" s="263" t="s">
        <v>11237</v>
      </c>
      <c r="O49" s="263" t="s">
        <v>11238</v>
      </c>
      <c r="P49" s="263" t="s">
        <v>11974</v>
      </c>
      <c r="Q49" s="263" t="s">
        <v>11975</v>
      </c>
      <c r="R49" s="263" t="s">
        <v>11976</v>
      </c>
      <c r="S49" s="263" t="s">
        <v>11977</v>
      </c>
      <c r="T49" s="263" t="s">
        <v>11978</v>
      </c>
      <c r="U49" s="263" t="s">
        <v>11979</v>
      </c>
      <c r="V49" s="263"/>
      <c r="W49" s="263"/>
      <c r="X49" s="263"/>
      <c r="Y49" s="263"/>
      <c r="Z49" s="263"/>
      <c r="AA49" s="263"/>
      <c r="AB49" s="263"/>
      <c r="AC49" s="263"/>
      <c r="AD49" s="263"/>
      <c r="AE49" s="263"/>
      <c r="AF49" s="263"/>
      <c r="AG49" s="263"/>
      <c r="AH49" s="263"/>
      <c r="AI49" s="263"/>
      <c r="AJ49" s="263"/>
      <c r="AK49" s="263"/>
      <c r="AL49" s="263"/>
      <c r="AM49" s="263"/>
      <c r="AN49" s="263"/>
      <c r="AO49" s="263"/>
      <c r="AP49" s="263"/>
      <c r="AQ49" s="263"/>
      <c r="AR49" s="263"/>
      <c r="AS49" s="263"/>
      <c r="AT49" s="263"/>
    </row>
    <row r="50" spans="1:46" x14ac:dyDescent="0.25">
      <c r="A50" s="263" t="s">
        <v>557</v>
      </c>
      <c r="B50" s="263" t="s">
        <v>29</v>
      </c>
      <c r="C50" s="263" t="s">
        <v>732</v>
      </c>
      <c r="D50" s="263" t="s">
        <v>11980</v>
      </c>
      <c r="E50" s="263" t="s">
        <v>11981</v>
      </c>
      <c r="F50" s="263" t="s">
        <v>11982</v>
      </c>
      <c r="G50" s="263" t="s">
        <v>11392</v>
      </c>
      <c r="H50" s="263" t="s">
        <v>11237</v>
      </c>
      <c r="I50" s="263" t="s">
        <v>11983</v>
      </c>
      <c r="J50" s="263" t="s">
        <v>11250</v>
      </c>
      <c r="K50" s="263" t="s">
        <v>11251</v>
      </c>
      <c r="L50" s="263" t="s">
        <v>11252</v>
      </c>
      <c r="M50" s="263" t="s">
        <v>11253</v>
      </c>
      <c r="N50" s="263" t="s">
        <v>11254</v>
      </c>
      <c r="O50" s="263" t="s">
        <v>11255</v>
      </c>
      <c r="P50" s="263" t="s">
        <v>11984</v>
      </c>
      <c r="Q50" s="263" t="s">
        <v>11985</v>
      </c>
      <c r="R50" s="263" t="s">
        <v>11986</v>
      </c>
      <c r="S50" s="263" t="s">
        <v>11987</v>
      </c>
      <c r="T50" s="263" t="s">
        <v>11988</v>
      </c>
      <c r="U50" s="263" t="s">
        <v>11989</v>
      </c>
      <c r="V50" s="263" t="s">
        <v>11990</v>
      </c>
      <c r="W50" s="263" t="s">
        <v>11991</v>
      </c>
      <c r="X50" s="263" t="s">
        <v>11992</v>
      </c>
      <c r="Y50" s="263" t="s">
        <v>11993</v>
      </c>
      <c r="Z50" s="263" t="s">
        <v>11994</v>
      </c>
      <c r="AA50" s="263" t="s">
        <v>11995</v>
      </c>
      <c r="AB50" s="263" t="s">
        <v>11996</v>
      </c>
      <c r="AC50" s="263" t="s">
        <v>11267</v>
      </c>
      <c r="AD50" s="263" t="s">
        <v>11268</v>
      </c>
      <c r="AE50" s="263" t="s">
        <v>11997</v>
      </c>
      <c r="AF50" s="263" t="s">
        <v>11270</v>
      </c>
      <c r="AG50" s="263" t="s">
        <v>11998</v>
      </c>
      <c r="AH50" s="263" t="s">
        <v>11999</v>
      </c>
      <c r="AI50" s="263" t="s">
        <v>12000</v>
      </c>
      <c r="AJ50" s="263" t="s">
        <v>12001</v>
      </c>
      <c r="AK50" s="263" t="s">
        <v>12002</v>
      </c>
      <c r="AL50" s="263" t="s">
        <v>12003</v>
      </c>
      <c r="AM50" s="263" t="s">
        <v>12004</v>
      </c>
      <c r="AN50" s="263" t="s">
        <v>12005</v>
      </c>
      <c r="AO50" s="263" t="s">
        <v>12006</v>
      </c>
      <c r="AP50" s="263" t="s">
        <v>12007</v>
      </c>
      <c r="AQ50" s="263" t="s">
        <v>12008</v>
      </c>
      <c r="AR50" s="263" t="s">
        <v>12009</v>
      </c>
      <c r="AS50" s="263" t="s">
        <v>12010</v>
      </c>
      <c r="AT50" s="263" t="s">
        <v>12011</v>
      </c>
    </row>
    <row r="51" spans="1:46" x14ac:dyDescent="0.25">
      <c r="A51" s="263" t="s">
        <v>557</v>
      </c>
      <c r="B51" s="263" t="s">
        <v>28</v>
      </c>
      <c r="C51" s="263" t="s">
        <v>756</v>
      </c>
      <c r="D51" s="263" t="s">
        <v>12012</v>
      </c>
      <c r="E51" s="263" t="s">
        <v>12013</v>
      </c>
      <c r="F51" s="263" t="s">
        <v>12014</v>
      </c>
      <c r="G51" s="263" t="s">
        <v>11150</v>
      </c>
      <c r="H51" s="263" t="s">
        <v>12015</v>
      </c>
      <c r="I51" s="263" t="s">
        <v>12016</v>
      </c>
      <c r="J51" s="263" t="s">
        <v>11292</v>
      </c>
      <c r="K51" s="263" t="s">
        <v>11293</v>
      </c>
      <c r="L51" s="263" t="s">
        <v>11294</v>
      </c>
      <c r="M51" s="263" t="s">
        <v>11006</v>
      </c>
      <c r="N51" s="263" t="s">
        <v>11259</v>
      </c>
      <c r="O51" s="263" t="s">
        <v>11295</v>
      </c>
      <c r="P51" s="263" t="s">
        <v>12017</v>
      </c>
      <c r="Q51" s="263" t="s">
        <v>12018</v>
      </c>
      <c r="R51" s="263" t="s">
        <v>12019</v>
      </c>
      <c r="S51" s="263" t="s">
        <v>11917</v>
      </c>
      <c r="T51" s="263" t="s">
        <v>12020</v>
      </c>
      <c r="U51" s="263" t="s">
        <v>12021</v>
      </c>
      <c r="V51" s="263"/>
      <c r="W51" s="263"/>
      <c r="X51" s="263"/>
      <c r="Y51" s="263"/>
      <c r="Z51" s="263"/>
      <c r="AA51" s="263"/>
      <c r="AB51" s="263"/>
      <c r="AC51" s="263"/>
      <c r="AD51" s="263"/>
      <c r="AE51" s="263"/>
      <c r="AF51" s="263"/>
      <c r="AG51" s="263"/>
      <c r="AH51" s="263"/>
      <c r="AI51" s="263"/>
      <c r="AJ51" s="263"/>
      <c r="AK51" s="263"/>
      <c r="AL51" s="263"/>
      <c r="AM51" s="263"/>
      <c r="AN51" s="263"/>
      <c r="AO51" s="263"/>
      <c r="AP51" s="263"/>
      <c r="AQ51" s="263"/>
      <c r="AR51" s="263"/>
      <c r="AS51" s="263"/>
      <c r="AT51" s="263"/>
    </row>
    <row r="52" spans="1:46" x14ac:dyDescent="0.25">
      <c r="A52" s="263" t="s">
        <v>557</v>
      </c>
      <c r="B52" s="263" t="s">
        <v>30</v>
      </c>
      <c r="C52" s="263" t="s">
        <v>780</v>
      </c>
      <c r="D52" s="263" t="s">
        <v>11994</v>
      </c>
      <c r="E52" s="263" t="s">
        <v>12022</v>
      </c>
      <c r="F52" s="263" t="s">
        <v>12023</v>
      </c>
      <c r="G52" s="263" t="s">
        <v>11972</v>
      </c>
      <c r="H52" s="263" t="s">
        <v>11872</v>
      </c>
      <c r="I52" s="263" t="s">
        <v>12024</v>
      </c>
      <c r="J52" s="263" t="s">
        <v>11271</v>
      </c>
      <c r="K52" s="263" t="s">
        <v>11306</v>
      </c>
      <c r="L52" s="263" t="s">
        <v>11307</v>
      </c>
      <c r="M52" s="263" t="s">
        <v>11093</v>
      </c>
      <c r="N52" s="263" t="s">
        <v>11308</v>
      </c>
      <c r="O52" s="263" t="s">
        <v>11309</v>
      </c>
      <c r="P52" s="263" t="s">
        <v>12025</v>
      </c>
      <c r="Q52" s="263" t="s">
        <v>12026</v>
      </c>
      <c r="R52" s="263" t="s">
        <v>12027</v>
      </c>
      <c r="S52" s="263" t="s">
        <v>12028</v>
      </c>
      <c r="T52" s="263" t="s">
        <v>12029</v>
      </c>
      <c r="U52" s="263" t="s">
        <v>11523</v>
      </c>
      <c r="V52" s="263"/>
      <c r="W52" s="263"/>
      <c r="X52" s="263"/>
      <c r="Y52" s="263"/>
      <c r="Z52" s="263"/>
      <c r="AA52" s="263"/>
      <c r="AB52" s="263"/>
      <c r="AC52" s="263"/>
      <c r="AD52" s="263"/>
      <c r="AE52" s="263"/>
      <c r="AF52" s="263"/>
      <c r="AG52" s="263"/>
      <c r="AH52" s="263"/>
      <c r="AI52" s="263"/>
      <c r="AJ52" s="263"/>
      <c r="AK52" s="263"/>
      <c r="AL52" s="263"/>
      <c r="AM52" s="263"/>
      <c r="AN52" s="263"/>
      <c r="AO52" s="263"/>
      <c r="AP52" s="263"/>
      <c r="AQ52" s="263"/>
      <c r="AR52" s="263"/>
      <c r="AS52" s="263"/>
      <c r="AT52" s="263"/>
    </row>
    <row r="53" spans="1:46" x14ac:dyDescent="0.25">
      <c r="A53" s="263" t="s">
        <v>558</v>
      </c>
      <c r="B53" s="263" t="s">
        <v>29</v>
      </c>
      <c r="C53" s="263" t="s">
        <v>733</v>
      </c>
      <c r="D53" s="263" t="s">
        <v>12030</v>
      </c>
      <c r="E53" s="263" t="s">
        <v>12031</v>
      </c>
      <c r="F53" s="263" t="s">
        <v>12032</v>
      </c>
      <c r="G53" s="263" t="s">
        <v>10963</v>
      </c>
      <c r="H53" s="263" t="s">
        <v>11308</v>
      </c>
      <c r="I53" s="263" t="s">
        <v>12033</v>
      </c>
      <c r="J53" s="263" t="s">
        <v>11320</v>
      </c>
      <c r="K53" s="263" t="s">
        <v>11321</v>
      </c>
      <c r="L53" s="263" t="s">
        <v>11322</v>
      </c>
      <c r="M53" s="263" t="s">
        <v>11323</v>
      </c>
      <c r="N53" s="263" t="s">
        <v>11324</v>
      </c>
      <c r="O53" s="263" t="s">
        <v>11325</v>
      </c>
      <c r="P53" s="263" t="s">
        <v>11721</v>
      </c>
      <c r="Q53" s="263" t="s">
        <v>12034</v>
      </c>
      <c r="R53" s="263" t="s">
        <v>12035</v>
      </c>
      <c r="S53" s="263" t="s">
        <v>12036</v>
      </c>
      <c r="T53" s="263" t="s">
        <v>11872</v>
      </c>
      <c r="U53" s="263" t="s">
        <v>12037</v>
      </c>
      <c r="V53" s="263" t="s">
        <v>12038</v>
      </c>
      <c r="W53" s="263" t="s">
        <v>12039</v>
      </c>
      <c r="X53" s="263" t="s">
        <v>12040</v>
      </c>
      <c r="Y53" s="263" t="s">
        <v>12041</v>
      </c>
      <c r="Z53" s="263" t="s">
        <v>12042</v>
      </c>
      <c r="AA53" s="263" t="s">
        <v>12043</v>
      </c>
      <c r="AB53" s="263" t="s">
        <v>12044</v>
      </c>
      <c r="AC53" s="263" t="s">
        <v>11336</v>
      </c>
      <c r="AD53" s="263" t="s">
        <v>11337</v>
      </c>
      <c r="AE53" s="263" t="s">
        <v>11338</v>
      </c>
      <c r="AF53" s="263" t="s">
        <v>11339</v>
      </c>
      <c r="AG53" s="263" t="s">
        <v>11340</v>
      </c>
      <c r="AH53" s="263" t="s">
        <v>12045</v>
      </c>
      <c r="AI53" s="263" t="s">
        <v>12046</v>
      </c>
      <c r="AJ53" s="263" t="s">
        <v>12047</v>
      </c>
      <c r="AK53" s="263" t="s">
        <v>12048</v>
      </c>
      <c r="AL53" s="263" t="s">
        <v>12049</v>
      </c>
      <c r="AM53" s="263" t="s">
        <v>12050</v>
      </c>
      <c r="AN53" s="263" t="s">
        <v>12051</v>
      </c>
      <c r="AO53" s="263" t="s">
        <v>12052</v>
      </c>
      <c r="AP53" s="263" t="s">
        <v>12053</v>
      </c>
      <c r="AQ53" s="263" t="s">
        <v>12054</v>
      </c>
      <c r="AR53" s="263" t="s">
        <v>12055</v>
      </c>
      <c r="AS53" s="263" t="s">
        <v>12056</v>
      </c>
      <c r="AT53" s="263" t="s">
        <v>12057</v>
      </c>
    </row>
    <row r="54" spans="1:46" x14ac:dyDescent="0.25">
      <c r="A54" s="263" t="s">
        <v>558</v>
      </c>
      <c r="B54" s="263" t="s">
        <v>28</v>
      </c>
      <c r="C54" s="263" t="s">
        <v>757</v>
      </c>
      <c r="D54" s="263" t="s">
        <v>12058</v>
      </c>
      <c r="E54" s="263" t="s">
        <v>12059</v>
      </c>
      <c r="F54" s="263" t="s">
        <v>12060</v>
      </c>
      <c r="G54" s="263" t="s">
        <v>11006</v>
      </c>
      <c r="H54" s="263" t="s">
        <v>12061</v>
      </c>
      <c r="I54" s="263" t="s">
        <v>12062</v>
      </c>
      <c r="J54" s="263" t="s">
        <v>11361</v>
      </c>
      <c r="K54" s="263" t="s">
        <v>11362</v>
      </c>
      <c r="L54" s="263" t="s">
        <v>11363</v>
      </c>
      <c r="M54" s="263" t="s">
        <v>11364</v>
      </c>
      <c r="N54" s="263" t="s">
        <v>11259</v>
      </c>
      <c r="O54" s="263" t="s">
        <v>11365</v>
      </c>
      <c r="P54" s="263" t="s">
        <v>12063</v>
      </c>
      <c r="Q54" s="263" t="s">
        <v>12064</v>
      </c>
      <c r="R54" s="263" t="s">
        <v>12065</v>
      </c>
      <c r="S54" s="263" t="s">
        <v>12066</v>
      </c>
      <c r="T54" s="263" t="s">
        <v>12067</v>
      </c>
      <c r="U54" s="263" t="s">
        <v>12068</v>
      </c>
      <c r="V54" s="263"/>
      <c r="W54" s="263"/>
      <c r="X54" s="263"/>
      <c r="Y54" s="263"/>
      <c r="Z54" s="263"/>
      <c r="AA54" s="263"/>
      <c r="AB54" s="263"/>
      <c r="AC54" s="263"/>
      <c r="AD54" s="263"/>
      <c r="AE54" s="263"/>
      <c r="AF54" s="263"/>
      <c r="AG54" s="263"/>
      <c r="AH54" s="263"/>
      <c r="AI54" s="263"/>
      <c r="AJ54" s="263"/>
      <c r="AK54" s="263"/>
      <c r="AL54" s="263"/>
      <c r="AM54" s="263"/>
      <c r="AN54" s="263"/>
      <c r="AO54" s="263"/>
      <c r="AP54" s="263"/>
      <c r="AQ54" s="263"/>
      <c r="AR54" s="263"/>
      <c r="AS54" s="263"/>
      <c r="AT54" s="263"/>
    </row>
    <row r="55" spans="1:46" x14ac:dyDescent="0.25">
      <c r="A55" s="263" t="s">
        <v>558</v>
      </c>
      <c r="B55" s="263" t="s">
        <v>30</v>
      </c>
      <c r="C55" s="263" t="s">
        <v>781</v>
      </c>
      <c r="D55" s="263" t="s">
        <v>12042</v>
      </c>
      <c r="E55" s="263" t="s">
        <v>12069</v>
      </c>
      <c r="F55" s="263" t="s">
        <v>12070</v>
      </c>
      <c r="G55" s="263" t="s">
        <v>12071</v>
      </c>
      <c r="H55" s="263" t="s">
        <v>11027</v>
      </c>
      <c r="I55" s="263" t="s">
        <v>12072</v>
      </c>
      <c r="J55" s="263" t="s">
        <v>11340</v>
      </c>
      <c r="K55" s="263" t="s">
        <v>11375</v>
      </c>
      <c r="L55" s="263" t="s">
        <v>11376</v>
      </c>
      <c r="M55" s="263" t="s">
        <v>11377</v>
      </c>
      <c r="N55" s="263" t="s">
        <v>11167</v>
      </c>
      <c r="O55" s="263" t="s">
        <v>11378</v>
      </c>
      <c r="P55" s="263" t="s">
        <v>12073</v>
      </c>
      <c r="Q55" s="263" t="s">
        <v>12074</v>
      </c>
      <c r="R55" s="263" t="s">
        <v>12075</v>
      </c>
      <c r="S55" s="263" t="s">
        <v>12076</v>
      </c>
      <c r="T55" s="263" t="s">
        <v>12077</v>
      </c>
      <c r="U55" s="263" t="s">
        <v>12078</v>
      </c>
      <c r="V55" s="263"/>
      <c r="W55" s="263"/>
      <c r="X55" s="263"/>
      <c r="Y55" s="263"/>
      <c r="Z55" s="263"/>
      <c r="AA55" s="263"/>
      <c r="AB55" s="263"/>
      <c r="AC55" s="263"/>
      <c r="AD55" s="263"/>
      <c r="AE55" s="263"/>
      <c r="AF55" s="263"/>
      <c r="AG55" s="263"/>
      <c r="AH55" s="263"/>
      <c r="AI55" s="263"/>
      <c r="AJ55" s="263"/>
      <c r="AK55" s="263"/>
      <c r="AL55" s="263"/>
      <c r="AM55" s="263"/>
      <c r="AN55" s="263"/>
      <c r="AO55" s="263"/>
      <c r="AP55" s="263"/>
      <c r="AQ55" s="263"/>
      <c r="AR55" s="263"/>
      <c r="AS55" s="263"/>
      <c r="AT55" s="263"/>
    </row>
    <row r="56" spans="1:46" x14ac:dyDescent="0.25">
      <c r="A56" s="263" t="s">
        <v>559</v>
      </c>
      <c r="B56" s="263" t="s">
        <v>29</v>
      </c>
      <c r="C56" s="263" t="s">
        <v>734</v>
      </c>
      <c r="D56" s="263" t="s">
        <v>12079</v>
      </c>
      <c r="E56" s="263" t="s">
        <v>12080</v>
      </c>
      <c r="F56" s="263" t="s">
        <v>12081</v>
      </c>
      <c r="G56" s="263" t="s">
        <v>12082</v>
      </c>
      <c r="H56" s="263" t="s">
        <v>11237</v>
      </c>
      <c r="I56" s="263" t="s">
        <v>12083</v>
      </c>
      <c r="J56" s="263" t="s">
        <v>11389</v>
      </c>
      <c r="K56" s="263" t="s">
        <v>11390</v>
      </c>
      <c r="L56" s="263" t="s">
        <v>11391</v>
      </c>
      <c r="M56" s="263" t="s">
        <v>11392</v>
      </c>
      <c r="N56" s="263" t="s">
        <v>11038</v>
      </c>
      <c r="O56" s="263" t="s">
        <v>11393</v>
      </c>
      <c r="P56" s="263" t="s">
        <v>12084</v>
      </c>
      <c r="Q56" s="263" t="s">
        <v>12085</v>
      </c>
      <c r="R56" s="263" t="s">
        <v>12086</v>
      </c>
      <c r="S56" s="263" t="s">
        <v>12087</v>
      </c>
      <c r="T56" s="263" t="s">
        <v>12088</v>
      </c>
      <c r="U56" s="263" t="s">
        <v>12089</v>
      </c>
      <c r="V56" s="263" t="s">
        <v>12090</v>
      </c>
      <c r="W56" s="263" t="s">
        <v>12091</v>
      </c>
      <c r="X56" s="263" t="s">
        <v>12092</v>
      </c>
      <c r="Y56" s="263" t="s">
        <v>12093</v>
      </c>
      <c r="Z56" s="263" t="s">
        <v>12094</v>
      </c>
      <c r="AA56" s="263" t="s">
        <v>12095</v>
      </c>
      <c r="AB56" s="263" t="s">
        <v>12096</v>
      </c>
      <c r="AC56" s="263" t="s">
        <v>11405</v>
      </c>
      <c r="AD56" s="263" t="s">
        <v>11406</v>
      </c>
      <c r="AE56" s="263" t="s">
        <v>12097</v>
      </c>
      <c r="AF56" s="263" t="s">
        <v>11408</v>
      </c>
      <c r="AG56" s="263" t="s">
        <v>12098</v>
      </c>
      <c r="AH56" s="263" t="s">
        <v>12099</v>
      </c>
      <c r="AI56" s="263" t="s">
        <v>12100</v>
      </c>
      <c r="AJ56" s="263" t="s">
        <v>12101</v>
      </c>
      <c r="AK56" s="263" t="s">
        <v>12102</v>
      </c>
      <c r="AL56" s="263" t="s">
        <v>12103</v>
      </c>
      <c r="AM56" s="263" t="s">
        <v>12104</v>
      </c>
      <c r="AN56" s="263" t="s">
        <v>12105</v>
      </c>
      <c r="AO56" s="263" t="s">
        <v>12106</v>
      </c>
      <c r="AP56" s="263" t="s">
        <v>12107</v>
      </c>
      <c r="AQ56" s="263" t="s">
        <v>12108</v>
      </c>
      <c r="AR56" s="263" t="s">
        <v>12109</v>
      </c>
      <c r="AS56" s="263" t="s">
        <v>12110</v>
      </c>
      <c r="AT56" s="263" t="s">
        <v>12111</v>
      </c>
    </row>
    <row r="57" spans="1:46" x14ac:dyDescent="0.25">
      <c r="A57" s="263" t="s">
        <v>559</v>
      </c>
      <c r="B57" s="263" t="s">
        <v>28</v>
      </c>
      <c r="C57" s="263" t="s">
        <v>758</v>
      </c>
      <c r="D57" s="263" t="s">
        <v>12112</v>
      </c>
      <c r="E57" s="263" t="s">
        <v>12113</v>
      </c>
      <c r="F57" s="263" t="s">
        <v>12114</v>
      </c>
      <c r="G57" s="263" t="s">
        <v>11079</v>
      </c>
      <c r="H57" s="263" t="s">
        <v>12115</v>
      </c>
      <c r="I57" s="263" t="s">
        <v>12116</v>
      </c>
      <c r="J57" s="263" t="s">
        <v>11430</v>
      </c>
      <c r="K57" s="263" t="s">
        <v>11431</v>
      </c>
      <c r="L57" s="263" t="s">
        <v>11432</v>
      </c>
      <c r="M57" s="263" t="s">
        <v>11223</v>
      </c>
      <c r="N57" s="263" t="s">
        <v>11084</v>
      </c>
      <c r="O57" s="263" t="s">
        <v>11433</v>
      </c>
      <c r="P57" s="263" t="s">
        <v>12117</v>
      </c>
      <c r="Q57" s="263" t="s">
        <v>12118</v>
      </c>
      <c r="R57" s="263" t="s">
        <v>12119</v>
      </c>
      <c r="S57" s="263" t="s">
        <v>11967</v>
      </c>
      <c r="T57" s="263" t="s">
        <v>12120</v>
      </c>
      <c r="U57" s="263" t="s">
        <v>12121</v>
      </c>
      <c r="V57" s="263"/>
      <c r="W57" s="263"/>
      <c r="X57" s="263"/>
      <c r="Y57" s="263"/>
      <c r="Z57" s="263"/>
      <c r="AA57" s="263"/>
      <c r="AB57" s="263"/>
      <c r="AC57" s="263"/>
      <c r="AD57" s="263"/>
      <c r="AE57" s="263"/>
      <c r="AF57" s="263"/>
      <c r="AG57" s="263"/>
      <c r="AH57" s="263"/>
      <c r="AI57" s="263"/>
      <c r="AJ57" s="263"/>
      <c r="AK57" s="263"/>
      <c r="AL57" s="263"/>
      <c r="AM57" s="263"/>
      <c r="AN57" s="263"/>
      <c r="AO57" s="263"/>
      <c r="AP57" s="263"/>
      <c r="AQ57" s="263"/>
      <c r="AR57" s="263"/>
      <c r="AS57" s="263"/>
      <c r="AT57" s="263"/>
    </row>
    <row r="58" spans="1:46" x14ac:dyDescent="0.25">
      <c r="A58" s="263" t="s">
        <v>559</v>
      </c>
      <c r="B58" s="263" t="s">
        <v>30</v>
      </c>
      <c r="C58" s="263" t="s">
        <v>782</v>
      </c>
      <c r="D58" s="263" t="s">
        <v>12122</v>
      </c>
      <c r="E58" s="263" t="s">
        <v>12123</v>
      </c>
      <c r="F58" s="263" t="s">
        <v>12124</v>
      </c>
      <c r="G58" s="263" t="s">
        <v>11662</v>
      </c>
      <c r="H58" s="263" t="s">
        <v>11872</v>
      </c>
      <c r="I58" s="263" t="s">
        <v>12125</v>
      </c>
      <c r="J58" s="263" t="s">
        <v>11409</v>
      </c>
      <c r="K58" s="263" t="s">
        <v>11445</v>
      </c>
      <c r="L58" s="263" t="s">
        <v>11446</v>
      </c>
      <c r="M58" s="263" t="s">
        <v>11447</v>
      </c>
      <c r="N58" s="263" t="s">
        <v>11167</v>
      </c>
      <c r="O58" s="263" t="s">
        <v>11448</v>
      </c>
      <c r="P58" s="263" t="s">
        <v>12126</v>
      </c>
      <c r="Q58" s="263" t="s">
        <v>12127</v>
      </c>
      <c r="R58" s="263" t="s">
        <v>12128</v>
      </c>
      <c r="S58" s="263" t="s">
        <v>12129</v>
      </c>
      <c r="T58" s="263" t="s">
        <v>11523</v>
      </c>
      <c r="U58" s="263" t="s">
        <v>12130</v>
      </c>
      <c r="V58" s="263"/>
      <c r="W58" s="263"/>
      <c r="X58" s="263"/>
      <c r="Y58" s="263"/>
      <c r="Z58" s="263"/>
      <c r="AA58" s="263"/>
      <c r="AB58" s="263"/>
      <c r="AC58" s="263"/>
      <c r="AD58" s="263"/>
      <c r="AE58" s="263"/>
      <c r="AF58" s="263"/>
      <c r="AG58" s="263"/>
      <c r="AH58" s="263"/>
      <c r="AI58" s="263"/>
      <c r="AJ58" s="263"/>
      <c r="AK58" s="263"/>
      <c r="AL58" s="263"/>
      <c r="AM58" s="263"/>
      <c r="AN58" s="263"/>
      <c r="AO58" s="263"/>
      <c r="AP58" s="263"/>
      <c r="AQ58" s="263"/>
      <c r="AR58" s="263"/>
      <c r="AS58" s="263"/>
      <c r="AT58" s="263"/>
    </row>
    <row r="59" spans="1:46" x14ac:dyDescent="0.25">
      <c r="A59" s="263" t="s">
        <v>560</v>
      </c>
      <c r="B59" s="263" t="s">
        <v>29</v>
      </c>
      <c r="C59" s="263" t="s">
        <v>735</v>
      </c>
      <c r="D59" s="263" t="s">
        <v>12131</v>
      </c>
      <c r="E59" s="263" t="s">
        <v>12132</v>
      </c>
      <c r="F59" s="263" t="s">
        <v>12133</v>
      </c>
      <c r="G59" s="263" t="s">
        <v>12134</v>
      </c>
      <c r="H59" s="263" t="s">
        <v>11007</v>
      </c>
      <c r="I59" s="263" t="s">
        <v>12135</v>
      </c>
      <c r="J59" s="263" t="s">
        <v>11458</v>
      </c>
      <c r="K59" s="263" t="s">
        <v>11459</v>
      </c>
      <c r="L59" s="263" t="s">
        <v>11460</v>
      </c>
      <c r="M59" s="263" t="s">
        <v>11461</v>
      </c>
      <c r="N59" s="263" t="s">
        <v>11038</v>
      </c>
      <c r="O59" s="263" t="s">
        <v>11462</v>
      </c>
      <c r="P59" s="263" t="s">
        <v>12136</v>
      </c>
      <c r="Q59" s="263" t="s">
        <v>12137</v>
      </c>
      <c r="R59" s="263" t="s">
        <v>12138</v>
      </c>
      <c r="S59" s="263" t="s">
        <v>12139</v>
      </c>
      <c r="T59" s="263" t="s">
        <v>12140</v>
      </c>
      <c r="U59" s="263" t="s">
        <v>12141</v>
      </c>
      <c r="V59" s="263" t="s">
        <v>12142</v>
      </c>
      <c r="W59" s="263" t="s">
        <v>12143</v>
      </c>
      <c r="X59" s="263" t="s">
        <v>12144</v>
      </c>
      <c r="Y59" s="263" t="s">
        <v>12145</v>
      </c>
      <c r="Z59" s="263" t="s">
        <v>12146</v>
      </c>
      <c r="AA59" s="263" t="s">
        <v>12147</v>
      </c>
      <c r="AB59" s="263" t="s">
        <v>12148</v>
      </c>
      <c r="AC59" s="263" t="s">
        <v>11472</v>
      </c>
      <c r="AD59" s="263" t="s">
        <v>11473</v>
      </c>
      <c r="AE59" s="263" t="s">
        <v>12149</v>
      </c>
      <c r="AF59" s="263" t="s">
        <v>11475</v>
      </c>
      <c r="AG59" s="263" t="s">
        <v>12150</v>
      </c>
      <c r="AH59" s="263" t="s">
        <v>12151</v>
      </c>
      <c r="AI59" s="263" t="s">
        <v>12152</v>
      </c>
      <c r="AJ59" s="263" t="s">
        <v>12153</v>
      </c>
      <c r="AK59" s="263" t="s">
        <v>12154</v>
      </c>
      <c r="AL59" s="263" t="s">
        <v>12155</v>
      </c>
      <c r="AM59" s="263" t="s">
        <v>12156</v>
      </c>
      <c r="AN59" s="263" t="s">
        <v>12157</v>
      </c>
      <c r="AO59" s="263" t="s">
        <v>12158</v>
      </c>
      <c r="AP59" s="263" t="s">
        <v>12159</v>
      </c>
      <c r="AQ59" s="263" t="s">
        <v>12160</v>
      </c>
      <c r="AR59" s="263" t="s">
        <v>12161</v>
      </c>
      <c r="AS59" s="263" t="s">
        <v>12162</v>
      </c>
      <c r="AT59" s="263" t="s">
        <v>12163</v>
      </c>
    </row>
    <row r="60" spans="1:46" x14ac:dyDescent="0.25">
      <c r="A60" s="263" t="s">
        <v>560</v>
      </c>
      <c r="B60" s="263" t="s">
        <v>28</v>
      </c>
      <c r="C60" s="263" t="s">
        <v>759</v>
      </c>
      <c r="D60" s="263" t="s">
        <v>12164</v>
      </c>
      <c r="E60" s="263" t="s">
        <v>12165</v>
      </c>
      <c r="F60" s="263" t="s">
        <v>12166</v>
      </c>
      <c r="G60" s="263" t="s">
        <v>11150</v>
      </c>
      <c r="H60" s="263" t="s">
        <v>11007</v>
      </c>
      <c r="I60" s="263" t="s">
        <v>12167</v>
      </c>
      <c r="J60" s="263" t="s">
        <v>11497</v>
      </c>
      <c r="K60" s="263" t="s">
        <v>11498</v>
      </c>
      <c r="L60" s="263" t="s">
        <v>11499</v>
      </c>
      <c r="M60" s="263" t="s">
        <v>11150</v>
      </c>
      <c r="N60" s="263" t="s">
        <v>10970</v>
      </c>
      <c r="O60" s="263" t="s">
        <v>11500</v>
      </c>
      <c r="P60" s="263" t="s">
        <v>12168</v>
      </c>
      <c r="Q60" s="263" t="s">
        <v>12169</v>
      </c>
      <c r="R60" s="263" t="s">
        <v>12170</v>
      </c>
      <c r="S60" s="263"/>
      <c r="T60" s="263" t="s">
        <v>11016</v>
      </c>
      <c r="U60" s="263" t="s">
        <v>12171</v>
      </c>
      <c r="V60" s="263"/>
      <c r="W60" s="263"/>
      <c r="X60" s="263"/>
      <c r="Y60" s="263"/>
      <c r="Z60" s="263"/>
      <c r="AA60" s="263"/>
      <c r="AB60" s="263"/>
      <c r="AC60" s="263"/>
      <c r="AD60" s="263"/>
      <c r="AE60" s="263"/>
      <c r="AF60" s="263"/>
      <c r="AG60" s="263"/>
      <c r="AH60" s="263"/>
      <c r="AI60" s="263"/>
      <c r="AJ60" s="263"/>
      <c r="AK60" s="263"/>
      <c r="AL60" s="263"/>
      <c r="AM60" s="263"/>
      <c r="AN60" s="263"/>
      <c r="AO60" s="263"/>
      <c r="AP60" s="263"/>
      <c r="AQ60" s="263"/>
      <c r="AR60" s="263"/>
      <c r="AS60" s="263"/>
      <c r="AT60" s="263"/>
    </row>
    <row r="61" spans="1:46" x14ac:dyDescent="0.25">
      <c r="A61" s="263" t="s">
        <v>560</v>
      </c>
      <c r="B61" s="263" t="s">
        <v>30</v>
      </c>
      <c r="C61" s="263" t="s">
        <v>783</v>
      </c>
      <c r="D61" s="263" t="s">
        <v>12146</v>
      </c>
      <c r="E61" s="263" t="s">
        <v>12172</v>
      </c>
      <c r="F61" s="263" t="s">
        <v>12173</v>
      </c>
      <c r="G61" s="263" t="s">
        <v>12174</v>
      </c>
      <c r="H61" s="263" t="s">
        <v>11237</v>
      </c>
      <c r="I61" s="263" t="s">
        <v>12175</v>
      </c>
      <c r="J61" s="263" t="s">
        <v>11476</v>
      </c>
      <c r="K61" s="263" t="s">
        <v>11510</v>
      </c>
      <c r="L61" s="263" t="s">
        <v>11511</v>
      </c>
      <c r="M61" s="263" t="s">
        <v>11512</v>
      </c>
      <c r="N61" s="263" t="s">
        <v>11513</v>
      </c>
      <c r="O61" s="263" t="s">
        <v>11514</v>
      </c>
      <c r="P61" s="263" t="s">
        <v>12176</v>
      </c>
      <c r="Q61" s="263" t="s">
        <v>12063</v>
      </c>
      <c r="R61" s="263" t="s">
        <v>12177</v>
      </c>
      <c r="S61" s="263" t="s">
        <v>12178</v>
      </c>
      <c r="T61" s="263" t="s">
        <v>12179</v>
      </c>
      <c r="U61" s="263" t="s">
        <v>12180</v>
      </c>
      <c r="V61" s="263"/>
      <c r="W61" s="263"/>
      <c r="X61" s="263"/>
      <c r="Y61" s="263"/>
      <c r="Z61" s="263"/>
      <c r="AA61" s="263"/>
      <c r="AB61" s="263"/>
      <c r="AC61" s="263"/>
      <c r="AD61" s="263"/>
      <c r="AE61" s="263"/>
      <c r="AF61" s="263"/>
      <c r="AG61" s="263"/>
      <c r="AH61" s="263"/>
      <c r="AI61" s="263"/>
      <c r="AJ61" s="263"/>
      <c r="AK61" s="263"/>
      <c r="AL61" s="263"/>
      <c r="AM61" s="263"/>
      <c r="AN61" s="263"/>
      <c r="AO61" s="263"/>
      <c r="AP61" s="263"/>
      <c r="AQ61" s="263"/>
      <c r="AR61" s="263"/>
      <c r="AS61" s="263"/>
      <c r="AT61" s="263"/>
    </row>
    <row r="62" spans="1:46" x14ac:dyDescent="0.25">
      <c r="A62" s="263" t="s">
        <v>561</v>
      </c>
      <c r="B62" s="263" t="s">
        <v>29</v>
      </c>
      <c r="C62" s="263" t="s">
        <v>736</v>
      </c>
      <c r="D62" s="263" t="s">
        <v>12181</v>
      </c>
      <c r="E62" s="263" t="s">
        <v>12182</v>
      </c>
      <c r="F62" s="263" t="s">
        <v>12183</v>
      </c>
      <c r="G62" s="263" t="s">
        <v>11392</v>
      </c>
      <c r="H62" s="263" t="s">
        <v>11038</v>
      </c>
      <c r="I62" s="263" t="s">
        <v>12184</v>
      </c>
      <c r="J62" s="263" t="s">
        <v>11526</v>
      </c>
      <c r="K62" s="263" t="s">
        <v>11527</v>
      </c>
      <c r="L62" s="263" t="s">
        <v>11528</v>
      </c>
      <c r="M62" s="263" t="s">
        <v>11461</v>
      </c>
      <c r="N62" s="263" t="s">
        <v>11324</v>
      </c>
      <c r="O62" s="263" t="s">
        <v>11529</v>
      </c>
      <c r="P62" s="263" t="s">
        <v>12185</v>
      </c>
      <c r="Q62" s="263" t="s">
        <v>12186</v>
      </c>
      <c r="R62" s="263" t="s">
        <v>12187</v>
      </c>
      <c r="S62" s="263" t="s">
        <v>12087</v>
      </c>
      <c r="T62" s="263" t="s">
        <v>12188</v>
      </c>
      <c r="U62" s="263" t="s">
        <v>12189</v>
      </c>
      <c r="V62" s="263" t="s">
        <v>12190</v>
      </c>
      <c r="W62" s="263" t="s">
        <v>12191</v>
      </c>
      <c r="X62" s="263" t="s">
        <v>12192</v>
      </c>
      <c r="Y62" s="263" t="s">
        <v>12193</v>
      </c>
      <c r="Z62" s="263" t="s">
        <v>12194</v>
      </c>
      <c r="AA62" s="263" t="s">
        <v>12195</v>
      </c>
      <c r="AB62" s="263" t="s">
        <v>12196</v>
      </c>
      <c r="AC62" s="263" t="s">
        <v>11539</v>
      </c>
      <c r="AD62" s="263" t="s">
        <v>11540</v>
      </c>
      <c r="AE62" s="263" t="s">
        <v>11541</v>
      </c>
      <c r="AF62" s="263" t="s">
        <v>11542</v>
      </c>
      <c r="AG62" s="263" t="s">
        <v>12197</v>
      </c>
      <c r="AH62" s="263" t="s">
        <v>12198</v>
      </c>
      <c r="AI62" s="263" t="s">
        <v>12199</v>
      </c>
      <c r="AJ62" s="263" t="s">
        <v>12200</v>
      </c>
      <c r="AK62" s="263" t="s">
        <v>12201</v>
      </c>
      <c r="AL62" s="263" t="s">
        <v>12202</v>
      </c>
      <c r="AM62" s="263" t="s">
        <v>12203</v>
      </c>
      <c r="AN62" s="263" t="s">
        <v>12204</v>
      </c>
      <c r="AO62" s="263" t="s">
        <v>12205</v>
      </c>
      <c r="AP62" s="263" t="s">
        <v>12206</v>
      </c>
      <c r="AQ62" s="263" t="s">
        <v>12207</v>
      </c>
      <c r="AR62" s="263" t="s">
        <v>12208</v>
      </c>
      <c r="AS62" s="263" t="s">
        <v>12209</v>
      </c>
      <c r="AT62" s="263" t="s">
        <v>12210</v>
      </c>
    </row>
    <row r="63" spans="1:46" x14ac:dyDescent="0.25">
      <c r="A63" s="263" t="s">
        <v>561</v>
      </c>
      <c r="B63" s="263" t="s">
        <v>28</v>
      </c>
      <c r="C63" s="263" t="s">
        <v>760</v>
      </c>
      <c r="D63" s="263" t="s">
        <v>12211</v>
      </c>
      <c r="E63" s="263" t="s">
        <v>12212</v>
      </c>
      <c r="F63" s="263" t="s">
        <v>12213</v>
      </c>
      <c r="G63" s="263" t="s">
        <v>11079</v>
      </c>
      <c r="H63" s="263" t="s">
        <v>11308</v>
      </c>
      <c r="I63" s="263" t="s">
        <v>12214</v>
      </c>
      <c r="J63" s="263" t="s">
        <v>11564</v>
      </c>
      <c r="K63" s="263" t="s">
        <v>11565</v>
      </c>
      <c r="L63" s="263" t="s">
        <v>11566</v>
      </c>
      <c r="M63" s="263" t="s">
        <v>11150</v>
      </c>
      <c r="N63" s="263" t="s">
        <v>11007</v>
      </c>
      <c r="O63" s="263" t="s">
        <v>11567</v>
      </c>
      <c r="P63" s="263" t="s">
        <v>12215</v>
      </c>
      <c r="Q63" s="263" t="s">
        <v>11536</v>
      </c>
      <c r="R63" s="263" t="s">
        <v>12216</v>
      </c>
      <c r="S63" s="263" t="s">
        <v>11917</v>
      </c>
      <c r="T63" s="263" t="s">
        <v>12217</v>
      </c>
      <c r="U63" s="263" t="s">
        <v>12218</v>
      </c>
      <c r="V63" s="263"/>
      <c r="W63" s="263"/>
      <c r="X63" s="263"/>
      <c r="Y63" s="263"/>
      <c r="Z63" s="263"/>
      <c r="AA63" s="263"/>
      <c r="AB63" s="263"/>
      <c r="AC63" s="263"/>
      <c r="AD63" s="263"/>
      <c r="AE63" s="263"/>
      <c r="AF63" s="263"/>
      <c r="AG63" s="263"/>
      <c r="AH63" s="263"/>
      <c r="AI63" s="263"/>
      <c r="AJ63" s="263"/>
      <c r="AK63" s="263"/>
      <c r="AL63" s="263"/>
      <c r="AM63" s="263"/>
      <c r="AN63" s="263"/>
      <c r="AO63" s="263"/>
      <c r="AP63" s="263"/>
      <c r="AQ63" s="263"/>
      <c r="AR63" s="263"/>
      <c r="AS63" s="263"/>
      <c r="AT63" s="263"/>
    </row>
    <row r="64" spans="1:46" x14ac:dyDescent="0.25">
      <c r="A64" s="263" t="s">
        <v>561</v>
      </c>
      <c r="B64" s="263" t="s">
        <v>30</v>
      </c>
      <c r="C64" s="263" t="s">
        <v>784</v>
      </c>
      <c r="D64" s="263" t="s">
        <v>12194</v>
      </c>
      <c r="E64" s="263" t="s">
        <v>12219</v>
      </c>
      <c r="F64" s="263" t="s">
        <v>12220</v>
      </c>
      <c r="G64" s="263" t="s">
        <v>12221</v>
      </c>
      <c r="H64" s="263" t="s">
        <v>11308</v>
      </c>
      <c r="I64" s="263" t="s">
        <v>12222</v>
      </c>
      <c r="J64" s="263" t="s">
        <v>11543</v>
      </c>
      <c r="K64" s="263" t="s">
        <v>11576</v>
      </c>
      <c r="L64" s="263" t="s">
        <v>11577</v>
      </c>
      <c r="M64" s="263" t="s">
        <v>11512</v>
      </c>
      <c r="N64" s="263" t="s">
        <v>11167</v>
      </c>
      <c r="O64" s="263" t="s">
        <v>11578</v>
      </c>
      <c r="P64" s="263" t="s">
        <v>12223</v>
      </c>
      <c r="Q64" s="263" t="s">
        <v>12224</v>
      </c>
      <c r="R64" s="263" t="s">
        <v>12225</v>
      </c>
      <c r="S64" s="263" t="s">
        <v>11454</v>
      </c>
      <c r="T64" s="263" t="s">
        <v>11318</v>
      </c>
      <c r="U64" s="263" t="s">
        <v>12226</v>
      </c>
      <c r="V64" s="263"/>
      <c r="W64" s="263"/>
      <c r="X64" s="263"/>
      <c r="Y64" s="263"/>
      <c r="Z64" s="263"/>
      <c r="AA64" s="263"/>
      <c r="AB64" s="263"/>
      <c r="AC64" s="263"/>
      <c r="AD64" s="263"/>
      <c r="AE64" s="263"/>
      <c r="AF64" s="263"/>
      <c r="AG64" s="263"/>
      <c r="AH64" s="263"/>
      <c r="AI64" s="263"/>
      <c r="AJ64" s="263"/>
      <c r="AK64" s="263"/>
      <c r="AL64" s="263"/>
      <c r="AM64" s="263"/>
      <c r="AN64" s="263"/>
      <c r="AO64" s="263"/>
      <c r="AP64" s="263"/>
      <c r="AQ64" s="263"/>
      <c r="AR64" s="263"/>
      <c r="AS64" s="263"/>
      <c r="AT64" s="263"/>
    </row>
    <row r="65" spans="1:46" x14ac:dyDescent="0.25">
      <c r="A65" s="263" t="s">
        <v>562</v>
      </c>
      <c r="B65" s="263" t="s">
        <v>29</v>
      </c>
      <c r="C65" s="263" t="s">
        <v>737</v>
      </c>
      <c r="D65" s="263" t="s">
        <v>12227</v>
      </c>
      <c r="E65" s="263" t="s">
        <v>12228</v>
      </c>
      <c r="F65" s="263" t="s">
        <v>12229</v>
      </c>
      <c r="G65" s="263" t="s">
        <v>12230</v>
      </c>
      <c r="H65" s="263" t="s">
        <v>10964</v>
      </c>
      <c r="I65" s="263" t="s">
        <v>11466</v>
      </c>
      <c r="J65" s="263" t="s">
        <v>11591</v>
      </c>
      <c r="K65" s="263" t="s">
        <v>11592</v>
      </c>
      <c r="L65" s="263" t="s">
        <v>11593</v>
      </c>
      <c r="M65" s="263" t="s">
        <v>11594</v>
      </c>
      <c r="N65" s="263" t="s">
        <v>11114</v>
      </c>
      <c r="O65" s="263" t="s">
        <v>11595</v>
      </c>
      <c r="P65" s="263" t="s">
        <v>12231</v>
      </c>
      <c r="Q65" s="263" t="s">
        <v>12232</v>
      </c>
      <c r="R65" s="263" t="s">
        <v>12233</v>
      </c>
      <c r="S65" s="263" t="s">
        <v>12234</v>
      </c>
      <c r="T65" s="263" t="s">
        <v>12235</v>
      </c>
      <c r="U65" s="263" t="s">
        <v>12236</v>
      </c>
      <c r="V65" s="263" t="s">
        <v>12237</v>
      </c>
      <c r="W65" s="263" t="s">
        <v>12238</v>
      </c>
      <c r="X65" s="263" t="s">
        <v>12239</v>
      </c>
      <c r="Y65" s="263" t="s">
        <v>12240</v>
      </c>
      <c r="Z65" s="263" t="s">
        <v>12241</v>
      </c>
      <c r="AA65" s="263" t="s">
        <v>12242</v>
      </c>
      <c r="AB65" s="263" t="s">
        <v>12243</v>
      </c>
      <c r="AC65" s="263" t="s">
        <v>11605</v>
      </c>
      <c r="AD65" s="263" t="s">
        <v>11606</v>
      </c>
      <c r="AE65" s="263" t="s">
        <v>11607</v>
      </c>
      <c r="AF65" s="263" t="s">
        <v>11608</v>
      </c>
      <c r="AG65" s="263" t="s">
        <v>11609</v>
      </c>
      <c r="AH65" s="263" t="s">
        <v>12244</v>
      </c>
      <c r="AI65" s="263" t="s">
        <v>12245</v>
      </c>
      <c r="AJ65" s="263" t="s">
        <v>12246</v>
      </c>
      <c r="AK65" s="263" t="s">
        <v>12247</v>
      </c>
      <c r="AL65" s="263" t="s">
        <v>12248</v>
      </c>
      <c r="AM65" s="263" t="s">
        <v>12249</v>
      </c>
      <c r="AN65" s="263" t="s">
        <v>12250</v>
      </c>
      <c r="AO65" s="263" t="s">
        <v>12251</v>
      </c>
      <c r="AP65" s="263" t="s">
        <v>12252</v>
      </c>
      <c r="AQ65" s="263" t="s">
        <v>12253</v>
      </c>
      <c r="AR65" s="263" t="s">
        <v>12254</v>
      </c>
      <c r="AS65" s="263" t="s">
        <v>12255</v>
      </c>
      <c r="AT65" s="263" t="s">
        <v>12256</v>
      </c>
    </row>
    <row r="66" spans="1:46" x14ac:dyDescent="0.25">
      <c r="A66" s="263" t="s">
        <v>562</v>
      </c>
      <c r="B66" s="263" t="s">
        <v>28</v>
      </c>
      <c r="C66" s="263" t="s">
        <v>761</v>
      </c>
      <c r="D66" s="263" t="s">
        <v>12257</v>
      </c>
      <c r="E66" s="263" t="s">
        <v>12258</v>
      </c>
      <c r="F66" s="263" t="s">
        <v>12259</v>
      </c>
      <c r="G66" s="263" t="s">
        <v>11006</v>
      </c>
      <c r="H66" s="263" t="s">
        <v>10970</v>
      </c>
      <c r="I66" s="263" t="s">
        <v>12260</v>
      </c>
      <c r="J66" s="263" t="s">
        <v>11630</v>
      </c>
      <c r="K66" s="263" t="s">
        <v>11631</v>
      </c>
      <c r="L66" s="263" t="s">
        <v>11632</v>
      </c>
      <c r="M66" s="263" t="s">
        <v>11633</v>
      </c>
      <c r="N66" s="263" t="s">
        <v>11259</v>
      </c>
      <c r="O66" s="263" t="s">
        <v>11634</v>
      </c>
      <c r="P66" s="263" t="s">
        <v>12261</v>
      </c>
      <c r="Q66" s="263" t="s">
        <v>12262</v>
      </c>
      <c r="R66" s="263" t="s">
        <v>12263</v>
      </c>
      <c r="S66" s="263" t="s">
        <v>12264</v>
      </c>
      <c r="T66" s="263" t="s">
        <v>12265</v>
      </c>
      <c r="U66" s="263" t="s">
        <v>12266</v>
      </c>
      <c r="V66" s="263"/>
      <c r="W66" s="263"/>
      <c r="X66" s="263"/>
      <c r="Y66" s="263"/>
      <c r="Z66" s="263"/>
      <c r="AA66" s="263"/>
      <c r="AB66" s="263"/>
      <c r="AC66" s="263"/>
      <c r="AD66" s="263"/>
      <c r="AE66" s="263"/>
      <c r="AF66" s="263"/>
      <c r="AG66" s="263"/>
      <c r="AH66" s="263"/>
      <c r="AI66" s="263"/>
      <c r="AJ66" s="263"/>
      <c r="AK66" s="263"/>
      <c r="AL66" s="263"/>
      <c r="AM66" s="263"/>
      <c r="AN66" s="263"/>
      <c r="AO66" s="263"/>
      <c r="AP66" s="263"/>
      <c r="AQ66" s="263"/>
      <c r="AR66" s="263"/>
      <c r="AS66" s="263"/>
      <c r="AT66" s="263"/>
    </row>
    <row r="67" spans="1:46" x14ac:dyDescent="0.25">
      <c r="A67" s="263" t="s">
        <v>562</v>
      </c>
      <c r="B67" s="263" t="s">
        <v>30</v>
      </c>
      <c r="C67" s="263" t="s">
        <v>785</v>
      </c>
      <c r="D67" s="263" t="s">
        <v>12241</v>
      </c>
      <c r="E67" s="263" t="s">
        <v>12267</v>
      </c>
      <c r="F67" s="263" t="s">
        <v>12268</v>
      </c>
      <c r="G67" s="263" t="s">
        <v>12269</v>
      </c>
      <c r="H67" s="263" t="s">
        <v>11872</v>
      </c>
      <c r="I67" s="263" t="s">
        <v>12270</v>
      </c>
      <c r="J67" s="263" t="s">
        <v>11609</v>
      </c>
      <c r="K67" s="263" t="s">
        <v>11644</v>
      </c>
      <c r="L67" s="263" t="s">
        <v>11645</v>
      </c>
      <c r="M67" s="263" t="s">
        <v>11236</v>
      </c>
      <c r="N67" s="263" t="s">
        <v>11167</v>
      </c>
      <c r="O67" s="263" t="s">
        <v>11646</v>
      </c>
      <c r="P67" s="263" t="s">
        <v>12271</v>
      </c>
      <c r="Q67" s="263" t="s">
        <v>12272</v>
      </c>
      <c r="R67" s="263" t="s">
        <v>12273</v>
      </c>
      <c r="S67" s="263" t="s">
        <v>12274</v>
      </c>
      <c r="T67" s="263" t="s">
        <v>11523</v>
      </c>
      <c r="U67" s="263" t="s">
        <v>12275</v>
      </c>
      <c r="V67" s="263"/>
      <c r="W67" s="263"/>
      <c r="X67" s="263"/>
      <c r="Y67" s="263"/>
      <c r="Z67" s="263"/>
      <c r="AA67" s="263"/>
      <c r="AB67" s="263"/>
      <c r="AC67" s="263"/>
      <c r="AD67" s="263"/>
      <c r="AE67" s="263"/>
      <c r="AF67" s="263"/>
      <c r="AG67" s="263"/>
      <c r="AH67" s="263"/>
      <c r="AI67" s="263"/>
      <c r="AJ67" s="263"/>
      <c r="AK67" s="263"/>
      <c r="AL67" s="263"/>
      <c r="AM67" s="263"/>
      <c r="AN67" s="263"/>
      <c r="AO67" s="263"/>
      <c r="AP67" s="263"/>
      <c r="AQ67" s="263"/>
      <c r="AR67" s="263"/>
      <c r="AS67" s="263"/>
      <c r="AT67" s="263"/>
    </row>
    <row r="68" spans="1:46" x14ac:dyDescent="0.25">
      <c r="A68" s="263" t="s">
        <v>563</v>
      </c>
      <c r="B68" s="263" t="s">
        <v>29</v>
      </c>
      <c r="C68" s="263" t="s">
        <v>738</v>
      </c>
      <c r="D68" s="263" t="s">
        <v>12276</v>
      </c>
      <c r="E68" s="263" t="s">
        <v>12277</v>
      </c>
      <c r="F68" s="263" t="s">
        <v>12278</v>
      </c>
      <c r="G68" s="263" t="s">
        <v>11323</v>
      </c>
      <c r="H68" s="263" t="s">
        <v>11114</v>
      </c>
      <c r="I68" s="263" t="s">
        <v>12279</v>
      </c>
      <c r="J68" s="263" t="s">
        <v>11659</v>
      </c>
      <c r="K68" s="263" t="s">
        <v>11660</v>
      </c>
      <c r="L68" s="263" t="s">
        <v>11661</v>
      </c>
      <c r="M68" s="263" t="s">
        <v>11662</v>
      </c>
      <c r="N68" s="263" t="s">
        <v>11108</v>
      </c>
      <c r="O68" s="263" t="s">
        <v>11663</v>
      </c>
      <c r="P68" s="263" t="s">
        <v>12280</v>
      </c>
      <c r="Q68" s="263" t="s">
        <v>12281</v>
      </c>
      <c r="R68" s="263" t="s">
        <v>12282</v>
      </c>
      <c r="S68" s="263" t="s">
        <v>12283</v>
      </c>
      <c r="T68" s="263" t="s">
        <v>12284</v>
      </c>
      <c r="U68" s="263" t="s">
        <v>12285</v>
      </c>
      <c r="V68" s="263" t="s">
        <v>12286</v>
      </c>
      <c r="W68" s="263" t="s">
        <v>12287</v>
      </c>
      <c r="X68" s="263" t="s">
        <v>12288</v>
      </c>
      <c r="Y68" s="263" t="s">
        <v>12289</v>
      </c>
      <c r="Z68" s="263" t="s">
        <v>12290</v>
      </c>
      <c r="AA68" s="263" t="s">
        <v>12291</v>
      </c>
      <c r="AB68" s="263" t="s">
        <v>12292</v>
      </c>
      <c r="AC68" s="263" t="s">
        <v>11673</v>
      </c>
      <c r="AD68" s="263" t="s">
        <v>11674</v>
      </c>
      <c r="AE68" s="263" t="s">
        <v>11675</v>
      </c>
      <c r="AF68" s="263" t="s">
        <v>11676</v>
      </c>
      <c r="AG68" s="263" t="s">
        <v>11677</v>
      </c>
      <c r="AH68" s="263" t="s">
        <v>12293</v>
      </c>
      <c r="AI68" s="263" t="s">
        <v>12294</v>
      </c>
      <c r="AJ68" s="263" t="s">
        <v>12295</v>
      </c>
      <c r="AK68" s="263" t="s">
        <v>12296</v>
      </c>
      <c r="AL68" s="263" t="s">
        <v>12297</v>
      </c>
      <c r="AM68" s="263" t="s">
        <v>12298</v>
      </c>
      <c r="AN68" s="263" t="s">
        <v>12299</v>
      </c>
      <c r="AO68" s="263" t="s">
        <v>12300</v>
      </c>
      <c r="AP68" s="263" t="s">
        <v>12301</v>
      </c>
      <c r="AQ68" s="263" t="s">
        <v>12302</v>
      </c>
      <c r="AR68" s="263" t="s">
        <v>12303</v>
      </c>
      <c r="AS68" s="263" t="s">
        <v>12304</v>
      </c>
      <c r="AT68" s="263" t="s">
        <v>12305</v>
      </c>
    </row>
    <row r="69" spans="1:46" x14ac:dyDescent="0.25">
      <c r="A69" s="263" t="s">
        <v>563</v>
      </c>
      <c r="B69" s="263" t="s">
        <v>28</v>
      </c>
      <c r="C69" s="263" t="s">
        <v>762</v>
      </c>
      <c r="D69" s="263" t="s">
        <v>12306</v>
      </c>
      <c r="E69" s="263" t="s">
        <v>12307</v>
      </c>
      <c r="F69" s="263" t="s">
        <v>12308</v>
      </c>
      <c r="G69" s="263" t="s">
        <v>11150</v>
      </c>
      <c r="H69" s="263" t="s">
        <v>10970</v>
      </c>
      <c r="I69" s="263" t="s">
        <v>12309</v>
      </c>
      <c r="J69" s="263" t="s">
        <v>11698</v>
      </c>
      <c r="K69" s="263" t="s">
        <v>11699</v>
      </c>
      <c r="L69" s="263" t="s">
        <v>11700</v>
      </c>
      <c r="M69" s="263" t="s">
        <v>11223</v>
      </c>
      <c r="N69" s="263" t="s">
        <v>11259</v>
      </c>
      <c r="O69" s="263" t="s">
        <v>11701</v>
      </c>
      <c r="P69" s="263" t="s">
        <v>12310</v>
      </c>
      <c r="Q69" s="263" t="s">
        <v>12311</v>
      </c>
      <c r="R69" s="263" t="s">
        <v>12312</v>
      </c>
      <c r="S69" s="263" t="s">
        <v>11506</v>
      </c>
      <c r="T69" s="263" t="s">
        <v>12265</v>
      </c>
      <c r="U69" s="263" t="s">
        <v>12313</v>
      </c>
      <c r="V69" s="263"/>
      <c r="W69" s="263"/>
      <c r="X69" s="263"/>
      <c r="Y69" s="263"/>
      <c r="Z69" s="263"/>
      <c r="AA69" s="263"/>
      <c r="AB69" s="263"/>
      <c r="AC69" s="263"/>
      <c r="AD69" s="263"/>
      <c r="AE69" s="263"/>
      <c r="AF69" s="263"/>
      <c r="AG69" s="263"/>
      <c r="AH69" s="263"/>
      <c r="AI69" s="263"/>
      <c r="AJ69" s="263"/>
      <c r="AK69" s="263"/>
      <c r="AL69" s="263"/>
      <c r="AM69" s="263"/>
      <c r="AN69" s="263"/>
      <c r="AO69" s="263"/>
      <c r="AP69" s="263"/>
      <c r="AQ69" s="263"/>
      <c r="AR69" s="263"/>
      <c r="AS69" s="263"/>
      <c r="AT69" s="263"/>
    </row>
    <row r="70" spans="1:46" x14ac:dyDescent="0.25">
      <c r="A70" s="263" t="s">
        <v>563</v>
      </c>
      <c r="B70" s="263" t="s">
        <v>30</v>
      </c>
      <c r="C70" s="263" t="s">
        <v>786</v>
      </c>
      <c r="D70" s="263" t="s">
        <v>12290</v>
      </c>
      <c r="E70" s="263" t="s">
        <v>12314</v>
      </c>
      <c r="F70" s="263" t="s">
        <v>12315</v>
      </c>
      <c r="G70" s="263" t="s">
        <v>12316</v>
      </c>
      <c r="H70" s="263" t="s">
        <v>11167</v>
      </c>
      <c r="I70" s="263" t="s">
        <v>12317</v>
      </c>
      <c r="J70" s="263" t="s">
        <v>11677</v>
      </c>
      <c r="K70" s="263" t="s">
        <v>11710</v>
      </c>
      <c r="L70" s="263" t="s">
        <v>11711</v>
      </c>
      <c r="M70" s="263" t="s">
        <v>11236</v>
      </c>
      <c r="N70" s="263" t="s">
        <v>11518</v>
      </c>
      <c r="O70" s="263" t="s">
        <v>11712</v>
      </c>
      <c r="P70" s="263" t="s">
        <v>12318</v>
      </c>
      <c r="Q70" s="263" t="s">
        <v>12319</v>
      </c>
      <c r="R70" s="263" t="s">
        <v>12320</v>
      </c>
      <c r="S70" s="263" t="s">
        <v>12321</v>
      </c>
      <c r="T70" s="263" t="s">
        <v>12322</v>
      </c>
      <c r="U70" s="263" t="s">
        <v>12087</v>
      </c>
      <c r="V70" s="263"/>
      <c r="W70" s="263"/>
      <c r="X70" s="263"/>
      <c r="Y70" s="263"/>
      <c r="Z70" s="263"/>
      <c r="AA70" s="263"/>
      <c r="AB70" s="263"/>
      <c r="AC70" s="263"/>
      <c r="AD70" s="263"/>
      <c r="AE70" s="263"/>
      <c r="AF70" s="263"/>
      <c r="AG70" s="263"/>
      <c r="AH70" s="263"/>
      <c r="AI70" s="263"/>
      <c r="AJ70" s="263"/>
      <c r="AK70" s="263"/>
      <c r="AL70" s="263"/>
      <c r="AM70" s="263"/>
      <c r="AN70" s="263"/>
      <c r="AO70" s="263"/>
      <c r="AP70" s="263"/>
      <c r="AQ70" s="263"/>
      <c r="AR70" s="263"/>
      <c r="AS70" s="263"/>
      <c r="AT70" s="263"/>
    </row>
    <row r="71" spans="1:46" x14ac:dyDescent="0.25">
      <c r="A71" s="263" t="s">
        <v>564</v>
      </c>
      <c r="B71" s="263" t="s">
        <v>29</v>
      </c>
      <c r="C71" s="263" t="s">
        <v>739</v>
      </c>
      <c r="D71" s="263" t="s">
        <v>12323</v>
      </c>
      <c r="E71" s="263" t="s">
        <v>12324</v>
      </c>
      <c r="F71" s="263" t="s">
        <v>12325</v>
      </c>
      <c r="G71" s="263" t="s">
        <v>11594</v>
      </c>
      <c r="H71" s="263" t="s">
        <v>11007</v>
      </c>
      <c r="I71" s="263" t="s">
        <v>12326</v>
      </c>
      <c r="J71" s="263" t="s">
        <v>11722</v>
      </c>
      <c r="K71" s="263" t="s">
        <v>11723</v>
      </c>
      <c r="L71" s="263" t="s">
        <v>11724</v>
      </c>
      <c r="M71" s="263" t="s">
        <v>10963</v>
      </c>
      <c r="N71" s="263" t="s">
        <v>11114</v>
      </c>
      <c r="O71" s="263" t="s">
        <v>11725</v>
      </c>
      <c r="P71" s="263" t="s">
        <v>12327</v>
      </c>
      <c r="Q71" s="263" t="s">
        <v>12328</v>
      </c>
      <c r="R71" s="263" t="s">
        <v>12329</v>
      </c>
      <c r="S71" s="263" t="s">
        <v>12330</v>
      </c>
      <c r="T71" s="263" t="s">
        <v>12331</v>
      </c>
      <c r="U71" s="263" t="s">
        <v>12332</v>
      </c>
      <c r="V71" s="263" t="s">
        <v>12333</v>
      </c>
      <c r="W71" s="263" t="s">
        <v>12334</v>
      </c>
      <c r="X71" s="263" t="s">
        <v>12335</v>
      </c>
      <c r="Y71" s="263" t="s">
        <v>12336</v>
      </c>
      <c r="Z71" s="263" t="s">
        <v>12337</v>
      </c>
      <c r="AA71" s="263" t="s">
        <v>12338</v>
      </c>
      <c r="AB71" s="263" t="s">
        <v>12339</v>
      </c>
      <c r="AC71" s="263" t="s">
        <v>12340</v>
      </c>
      <c r="AD71" s="263" t="s">
        <v>11735</v>
      </c>
      <c r="AE71" s="263" t="s">
        <v>12341</v>
      </c>
      <c r="AF71" s="263" t="s">
        <v>12342</v>
      </c>
      <c r="AG71" s="263" t="s">
        <v>12343</v>
      </c>
      <c r="AH71" s="263" t="s">
        <v>12344</v>
      </c>
      <c r="AI71" s="263" t="s">
        <v>12345</v>
      </c>
      <c r="AJ71" s="263" t="s">
        <v>12346</v>
      </c>
      <c r="AK71" s="263" t="s">
        <v>12347</v>
      </c>
      <c r="AL71" s="263" t="s">
        <v>12348</v>
      </c>
      <c r="AM71" s="263" t="s">
        <v>12349</v>
      </c>
      <c r="AN71" s="263" t="s">
        <v>12350</v>
      </c>
      <c r="AO71" s="263" t="s">
        <v>12351</v>
      </c>
      <c r="AP71" s="263" t="s">
        <v>12352</v>
      </c>
      <c r="AQ71" s="263" t="s">
        <v>12353</v>
      </c>
      <c r="AR71" s="263" t="s">
        <v>12354</v>
      </c>
      <c r="AS71" s="263" t="s">
        <v>12355</v>
      </c>
      <c r="AT71" s="263" t="s">
        <v>12356</v>
      </c>
    </row>
    <row r="72" spans="1:46" x14ac:dyDescent="0.25">
      <c r="A72" s="263" t="s">
        <v>564</v>
      </c>
      <c r="B72" s="263" t="s">
        <v>28</v>
      </c>
      <c r="C72" s="263" t="s">
        <v>763</v>
      </c>
      <c r="D72" s="263" t="s">
        <v>12357</v>
      </c>
      <c r="E72" s="263" t="s">
        <v>12358</v>
      </c>
      <c r="F72" s="263" t="s">
        <v>12359</v>
      </c>
      <c r="G72" s="263" t="s">
        <v>11150</v>
      </c>
      <c r="H72" s="263" t="s">
        <v>11518</v>
      </c>
      <c r="I72" s="263" t="s">
        <v>12360</v>
      </c>
      <c r="J72" s="263" t="s">
        <v>11759</v>
      </c>
      <c r="K72" s="263" t="s">
        <v>11760</v>
      </c>
      <c r="L72" s="263" t="s">
        <v>11761</v>
      </c>
      <c r="M72" s="263" t="s">
        <v>11150</v>
      </c>
      <c r="N72" s="263" t="s">
        <v>11084</v>
      </c>
      <c r="O72" s="263" t="s">
        <v>11762</v>
      </c>
      <c r="P72" s="263" t="s">
        <v>12361</v>
      </c>
      <c r="Q72" s="263" t="s">
        <v>12362</v>
      </c>
      <c r="R72" s="263" t="s">
        <v>12363</v>
      </c>
      <c r="S72" s="263"/>
      <c r="T72" s="263" t="s">
        <v>12364</v>
      </c>
      <c r="U72" s="263" t="s">
        <v>12365</v>
      </c>
      <c r="V72" s="263"/>
      <c r="W72" s="263"/>
      <c r="X72" s="263"/>
      <c r="Y72" s="263"/>
      <c r="Z72" s="263"/>
      <c r="AA72" s="263"/>
      <c r="AB72" s="263"/>
      <c r="AC72" s="263"/>
      <c r="AD72" s="263"/>
      <c r="AE72" s="263"/>
      <c r="AF72" s="263"/>
      <c r="AG72" s="263"/>
      <c r="AH72" s="263"/>
      <c r="AI72" s="263"/>
      <c r="AJ72" s="263"/>
      <c r="AK72" s="263"/>
      <c r="AL72" s="263"/>
      <c r="AM72" s="263"/>
      <c r="AN72" s="263"/>
      <c r="AO72" s="263"/>
      <c r="AP72" s="263"/>
      <c r="AQ72" s="263"/>
      <c r="AR72" s="263"/>
      <c r="AS72" s="263"/>
      <c r="AT72" s="263"/>
    </row>
    <row r="73" spans="1:46" x14ac:dyDescent="0.25">
      <c r="A73" s="263" t="s">
        <v>564</v>
      </c>
      <c r="B73" s="263" t="s">
        <v>30</v>
      </c>
      <c r="C73" s="263" t="s">
        <v>787</v>
      </c>
      <c r="D73" s="263" t="s">
        <v>12337</v>
      </c>
      <c r="E73" s="263" t="s">
        <v>12366</v>
      </c>
      <c r="F73" s="263" t="s">
        <v>12367</v>
      </c>
      <c r="G73" s="263" t="s">
        <v>12368</v>
      </c>
      <c r="H73" s="263" t="s">
        <v>12369</v>
      </c>
      <c r="I73" s="263" t="s">
        <v>12370</v>
      </c>
      <c r="J73" s="263" t="s">
        <v>11738</v>
      </c>
      <c r="K73" s="263" t="s">
        <v>11772</v>
      </c>
      <c r="L73" s="263" t="s">
        <v>11773</v>
      </c>
      <c r="M73" s="263" t="s">
        <v>11093</v>
      </c>
      <c r="N73" s="263" t="s">
        <v>11021</v>
      </c>
      <c r="O73" s="263" t="s">
        <v>11774</v>
      </c>
      <c r="P73" s="263" t="s">
        <v>12371</v>
      </c>
      <c r="Q73" s="263" t="s">
        <v>12372</v>
      </c>
      <c r="R73" s="263" t="s">
        <v>12373</v>
      </c>
      <c r="S73" s="263" t="s">
        <v>12374</v>
      </c>
      <c r="T73" s="263" t="s">
        <v>12375</v>
      </c>
      <c r="U73" s="263" t="s">
        <v>12376</v>
      </c>
      <c r="V73" s="263"/>
      <c r="W73" s="263"/>
      <c r="X73" s="263"/>
      <c r="Y73" s="263"/>
      <c r="Z73" s="263"/>
      <c r="AA73" s="263"/>
      <c r="AB73" s="263"/>
      <c r="AC73" s="263"/>
      <c r="AD73" s="263"/>
      <c r="AE73" s="263"/>
      <c r="AF73" s="263"/>
      <c r="AG73" s="263"/>
      <c r="AH73" s="263"/>
      <c r="AI73" s="263"/>
      <c r="AJ73" s="263"/>
      <c r="AK73" s="263"/>
      <c r="AL73" s="263"/>
      <c r="AM73" s="263"/>
      <c r="AN73" s="263"/>
      <c r="AO73" s="263"/>
      <c r="AP73" s="263"/>
      <c r="AQ73" s="263"/>
      <c r="AR73" s="263"/>
      <c r="AS73" s="263"/>
      <c r="AT73" s="263"/>
    </row>
  </sheetData>
  <phoneticPr fontId="22"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101"/>
  <sheetViews>
    <sheetView workbookViewId="0">
      <selection activeCell="I13" sqref="I13"/>
    </sheetView>
  </sheetViews>
  <sheetFormatPr defaultColWidth="8.81640625" defaultRowHeight="14" x14ac:dyDescent="0.25"/>
  <cols>
    <col min="4" max="4" width="14.6328125" customWidth="1"/>
    <col min="28" max="28" width="10.36328125" bestFit="1" customWidth="1"/>
    <col min="30" max="30" width="10.26953125" bestFit="1" customWidth="1"/>
    <col min="31" max="31" width="16.81640625" bestFit="1" customWidth="1"/>
    <col min="33" max="33" width="9.26953125" bestFit="1" customWidth="1"/>
  </cols>
  <sheetData>
    <row r="1" spans="1:39" x14ac:dyDescent="0.25">
      <c r="A1" t="s">
        <v>482</v>
      </c>
      <c r="B1" t="s">
        <v>711</v>
      </c>
      <c r="C1" t="s">
        <v>1281</v>
      </c>
      <c r="D1" t="s">
        <v>3249</v>
      </c>
      <c r="E1" t="s">
        <v>137</v>
      </c>
      <c r="F1" t="s">
        <v>3250</v>
      </c>
      <c r="G1" t="s">
        <v>3251</v>
      </c>
      <c r="H1" t="s">
        <v>3252</v>
      </c>
      <c r="I1" t="s">
        <v>3253</v>
      </c>
      <c r="J1" s="252" t="s">
        <v>128</v>
      </c>
      <c r="K1" s="252" t="s">
        <v>3254</v>
      </c>
      <c r="L1" t="s">
        <v>107</v>
      </c>
      <c r="M1" t="s">
        <v>3157</v>
      </c>
      <c r="N1" t="s">
        <v>22</v>
      </c>
      <c r="O1" t="s">
        <v>495</v>
      </c>
      <c r="P1" t="s">
        <v>108</v>
      </c>
      <c r="Q1" t="s">
        <v>3158</v>
      </c>
      <c r="R1" t="s">
        <v>21</v>
      </c>
      <c r="S1" t="s">
        <v>3255</v>
      </c>
      <c r="T1" t="s">
        <v>3256</v>
      </c>
      <c r="U1" t="s">
        <v>3257</v>
      </c>
      <c r="V1" t="s">
        <v>3258</v>
      </c>
      <c r="W1" t="s">
        <v>1289</v>
      </c>
      <c r="X1" t="s">
        <v>3259</v>
      </c>
      <c r="Y1" t="s">
        <v>568</v>
      </c>
      <c r="Z1" t="s">
        <v>1286</v>
      </c>
      <c r="AA1" t="s">
        <v>3260</v>
      </c>
      <c r="AB1" s="252" t="s">
        <v>12380</v>
      </c>
      <c r="AC1" s="252" t="s">
        <v>12381</v>
      </c>
      <c r="AD1" s="252" t="s">
        <v>12386</v>
      </c>
      <c r="AE1" s="252" t="s">
        <v>12382</v>
      </c>
      <c r="AF1" s="252" t="s">
        <v>12391</v>
      </c>
      <c r="AG1" s="252" t="s">
        <v>12392</v>
      </c>
      <c r="AH1" s="252" t="s">
        <v>3169</v>
      </c>
      <c r="AI1" s="252" t="s">
        <v>3174</v>
      </c>
      <c r="AJ1" s="252" t="s">
        <v>3175</v>
      </c>
      <c r="AK1" s="252" t="s">
        <v>3176</v>
      </c>
      <c r="AL1" s="252" t="s">
        <v>12393</v>
      </c>
      <c r="AM1" s="252" t="s">
        <v>12394</v>
      </c>
    </row>
    <row r="2" spans="1:39" x14ac:dyDescent="0.25">
      <c r="A2" t="s">
        <v>564</v>
      </c>
      <c r="B2" t="s">
        <v>28</v>
      </c>
      <c r="C2" t="s">
        <v>1292</v>
      </c>
      <c r="D2" t="s">
        <v>3261</v>
      </c>
      <c r="E2">
        <v>1</v>
      </c>
      <c r="F2" t="s">
        <v>289</v>
      </c>
      <c r="G2">
        <v>40240574</v>
      </c>
      <c r="H2" t="s">
        <v>3262</v>
      </c>
      <c r="I2">
        <v>2.7920413324376499E-2</v>
      </c>
      <c r="J2" s="252">
        <f>G2/SUM($G$2:$G$51)</f>
        <v>0.28182730548413615</v>
      </c>
      <c r="K2" s="252">
        <f>J2-AC2</f>
        <v>3.3736011775019226E-2</v>
      </c>
      <c r="L2">
        <v>11695</v>
      </c>
      <c r="M2">
        <v>-4.8660780961943692E-2</v>
      </c>
      <c r="N2">
        <v>3441</v>
      </c>
      <c r="O2">
        <v>8.0498304657044398E-2</v>
      </c>
      <c r="P2">
        <v>1157954</v>
      </c>
      <c r="Q2">
        <v>-0.12401438246990849</v>
      </c>
      <c r="R2">
        <v>1.01E-2</v>
      </c>
      <c r="S2">
        <v>8.0000000000000004E-4</v>
      </c>
      <c r="T2">
        <v>39147558</v>
      </c>
      <c r="U2">
        <v>0.23635650510370809</v>
      </c>
      <c r="V2">
        <v>12294</v>
      </c>
      <c r="W2">
        <v>3184</v>
      </c>
      <c r="X2">
        <v>1321887</v>
      </c>
      <c r="Y2">
        <v>9.2999999999999992E-3</v>
      </c>
      <c r="Z2">
        <v>1</v>
      </c>
      <c r="AA2">
        <v>0</v>
      </c>
      <c r="AB2" s="252">
        <f>G2/(1+I2)</f>
        <v>39147558</v>
      </c>
      <c r="AC2" s="252">
        <f>AB2/SUM($AB$2:$AB$51)</f>
        <v>0.24809129370911692</v>
      </c>
      <c r="AD2" s="252">
        <f>SUM(G2:G51)</f>
        <v>142784511</v>
      </c>
      <c r="AE2" s="264">
        <f>SUM(G2:G51)</f>
        <v>142784511</v>
      </c>
      <c r="AF2" s="252">
        <f>G2</f>
        <v>40240574</v>
      </c>
      <c r="AG2" s="252">
        <f>G3</f>
        <v>12192892</v>
      </c>
      <c r="AH2" s="252">
        <f>G4</f>
        <v>9954125</v>
      </c>
      <c r="AI2" s="252">
        <f>SUM(G5:G11)</f>
        <v>37494044</v>
      </c>
      <c r="AJ2" s="252">
        <f>SUM(G12:G21)</f>
        <v>21447324</v>
      </c>
      <c r="AK2" s="252">
        <f>SUM(G22:G51)</f>
        <v>21455552</v>
      </c>
      <c r="AL2" s="265">
        <f>SUM(G2:G4)/AD2</f>
        <v>0.4369352849483793</v>
      </c>
      <c r="AM2" s="265">
        <f>SUM(G2:G11)/AD2</f>
        <v>0.69952710066710244</v>
      </c>
    </row>
    <row r="3" spans="1:39" x14ac:dyDescent="0.25">
      <c r="A3" t="s">
        <v>564</v>
      </c>
      <c r="B3" t="s">
        <v>28</v>
      </c>
      <c r="C3" t="s">
        <v>1298</v>
      </c>
      <c r="D3" t="s">
        <v>3263</v>
      </c>
      <c r="E3">
        <v>2</v>
      </c>
      <c r="F3" t="s">
        <v>269</v>
      </c>
      <c r="G3">
        <v>12192892</v>
      </c>
      <c r="H3" t="s">
        <v>3264</v>
      </c>
      <c r="I3">
        <v>1.0136466103948221</v>
      </c>
      <c r="J3" s="252">
        <f>G3/SUM($G$2:$G$51)</f>
        <v>8.539366010084945E-2</v>
      </c>
      <c r="K3" s="252">
        <f t="shared" ref="K3:K66" si="0">J3-AC3</f>
        <v>4.7020256700389958E-2</v>
      </c>
      <c r="L3">
        <v>3964</v>
      </c>
      <c r="M3">
        <v>0.4244830668745031</v>
      </c>
      <c r="N3">
        <v>3076</v>
      </c>
      <c r="O3">
        <v>0.4135981376128387</v>
      </c>
      <c r="P3">
        <v>861700</v>
      </c>
      <c r="Q3">
        <v>3.7998885949032171</v>
      </c>
      <c r="R3">
        <v>4.5999999999999999E-3</v>
      </c>
      <c r="S3">
        <v>-1.09E-2</v>
      </c>
      <c r="T3">
        <v>6055130</v>
      </c>
      <c r="U3">
        <v>3.6558330528525328E-2</v>
      </c>
      <c r="V3">
        <v>2783</v>
      </c>
      <c r="W3">
        <v>2176</v>
      </c>
      <c r="X3">
        <v>179525</v>
      </c>
      <c r="Y3">
        <v>1.55E-2</v>
      </c>
      <c r="Z3">
        <v>9</v>
      </c>
      <c r="AA3">
        <v>7</v>
      </c>
      <c r="AB3" s="252">
        <f t="shared" ref="AB3:AB66" si="1">G3/(1+I3)</f>
        <v>6055130</v>
      </c>
      <c r="AC3" s="252">
        <f t="shared" ref="AC3:AC50" si="2">AB3/SUM($AB$2:$AB$51)</f>
        <v>3.8373403400459492E-2</v>
      </c>
    </row>
    <row r="4" spans="1:39" x14ac:dyDescent="0.25">
      <c r="A4" t="s">
        <v>564</v>
      </c>
      <c r="B4" t="s">
        <v>28</v>
      </c>
      <c r="C4" t="s">
        <v>1304</v>
      </c>
      <c r="D4" t="s">
        <v>3265</v>
      </c>
      <c r="E4">
        <v>3</v>
      </c>
      <c r="F4" t="s">
        <v>286</v>
      </c>
      <c r="G4">
        <v>9954125</v>
      </c>
      <c r="H4" t="s">
        <v>3266</v>
      </c>
      <c r="I4">
        <v>-0.32194498123315229</v>
      </c>
      <c r="J4" s="252">
        <f t="shared" ref="J4:J50" si="3">G4/SUM($G$2:$G$51)</f>
        <v>6.9714319363393701E-2</v>
      </c>
      <c r="K4" s="252">
        <f t="shared" si="0"/>
        <v>-2.332038949351542E-2</v>
      </c>
      <c r="L4">
        <v>2570</v>
      </c>
      <c r="M4">
        <v>-0.30783687888252281</v>
      </c>
      <c r="N4">
        <v>3873</v>
      </c>
      <c r="O4">
        <v>-2.038262646506277E-2</v>
      </c>
      <c r="P4">
        <v>458935</v>
      </c>
      <c r="Q4">
        <v>0.28544579636102901</v>
      </c>
      <c r="R4">
        <v>5.6000000000000008E-3</v>
      </c>
      <c r="S4">
        <v>-4.7999999999999987E-3</v>
      </c>
      <c r="T4">
        <v>14680409</v>
      </c>
      <c r="U4">
        <v>8.8634140722980009E-2</v>
      </c>
      <c r="V4">
        <v>3713</v>
      </c>
      <c r="W4">
        <v>3954</v>
      </c>
      <c r="X4">
        <v>357024</v>
      </c>
      <c r="Y4">
        <v>1.04E-2</v>
      </c>
      <c r="Z4">
        <v>2</v>
      </c>
      <c r="AA4">
        <v>-1</v>
      </c>
      <c r="AB4" s="252">
        <f t="shared" si="1"/>
        <v>14680409</v>
      </c>
      <c r="AC4" s="252">
        <f t="shared" si="2"/>
        <v>9.3034708856909121E-2</v>
      </c>
    </row>
    <row r="5" spans="1:39" x14ac:dyDescent="0.25">
      <c r="A5" t="s">
        <v>564</v>
      </c>
      <c r="B5" t="s">
        <v>28</v>
      </c>
      <c r="C5" t="s">
        <v>1310</v>
      </c>
      <c r="D5" t="s">
        <v>3267</v>
      </c>
      <c r="E5">
        <v>4</v>
      </c>
      <c r="F5" t="s">
        <v>298</v>
      </c>
      <c r="G5">
        <v>8110534</v>
      </c>
      <c r="H5" t="s">
        <v>3268</v>
      </c>
      <c r="I5">
        <v>-1.354732392766214E-2</v>
      </c>
      <c r="J5" s="252">
        <f t="shared" si="3"/>
        <v>5.6802617757328033E-2</v>
      </c>
      <c r="K5" s="252">
        <f t="shared" si="0"/>
        <v>4.6975408204327912E-3</v>
      </c>
      <c r="L5">
        <v>8091</v>
      </c>
      <c r="M5">
        <v>-0.23945089761177829</v>
      </c>
      <c r="N5">
        <v>1002</v>
      </c>
      <c r="O5">
        <v>0.29702694142265101</v>
      </c>
      <c r="P5">
        <v>425817</v>
      </c>
      <c r="Q5">
        <v>-3.130061695815968E-2</v>
      </c>
      <c r="R5">
        <v>1.9E-2</v>
      </c>
      <c r="S5">
        <v>-5.1999999999999998E-3</v>
      </c>
      <c r="T5">
        <v>8221919</v>
      </c>
      <c r="U5">
        <v>4.9640492009380879E-2</v>
      </c>
      <c r="V5">
        <v>10638</v>
      </c>
      <c r="W5">
        <v>773</v>
      </c>
      <c r="X5">
        <v>439576</v>
      </c>
      <c r="Y5">
        <v>2.4199999999999999E-2</v>
      </c>
      <c r="Z5">
        <v>5</v>
      </c>
      <c r="AA5">
        <v>1</v>
      </c>
      <c r="AB5" s="252">
        <f t="shared" si="1"/>
        <v>8221919</v>
      </c>
      <c r="AC5" s="252">
        <f t="shared" si="2"/>
        <v>5.2105076936895242E-2</v>
      </c>
    </row>
    <row r="6" spans="1:39" x14ac:dyDescent="0.25">
      <c r="A6" t="s">
        <v>564</v>
      </c>
      <c r="B6" t="s">
        <v>28</v>
      </c>
      <c r="C6" t="s">
        <v>1317</v>
      </c>
      <c r="D6" t="s">
        <v>3269</v>
      </c>
      <c r="E6">
        <v>5</v>
      </c>
      <c r="F6" t="s">
        <v>262</v>
      </c>
      <c r="G6">
        <v>6860013</v>
      </c>
      <c r="H6" t="s">
        <v>3270</v>
      </c>
      <c r="I6">
        <v>-0.38206431563302262</v>
      </c>
      <c r="J6" s="252">
        <f t="shared" si="3"/>
        <v>4.8044517937943565E-2</v>
      </c>
      <c r="K6" s="252">
        <f t="shared" si="0"/>
        <v>-2.2309436122530946E-2</v>
      </c>
      <c r="L6">
        <v>7068</v>
      </c>
      <c r="M6">
        <v>-0.30150838326176183</v>
      </c>
      <c r="N6">
        <v>971</v>
      </c>
      <c r="O6">
        <v>-0.11532841689272461</v>
      </c>
      <c r="P6">
        <v>341428</v>
      </c>
      <c r="Q6">
        <v>-0.35887242908084421</v>
      </c>
      <c r="R6">
        <v>2.07E-2</v>
      </c>
      <c r="S6">
        <v>1.6999999999999999E-3</v>
      </c>
      <c r="T6">
        <v>11101500</v>
      </c>
      <c r="U6">
        <v>6.7026192065640852E-2</v>
      </c>
      <c r="V6">
        <v>10118</v>
      </c>
      <c r="W6">
        <v>1097</v>
      </c>
      <c r="X6">
        <v>532543</v>
      </c>
      <c r="Y6">
        <v>1.9E-2</v>
      </c>
      <c r="Z6">
        <v>3</v>
      </c>
      <c r="AA6">
        <v>-2</v>
      </c>
      <c r="AB6" s="252">
        <f t="shared" si="1"/>
        <v>11101500</v>
      </c>
      <c r="AC6" s="252">
        <f t="shared" si="2"/>
        <v>7.0353954060474511E-2</v>
      </c>
    </row>
    <row r="7" spans="1:39" x14ac:dyDescent="0.25">
      <c r="A7" t="s">
        <v>564</v>
      </c>
      <c r="B7" t="s">
        <v>28</v>
      </c>
      <c r="C7" t="s">
        <v>1323</v>
      </c>
      <c r="D7" t="s">
        <v>3271</v>
      </c>
      <c r="E7">
        <v>6</v>
      </c>
      <c r="F7" t="s">
        <v>295</v>
      </c>
      <c r="G7">
        <v>6006534</v>
      </c>
      <c r="H7" t="s">
        <v>3272</v>
      </c>
      <c r="I7">
        <v>-0.41820738568781812</v>
      </c>
      <c r="J7" s="252">
        <f t="shared" si="3"/>
        <v>4.2067125894348585E-2</v>
      </c>
      <c r="K7" s="252">
        <f t="shared" si="0"/>
        <v>-2.3360714203645931E-2</v>
      </c>
      <c r="L7">
        <v>3699</v>
      </c>
      <c r="M7">
        <v>-0.3133562909151536</v>
      </c>
      <c r="N7">
        <v>1624</v>
      </c>
      <c r="O7">
        <v>-0.15270087439147911</v>
      </c>
      <c r="P7">
        <v>373660</v>
      </c>
      <c r="Q7">
        <v>-0.1052824396773213</v>
      </c>
      <c r="R7">
        <v>9.8999999999999991E-3</v>
      </c>
      <c r="S7">
        <v>-3.0000000000000009E-3</v>
      </c>
      <c r="T7">
        <v>10324184</v>
      </c>
      <c r="U7">
        <v>6.2333084691709797E-2</v>
      </c>
      <c r="V7">
        <v>5387</v>
      </c>
      <c r="W7">
        <v>1916</v>
      </c>
      <c r="X7">
        <v>417629</v>
      </c>
      <c r="Y7">
        <v>1.29E-2</v>
      </c>
      <c r="Z7">
        <v>4</v>
      </c>
      <c r="AA7">
        <v>-2</v>
      </c>
      <c r="AB7" s="252">
        <f t="shared" si="1"/>
        <v>10324184.000000002</v>
      </c>
      <c r="AC7" s="252">
        <f t="shared" si="2"/>
        <v>6.5427840097994516E-2</v>
      </c>
    </row>
    <row r="8" spans="1:39" x14ac:dyDescent="0.25">
      <c r="A8" t="s">
        <v>564</v>
      </c>
      <c r="B8" t="s">
        <v>28</v>
      </c>
      <c r="C8" t="s">
        <v>1325</v>
      </c>
      <c r="D8" t="s">
        <v>3273</v>
      </c>
      <c r="E8">
        <v>7</v>
      </c>
      <c r="F8" t="s">
        <v>3274</v>
      </c>
      <c r="G8">
        <v>4339862</v>
      </c>
      <c r="H8" t="s">
        <v>3275</v>
      </c>
      <c r="I8">
        <v>-0.40358656515405539</v>
      </c>
      <c r="J8" s="252">
        <f t="shared" si="3"/>
        <v>3.0394487256394358E-2</v>
      </c>
      <c r="K8" s="252">
        <f t="shared" si="0"/>
        <v>-1.5719783978704386E-2</v>
      </c>
      <c r="L8">
        <v>973</v>
      </c>
      <c r="M8">
        <v>-0.27835230808382511</v>
      </c>
      <c r="N8">
        <v>4459</v>
      </c>
      <c r="O8">
        <v>-0.17353933016497111</v>
      </c>
      <c r="P8">
        <v>92687</v>
      </c>
      <c r="Q8">
        <v>-0.35395349485599581</v>
      </c>
      <c r="R8">
        <v>1.0500000000000001E-2</v>
      </c>
      <c r="S8">
        <v>1.1000000000000001E-3</v>
      </c>
      <c r="T8">
        <v>7276600</v>
      </c>
      <c r="U8">
        <v>4.3933053117582513E-2</v>
      </c>
      <c r="V8">
        <v>1349</v>
      </c>
      <c r="W8">
        <v>5396</v>
      </c>
      <c r="X8">
        <v>143468</v>
      </c>
      <c r="Y8">
        <v>9.4000000000000004E-3</v>
      </c>
      <c r="Z8">
        <v>6</v>
      </c>
      <c r="AA8">
        <v>-1</v>
      </c>
      <c r="AB8" s="252">
        <f t="shared" si="1"/>
        <v>7276599.9999999981</v>
      </c>
      <c r="AC8" s="252">
        <f t="shared" si="2"/>
        <v>4.6114271235098744E-2</v>
      </c>
    </row>
    <row r="9" spans="1:39" x14ac:dyDescent="0.25">
      <c r="A9" t="s">
        <v>564</v>
      </c>
      <c r="B9" t="s">
        <v>28</v>
      </c>
      <c r="C9" t="s">
        <v>1335</v>
      </c>
      <c r="D9" t="s">
        <v>3276</v>
      </c>
      <c r="E9">
        <v>8</v>
      </c>
      <c r="F9" t="s">
        <v>288</v>
      </c>
      <c r="G9">
        <v>4227975</v>
      </c>
      <c r="H9" t="s">
        <v>3277</v>
      </c>
      <c r="I9">
        <v>-0.37226468434956628</v>
      </c>
      <c r="J9" s="252">
        <f t="shared" si="3"/>
        <v>2.961087985236718E-2</v>
      </c>
      <c r="K9" s="252">
        <f t="shared" si="0"/>
        <v>-1.307288277126881E-2</v>
      </c>
      <c r="L9">
        <v>823</v>
      </c>
      <c r="M9">
        <v>-0.33239704718655072</v>
      </c>
      <c r="N9">
        <v>5137</v>
      </c>
      <c r="O9">
        <v>-5.9717586620914732E-2</v>
      </c>
      <c r="P9">
        <v>45982</v>
      </c>
      <c r="Q9">
        <v>-0.29883041827414258</v>
      </c>
      <c r="R9">
        <v>1.7899999999999999E-2</v>
      </c>
      <c r="S9">
        <v>-8.9999999999999998E-4</v>
      </c>
      <c r="T9">
        <v>6735283</v>
      </c>
      <c r="U9">
        <v>4.0664808537084693E-2</v>
      </c>
      <c r="V9">
        <v>1233</v>
      </c>
      <c r="W9">
        <v>5463</v>
      </c>
      <c r="X9">
        <v>65579</v>
      </c>
      <c r="Y9">
        <v>1.8800000000000001E-2</v>
      </c>
      <c r="Z9">
        <v>7</v>
      </c>
      <c r="AA9">
        <v>-1</v>
      </c>
      <c r="AB9" s="252">
        <f t="shared" si="1"/>
        <v>6735283</v>
      </c>
      <c r="AC9" s="252">
        <f t="shared" si="2"/>
        <v>4.268376262363599E-2</v>
      </c>
    </row>
    <row r="10" spans="1:39" x14ac:dyDescent="0.25">
      <c r="A10" t="s">
        <v>564</v>
      </c>
      <c r="B10" t="s">
        <v>28</v>
      </c>
      <c r="C10" t="s">
        <v>1341</v>
      </c>
      <c r="D10" t="s">
        <v>3278</v>
      </c>
      <c r="E10">
        <v>9</v>
      </c>
      <c r="F10" t="s">
        <v>3279</v>
      </c>
      <c r="G10">
        <v>4110548</v>
      </c>
      <c r="H10" t="s">
        <v>3280</v>
      </c>
      <c r="I10">
        <v>-0.34936962955259848</v>
      </c>
      <c r="J10" s="252">
        <f t="shared" si="3"/>
        <v>2.8788472721666569E-2</v>
      </c>
      <c r="K10" s="252">
        <f t="shared" si="0"/>
        <v>-1.1249514801243622E-2</v>
      </c>
      <c r="L10">
        <v>1037</v>
      </c>
      <c r="M10">
        <v>-0.43565280437612081</v>
      </c>
      <c r="N10">
        <v>3964</v>
      </c>
      <c r="O10">
        <v>0.15289023404845181</v>
      </c>
      <c r="P10">
        <v>148147</v>
      </c>
      <c r="Q10">
        <v>-0.52433593511701604</v>
      </c>
      <c r="R10">
        <v>6.9999999999999993E-3</v>
      </c>
      <c r="S10">
        <v>1.099999999999999E-3</v>
      </c>
      <c r="T10">
        <v>6317793</v>
      </c>
      <c r="U10">
        <v>3.814417934954388E-2</v>
      </c>
      <c r="V10">
        <v>1838</v>
      </c>
      <c r="W10">
        <v>3438</v>
      </c>
      <c r="X10">
        <v>311453</v>
      </c>
      <c r="Y10">
        <v>5.8999999999999999E-3</v>
      </c>
      <c r="Z10">
        <v>8</v>
      </c>
      <c r="AA10">
        <v>-1</v>
      </c>
      <c r="AB10" s="252">
        <f t="shared" si="1"/>
        <v>6317793</v>
      </c>
      <c r="AC10" s="252">
        <f t="shared" si="2"/>
        <v>4.0037987522910191E-2</v>
      </c>
    </row>
    <row r="11" spans="1:39" x14ac:dyDescent="0.25">
      <c r="A11" t="s">
        <v>564</v>
      </c>
      <c r="B11" t="s">
        <v>28</v>
      </c>
      <c r="C11" t="s">
        <v>1348</v>
      </c>
      <c r="D11" t="s">
        <v>3281</v>
      </c>
      <c r="E11">
        <v>10</v>
      </c>
      <c r="F11" t="s">
        <v>3282</v>
      </c>
      <c r="G11">
        <v>3838578</v>
      </c>
      <c r="H11" t="s">
        <v>3283</v>
      </c>
      <c r="I11">
        <v>1.336794775328916</v>
      </c>
      <c r="J11" s="252">
        <f t="shared" si="3"/>
        <v>2.6883714298674876E-2</v>
      </c>
      <c r="K11" s="252">
        <f t="shared" si="0"/>
        <v>1.6473572515257183E-2</v>
      </c>
      <c r="L11">
        <v>9637</v>
      </c>
      <c r="M11">
        <v>0.32341066840692978</v>
      </c>
      <c r="N11">
        <v>398</v>
      </c>
      <c r="O11">
        <v>0.7657366916513213</v>
      </c>
      <c r="P11">
        <v>587636</v>
      </c>
      <c r="Q11">
        <v>0.42831517260991842</v>
      </c>
      <c r="R11">
        <v>1.6400000000000001E-2</v>
      </c>
      <c r="S11">
        <v>-1.3000000000000019E-3</v>
      </c>
      <c r="T11">
        <v>1642668</v>
      </c>
      <c r="U11">
        <v>9.9177391224683272E-3</v>
      </c>
      <c r="V11">
        <v>7282</v>
      </c>
      <c r="W11">
        <v>226</v>
      </c>
      <c r="X11">
        <v>411419</v>
      </c>
      <c r="Y11">
        <v>1.77E-2</v>
      </c>
      <c r="Z11">
        <v>17</v>
      </c>
      <c r="AA11">
        <v>7</v>
      </c>
      <c r="AB11" s="252">
        <f t="shared" si="1"/>
        <v>1642668</v>
      </c>
      <c r="AC11" s="252">
        <f t="shared" si="2"/>
        <v>1.0410141783417695E-2</v>
      </c>
    </row>
    <row r="12" spans="1:39" x14ac:dyDescent="0.25">
      <c r="A12" t="s">
        <v>564</v>
      </c>
      <c r="B12" t="s">
        <v>28</v>
      </c>
      <c r="C12" t="s">
        <v>1343</v>
      </c>
      <c r="D12" t="s">
        <v>3284</v>
      </c>
      <c r="E12">
        <v>11</v>
      </c>
      <c r="F12" t="s">
        <v>296</v>
      </c>
      <c r="G12">
        <v>3640208</v>
      </c>
      <c r="H12" t="s">
        <v>3285</v>
      </c>
      <c r="I12">
        <v>-6.8723033845122655E-2</v>
      </c>
      <c r="J12" s="252">
        <f t="shared" si="3"/>
        <v>2.5494417948456607E-2</v>
      </c>
      <c r="K12" s="252">
        <f t="shared" si="0"/>
        <v>7.2281068637716772E-4</v>
      </c>
      <c r="L12">
        <v>1654</v>
      </c>
      <c r="M12">
        <v>-0.21613370951552019</v>
      </c>
      <c r="N12">
        <v>2201</v>
      </c>
      <c r="O12">
        <v>0.18805589353675131</v>
      </c>
      <c r="P12">
        <v>143818</v>
      </c>
      <c r="Q12">
        <v>-0.37972319622532458</v>
      </c>
      <c r="R12">
        <v>1.15E-2</v>
      </c>
      <c r="S12">
        <v>2.3999999999999998E-3</v>
      </c>
      <c r="T12">
        <v>3908835</v>
      </c>
      <c r="U12">
        <v>2.3599903207935799E-2</v>
      </c>
      <c r="V12">
        <v>2110</v>
      </c>
      <c r="W12">
        <v>1853</v>
      </c>
      <c r="X12">
        <v>231861</v>
      </c>
      <c r="Y12">
        <v>9.1000000000000004E-3</v>
      </c>
      <c r="Z12">
        <v>11</v>
      </c>
      <c r="AA12">
        <v>0</v>
      </c>
      <c r="AB12" s="252">
        <f t="shared" si="1"/>
        <v>3908835</v>
      </c>
      <c r="AC12" s="252">
        <f t="shared" si="2"/>
        <v>2.4771607262079439E-2</v>
      </c>
    </row>
    <row r="13" spans="1:39" x14ac:dyDescent="0.25">
      <c r="A13" t="s">
        <v>564</v>
      </c>
      <c r="B13" t="s">
        <v>28</v>
      </c>
      <c r="C13" t="s">
        <v>1359</v>
      </c>
      <c r="D13" t="s">
        <v>3286</v>
      </c>
      <c r="E13">
        <v>12</v>
      </c>
      <c r="F13" t="s">
        <v>294</v>
      </c>
      <c r="G13">
        <v>3425382</v>
      </c>
      <c r="H13" t="s">
        <v>3287</v>
      </c>
      <c r="J13" s="252">
        <f t="shared" si="3"/>
        <v>2.3989871002184544E-2</v>
      </c>
      <c r="K13" s="252">
        <f t="shared" si="0"/>
        <v>2.2820686450637645E-3</v>
      </c>
      <c r="L13">
        <v>789</v>
      </c>
      <c r="N13">
        <v>4342</v>
      </c>
      <c r="P13">
        <v>58871</v>
      </c>
      <c r="R13">
        <v>1.34E-2</v>
      </c>
      <c r="AB13" s="252">
        <f t="shared" si="1"/>
        <v>3425382</v>
      </c>
      <c r="AC13" s="252">
        <f t="shared" si="2"/>
        <v>2.1707802357120779E-2</v>
      </c>
    </row>
    <row r="14" spans="1:39" x14ac:dyDescent="0.25">
      <c r="A14" t="s">
        <v>564</v>
      </c>
      <c r="B14" t="s">
        <v>28</v>
      </c>
      <c r="C14" t="s">
        <v>1365</v>
      </c>
      <c r="D14" t="s">
        <v>3288</v>
      </c>
      <c r="E14">
        <v>13</v>
      </c>
      <c r="F14" t="s">
        <v>3289</v>
      </c>
      <c r="G14">
        <v>2347328</v>
      </c>
      <c r="H14" t="s">
        <v>3290</v>
      </c>
      <c r="I14">
        <v>0.85522567836288743</v>
      </c>
      <c r="J14" s="252">
        <f t="shared" si="3"/>
        <v>1.6439654298357333E-2</v>
      </c>
      <c r="K14" s="252">
        <f t="shared" si="0"/>
        <v>8.4213251461775825E-3</v>
      </c>
      <c r="R14">
        <v>1.4800000000000001E-2</v>
      </c>
      <c r="S14">
        <v>7.1000000000000004E-3</v>
      </c>
      <c r="T14">
        <v>1265252</v>
      </c>
      <c r="U14">
        <v>7.6390599075292732E-3</v>
      </c>
      <c r="Y14">
        <v>7.7000000000000002E-3</v>
      </c>
      <c r="Z14">
        <v>21</v>
      </c>
      <c r="AA14">
        <v>8</v>
      </c>
      <c r="AB14" s="252">
        <f t="shared" si="1"/>
        <v>1265252</v>
      </c>
      <c r="AC14" s="252">
        <f t="shared" si="2"/>
        <v>8.0183291521797508E-3</v>
      </c>
    </row>
    <row r="15" spans="1:39" x14ac:dyDescent="0.25">
      <c r="A15" t="s">
        <v>564</v>
      </c>
      <c r="B15" t="s">
        <v>28</v>
      </c>
      <c r="C15" t="s">
        <v>1371</v>
      </c>
      <c r="D15" t="s">
        <v>3291</v>
      </c>
      <c r="E15">
        <v>14</v>
      </c>
      <c r="F15" t="s">
        <v>3292</v>
      </c>
      <c r="G15">
        <v>2316420</v>
      </c>
      <c r="H15" t="s">
        <v>3293</v>
      </c>
      <c r="I15">
        <v>-0.42979714945344538</v>
      </c>
      <c r="J15" s="252">
        <f t="shared" si="3"/>
        <v>1.6223188242035582E-2</v>
      </c>
      <c r="K15" s="252">
        <f t="shared" si="0"/>
        <v>-9.5219228077343225E-3</v>
      </c>
      <c r="L15">
        <v>544</v>
      </c>
      <c r="M15">
        <v>-0.37360862744338741</v>
      </c>
      <c r="N15">
        <v>4262</v>
      </c>
      <c r="O15">
        <v>-8.9701941105486446E-2</v>
      </c>
      <c r="P15">
        <v>54350</v>
      </c>
      <c r="Q15">
        <v>-0.45503950587574699</v>
      </c>
      <c r="R15">
        <v>0.01</v>
      </c>
      <c r="S15">
        <v>1.2999999999999999E-3</v>
      </c>
      <c r="T15">
        <v>4062449</v>
      </c>
      <c r="U15">
        <v>2.4527359990169851E-2</v>
      </c>
      <c r="V15">
        <v>868</v>
      </c>
      <c r="W15">
        <v>4682</v>
      </c>
      <c r="X15">
        <v>99732</v>
      </c>
      <c r="Y15">
        <v>8.6999999999999994E-3</v>
      </c>
      <c r="Z15">
        <v>10</v>
      </c>
      <c r="AA15">
        <v>-4</v>
      </c>
      <c r="AB15" s="252">
        <f t="shared" si="1"/>
        <v>4062448.9999999995</v>
      </c>
      <c r="AC15" s="252">
        <f t="shared" si="2"/>
        <v>2.5745111049769905E-2</v>
      </c>
    </row>
    <row r="16" spans="1:39" x14ac:dyDescent="0.25">
      <c r="A16" t="s">
        <v>564</v>
      </c>
      <c r="B16" t="s">
        <v>28</v>
      </c>
      <c r="C16" t="s">
        <v>1312</v>
      </c>
      <c r="D16" t="s">
        <v>3294</v>
      </c>
      <c r="E16">
        <v>15</v>
      </c>
      <c r="F16" t="s">
        <v>3295</v>
      </c>
      <c r="G16">
        <v>2176875</v>
      </c>
      <c r="H16" t="s">
        <v>3296</v>
      </c>
      <c r="I16">
        <v>2.5233180329142439</v>
      </c>
      <c r="J16" s="252">
        <f t="shared" si="3"/>
        <v>1.5245876354193628E-2</v>
      </c>
      <c r="K16" s="252">
        <f t="shared" si="0"/>
        <v>1.1330364954080484E-2</v>
      </c>
      <c r="L16">
        <v>995</v>
      </c>
      <c r="M16">
        <v>2.2348012749625972</v>
      </c>
      <c r="N16">
        <v>2189</v>
      </c>
      <c r="O16">
        <v>8.9191493828313595E-2</v>
      </c>
      <c r="P16">
        <v>82881</v>
      </c>
      <c r="Q16">
        <v>7.82670916541989E-2</v>
      </c>
      <c r="R16">
        <v>1.2E-2</v>
      </c>
      <c r="S16">
        <v>8.0000000000000002E-3</v>
      </c>
      <c r="T16">
        <v>617848</v>
      </c>
      <c r="U16">
        <v>3.7303065995921338E-3</v>
      </c>
      <c r="V16">
        <v>307</v>
      </c>
      <c r="W16">
        <v>2010</v>
      </c>
      <c r="X16">
        <v>76865</v>
      </c>
      <c r="Y16">
        <v>4.0000000000000001E-3</v>
      </c>
      <c r="Z16">
        <v>32</v>
      </c>
      <c r="AA16">
        <v>17</v>
      </c>
      <c r="AB16" s="252">
        <f t="shared" si="1"/>
        <v>617848.00000000012</v>
      </c>
      <c r="AC16" s="252">
        <f t="shared" si="2"/>
        <v>3.915511400113144E-3</v>
      </c>
    </row>
    <row r="17" spans="1:29" x14ac:dyDescent="0.25">
      <c r="A17" t="s">
        <v>564</v>
      </c>
      <c r="B17" t="s">
        <v>28</v>
      </c>
      <c r="C17" t="s">
        <v>1382</v>
      </c>
      <c r="D17" t="s">
        <v>3297</v>
      </c>
      <c r="E17">
        <v>16</v>
      </c>
      <c r="F17" t="s">
        <v>3298</v>
      </c>
      <c r="G17">
        <v>1803244</v>
      </c>
      <c r="H17" t="s">
        <v>3299</v>
      </c>
      <c r="I17">
        <v>0.84455087223278091</v>
      </c>
      <c r="J17" s="252">
        <f t="shared" si="3"/>
        <v>1.2629128939622871E-2</v>
      </c>
      <c r="K17" s="252">
        <f t="shared" si="0"/>
        <v>6.4337096167165755E-3</v>
      </c>
      <c r="R17">
        <v>3.0000000000000001E-3</v>
      </c>
      <c r="S17">
        <v>1.6000000000000001E-3</v>
      </c>
      <c r="T17">
        <v>977606</v>
      </c>
      <c r="U17">
        <v>5.9023742305564916E-3</v>
      </c>
      <c r="Y17">
        <v>1.4E-3</v>
      </c>
      <c r="Z17">
        <v>23</v>
      </c>
      <c r="AA17">
        <v>7</v>
      </c>
      <c r="AB17" s="252">
        <f t="shared" si="1"/>
        <v>977605.99999999988</v>
      </c>
      <c r="AC17" s="252">
        <f t="shared" si="2"/>
        <v>6.1954193229062952E-3</v>
      </c>
    </row>
    <row r="18" spans="1:29" x14ac:dyDescent="0.25">
      <c r="A18" t="s">
        <v>564</v>
      </c>
      <c r="B18" t="s">
        <v>28</v>
      </c>
      <c r="C18" t="s">
        <v>1387</v>
      </c>
      <c r="D18" t="s">
        <v>3300</v>
      </c>
      <c r="E18">
        <v>17</v>
      </c>
      <c r="F18" t="s">
        <v>3301</v>
      </c>
      <c r="G18">
        <v>1531608</v>
      </c>
      <c r="H18" t="s">
        <v>3302</v>
      </c>
      <c r="I18">
        <v>-0.45412495968151517</v>
      </c>
      <c r="J18" s="252">
        <f t="shared" si="3"/>
        <v>1.0726709705928818E-2</v>
      </c>
      <c r="K18" s="252">
        <f t="shared" si="0"/>
        <v>-7.0544972475070685E-3</v>
      </c>
      <c r="L18">
        <v>2411</v>
      </c>
      <c r="M18">
        <v>-0.32320606444242023</v>
      </c>
      <c r="N18">
        <v>635</v>
      </c>
      <c r="O18">
        <v>-0.19343981729274329</v>
      </c>
      <c r="P18">
        <v>103477</v>
      </c>
      <c r="Q18">
        <v>-0.39291874449985331</v>
      </c>
      <c r="R18">
        <v>2.3300000000000001E-2</v>
      </c>
      <c r="S18">
        <v>2.3999999999999998E-3</v>
      </c>
      <c r="T18">
        <v>2805785</v>
      </c>
      <c r="U18">
        <v>1.6940150817897959E-2</v>
      </c>
      <c r="V18">
        <v>3562</v>
      </c>
      <c r="W18">
        <v>788</v>
      </c>
      <c r="X18">
        <v>170450</v>
      </c>
      <c r="Y18">
        <v>2.0899999999999998E-2</v>
      </c>
      <c r="Z18">
        <v>12</v>
      </c>
      <c r="AA18">
        <v>-5</v>
      </c>
      <c r="AB18" s="252">
        <f t="shared" si="1"/>
        <v>2805785</v>
      </c>
      <c r="AC18" s="252">
        <f t="shared" si="2"/>
        <v>1.7781206953435887E-2</v>
      </c>
    </row>
    <row r="19" spans="1:29" x14ac:dyDescent="0.25">
      <c r="A19" t="s">
        <v>564</v>
      </c>
      <c r="B19" t="s">
        <v>28</v>
      </c>
      <c r="C19" t="s">
        <v>1392</v>
      </c>
      <c r="D19" t="s">
        <v>3303</v>
      </c>
      <c r="E19">
        <v>18</v>
      </c>
      <c r="F19" t="s">
        <v>284</v>
      </c>
      <c r="G19">
        <v>1481712</v>
      </c>
      <c r="H19" t="s">
        <v>3304</v>
      </c>
      <c r="I19">
        <v>1.4050252398188581</v>
      </c>
      <c r="J19" s="252">
        <f t="shared" si="3"/>
        <v>1.0377260037680138E-2</v>
      </c>
      <c r="K19" s="252">
        <f t="shared" si="0"/>
        <v>6.472889677177707E-3</v>
      </c>
      <c r="L19">
        <v>960</v>
      </c>
      <c r="M19">
        <v>4.050599144349933</v>
      </c>
      <c r="N19">
        <v>1543</v>
      </c>
      <c r="O19">
        <v>-0.52381387414019165</v>
      </c>
      <c r="P19">
        <v>143355</v>
      </c>
      <c r="Q19">
        <v>-0.39694338574926169</v>
      </c>
      <c r="R19">
        <v>6.7000000000000002E-3</v>
      </c>
      <c r="S19">
        <v>5.8999999999999999E-3</v>
      </c>
      <c r="T19">
        <v>616090</v>
      </c>
      <c r="U19">
        <v>3.7196925343170452E-3</v>
      </c>
      <c r="V19">
        <v>190</v>
      </c>
      <c r="W19">
        <v>3240</v>
      </c>
      <c r="X19">
        <v>237714</v>
      </c>
      <c r="Y19">
        <v>8.0000000000000004E-4</v>
      </c>
      <c r="Z19">
        <v>33</v>
      </c>
      <c r="AA19">
        <v>15</v>
      </c>
      <c r="AB19" s="252">
        <f t="shared" si="1"/>
        <v>616089.99999999988</v>
      </c>
      <c r="AC19" s="252">
        <f t="shared" si="2"/>
        <v>3.9043703605024307E-3</v>
      </c>
    </row>
    <row r="20" spans="1:29" x14ac:dyDescent="0.25">
      <c r="A20" t="s">
        <v>564</v>
      </c>
      <c r="B20" t="s">
        <v>28</v>
      </c>
      <c r="C20" t="s">
        <v>1398</v>
      </c>
      <c r="D20" t="s">
        <v>3305</v>
      </c>
      <c r="E20">
        <v>19</v>
      </c>
      <c r="F20" t="s">
        <v>3306</v>
      </c>
      <c r="G20">
        <v>1368675</v>
      </c>
      <c r="H20" t="s">
        <v>3307</v>
      </c>
      <c r="J20" s="252">
        <f t="shared" si="3"/>
        <v>9.5855985387658747E-3</v>
      </c>
      <c r="K20" s="252">
        <f t="shared" si="0"/>
        <v>9.1184291351523693E-4</v>
      </c>
      <c r="L20">
        <v>1044</v>
      </c>
      <c r="N20">
        <v>1312</v>
      </c>
      <c r="P20">
        <v>74012</v>
      </c>
      <c r="R20">
        <v>1.41E-2</v>
      </c>
      <c r="AB20" s="252">
        <f t="shared" si="1"/>
        <v>1368675</v>
      </c>
      <c r="AC20" s="252">
        <f t="shared" si="2"/>
        <v>8.6737556252506377E-3</v>
      </c>
    </row>
    <row r="21" spans="1:29" x14ac:dyDescent="0.25">
      <c r="A21" t="s">
        <v>564</v>
      </c>
      <c r="B21" t="s">
        <v>28</v>
      </c>
      <c r="C21" t="s">
        <v>1403</v>
      </c>
      <c r="D21" t="s">
        <v>3308</v>
      </c>
      <c r="E21">
        <v>20</v>
      </c>
      <c r="F21" t="s">
        <v>3309</v>
      </c>
      <c r="G21">
        <v>1355872</v>
      </c>
      <c r="H21" t="s">
        <v>3310</v>
      </c>
      <c r="J21" s="252">
        <f t="shared" si="3"/>
        <v>9.495931950209922E-3</v>
      </c>
      <c r="K21" s="252">
        <f t="shared" si="0"/>
        <v>9.0331325905253744E-4</v>
      </c>
      <c r="L21">
        <v>3188</v>
      </c>
      <c r="N21">
        <v>425</v>
      </c>
      <c r="P21">
        <v>178074</v>
      </c>
      <c r="R21">
        <v>1.7899999999999999E-2</v>
      </c>
      <c r="AB21" s="252">
        <f t="shared" si="1"/>
        <v>1355872</v>
      </c>
      <c r="AC21" s="252">
        <f t="shared" si="2"/>
        <v>8.5926186911573846E-3</v>
      </c>
    </row>
    <row r="22" spans="1:29" x14ac:dyDescent="0.25">
      <c r="A22" t="s">
        <v>564</v>
      </c>
      <c r="B22" t="s">
        <v>28</v>
      </c>
      <c r="C22" t="s">
        <v>1408</v>
      </c>
      <c r="D22" t="s">
        <v>3311</v>
      </c>
      <c r="E22">
        <v>21</v>
      </c>
      <c r="F22" t="s">
        <v>3312</v>
      </c>
      <c r="G22">
        <v>1242265</v>
      </c>
      <c r="H22" t="s">
        <v>3313</v>
      </c>
      <c r="I22">
        <v>-0.29107007321763839</v>
      </c>
      <c r="J22" s="252">
        <f t="shared" si="3"/>
        <v>8.7002784216559728E-3</v>
      </c>
      <c r="K22" s="252">
        <f t="shared" si="0"/>
        <v>-2.4047017377558256E-3</v>
      </c>
      <c r="L22">
        <v>807</v>
      </c>
      <c r="M22">
        <v>-0.33575602395264759</v>
      </c>
      <c r="N22">
        <v>1539</v>
      </c>
      <c r="O22">
        <v>6.7273400055379101E-2</v>
      </c>
      <c r="P22">
        <v>77627</v>
      </c>
      <c r="Q22">
        <v>8.5783422385095259E-2</v>
      </c>
      <c r="R22">
        <v>1.04E-2</v>
      </c>
      <c r="S22">
        <v>-6.6E-3</v>
      </c>
      <c r="T22">
        <v>1752310</v>
      </c>
      <c r="U22">
        <v>1.057971144606973E-2</v>
      </c>
      <c r="V22">
        <v>1215</v>
      </c>
      <c r="W22">
        <v>1442</v>
      </c>
      <c r="X22">
        <v>71494</v>
      </c>
      <c r="Y22">
        <v>1.7000000000000001E-2</v>
      </c>
      <c r="Z22">
        <v>16</v>
      </c>
      <c r="AA22">
        <v>-5</v>
      </c>
      <c r="AB22" s="252">
        <f t="shared" si="1"/>
        <v>1752309.9999999998</v>
      </c>
      <c r="AC22" s="252">
        <f t="shared" si="2"/>
        <v>1.1104980159411798E-2</v>
      </c>
    </row>
    <row r="23" spans="1:29" x14ac:dyDescent="0.25">
      <c r="A23" t="s">
        <v>564</v>
      </c>
      <c r="B23" t="s">
        <v>28</v>
      </c>
      <c r="C23" t="s">
        <v>1413</v>
      </c>
      <c r="D23" t="s">
        <v>3314</v>
      </c>
      <c r="E23">
        <v>22</v>
      </c>
      <c r="F23" t="s">
        <v>3315</v>
      </c>
      <c r="G23">
        <v>1182068</v>
      </c>
      <c r="H23" t="s">
        <v>3316</v>
      </c>
      <c r="I23">
        <v>-0.50474632697515032</v>
      </c>
      <c r="J23" s="252">
        <f t="shared" si="3"/>
        <v>8.2786850739013287E-3</v>
      </c>
      <c r="K23" s="252">
        <f t="shared" si="0"/>
        <v>-6.8472280976396467E-3</v>
      </c>
      <c r="R23">
        <v>7.4999999999999997E-3</v>
      </c>
      <c r="S23">
        <v>0</v>
      </c>
      <c r="T23">
        <v>2386793</v>
      </c>
      <c r="U23">
        <v>1.441045318550891E-2</v>
      </c>
      <c r="Y23">
        <v>7.4999999999999997E-3</v>
      </c>
      <c r="Z23">
        <v>13</v>
      </c>
      <c r="AA23">
        <v>-9</v>
      </c>
      <c r="AB23" s="252">
        <f t="shared" si="1"/>
        <v>2386793</v>
      </c>
      <c r="AC23" s="252">
        <f t="shared" si="2"/>
        <v>1.5125913171540975E-2</v>
      </c>
    </row>
    <row r="24" spans="1:29" x14ac:dyDescent="0.25">
      <c r="A24" t="s">
        <v>564</v>
      </c>
      <c r="B24" t="s">
        <v>28</v>
      </c>
      <c r="C24" t="s">
        <v>1418</v>
      </c>
      <c r="D24" t="s">
        <v>3317</v>
      </c>
      <c r="E24">
        <v>23</v>
      </c>
      <c r="F24" t="s">
        <v>3318</v>
      </c>
      <c r="G24">
        <v>1177661</v>
      </c>
      <c r="H24" t="s">
        <v>3316</v>
      </c>
      <c r="I24">
        <v>1.1672402243684119</v>
      </c>
      <c r="J24" s="252">
        <f t="shared" si="3"/>
        <v>8.2478203815818645E-3</v>
      </c>
      <c r="K24" s="252">
        <f t="shared" si="0"/>
        <v>4.8041617944693691E-3</v>
      </c>
      <c r="R24">
        <v>5.8999999999999999E-3</v>
      </c>
      <c r="S24">
        <v>1.5E-3</v>
      </c>
      <c r="T24">
        <v>543392</v>
      </c>
      <c r="U24">
        <v>3.2807725585671048E-3</v>
      </c>
      <c r="Y24">
        <v>4.4000000000000003E-3</v>
      </c>
      <c r="Z24">
        <v>37</v>
      </c>
      <c r="AA24">
        <v>14</v>
      </c>
      <c r="AB24" s="252">
        <f t="shared" si="1"/>
        <v>543392</v>
      </c>
      <c r="AC24" s="252">
        <f t="shared" si="2"/>
        <v>3.4436585871124954E-3</v>
      </c>
    </row>
    <row r="25" spans="1:29" x14ac:dyDescent="0.25">
      <c r="A25" t="s">
        <v>564</v>
      </c>
      <c r="B25" t="s">
        <v>28</v>
      </c>
      <c r="C25" t="s">
        <v>1424</v>
      </c>
      <c r="D25" t="s">
        <v>3319</v>
      </c>
      <c r="E25">
        <v>24</v>
      </c>
      <c r="F25" t="s">
        <v>281</v>
      </c>
      <c r="G25">
        <v>1087093</v>
      </c>
      <c r="H25" t="s">
        <v>3320</v>
      </c>
      <c r="I25">
        <v>1.9568532198927251</v>
      </c>
      <c r="J25" s="252">
        <f t="shared" si="3"/>
        <v>7.6135218896396959E-3</v>
      </c>
      <c r="K25" s="252">
        <f t="shared" si="0"/>
        <v>5.2835870233386047E-3</v>
      </c>
      <c r="R25">
        <v>1.03E-2</v>
      </c>
      <c r="S25">
        <v>-2.7000000000000001E-3</v>
      </c>
      <c r="T25">
        <v>367652</v>
      </c>
      <c r="U25">
        <v>2.2197282858457861E-3</v>
      </c>
      <c r="V25">
        <v>531</v>
      </c>
      <c r="W25">
        <v>693</v>
      </c>
      <c r="X25">
        <v>40831</v>
      </c>
      <c r="Y25">
        <v>1.2999999999999999E-2</v>
      </c>
      <c r="Z25">
        <v>46</v>
      </c>
      <c r="AA25">
        <v>22</v>
      </c>
      <c r="AB25" s="252">
        <f t="shared" si="1"/>
        <v>367651.99999999994</v>
      </c>
      <c r="AC25" s="252">
        <f t="shared" si="2"/>
        <v>2.3299348663010917E-3</v>
      </c>
    </row>
    <row r="26" spans="1:29" x14ac:dyDescent="0.25">
      <c r="A26" t="s">
        <v>564</v>
      </c>
      <c r="B26" t="s">
        <v>28</v>
      </c>
      <c r="C26" t="s">
        <v>1429</v>
      </c>
      <c r="D26" t="s">
        <v>3321</v>
      </c>
      <c r="E26">
        <v>25</v>
      </c>
      <c r="F26" t="s">
        <v>3322</v>
      </c>
      <c r="G26">
        <v>983297</v>
      </c>
      <c r="H26" t="s">
        <v>3323</v>
      </c>
      <c r="I26">
        <v>-0.46356128093206311</v>
      </c>
      <c r="J26" s="252">
        <f t="shared" si="3"/>
        <v>6.8865802958137387E-3</v>
      </c>
      <c r="K26" s="252">
        <f t="shared" si="0"/>
        <v>-4.7298166756258265E-3</v>
      </c>
      <c r="R26">
        <v>6.5000000000000006E-3</v>
      </c>
      <c r="S26">
        <v>-2.099999999999999E-3</v>
      </c>
      <c r="T26">
        <v>1833009</v>
      </c>
      <c r="U26">
        <v>1.106693809773889E-2</v>
      </c>
      <c r="Y26">
        <v>8.6E-3</v>
      </c>
      <c r="Z26">
        <v>14</v>
      </c>
      <c r="AA26">
        <v>-11</v>
      </c>
      <c r="AB26" s="252">
        <f t="shared" si="1"/>
        <v>1833009</v>
      </c>
      <c r="AC26" s="252">
        <f t="shared" si="2"/>
        <v>1.1616396971439565E-2</v>
      </c>
    </row>
    <row r="27" spans="1:29" x14ac:dyDescent="0.25">
      <c r="A27" t="s">
        <v>564</v>
      </c>
      <c r="B27" t="s">
        <v>28</v>
      </c>
      <c r="C27" t="s">
        <v>1431</v>
      </c>
      <c r="D27" t="s">
        <v>3324</v>
      </c>
      <c r="E27">
        <v>26</v>
      </c>
      <c r="F27" t="s">
        <v>3325</v>
      </c>
      <c r="G27">
        <v>911060</v>
      </c>
      <c r="H27" t="s">
        <v>3326</v>
      </c>
      <c r="I27">
        <v>-0.48777602612338888</v>
      </c>
      <c r="J27" s="252">
        <f t="shared" si="3"/>
        <v>6.3806640763717009E-3</v>
      </c>
      <c r="K27" s="252">
        <f t="shared" si="0"/>
        <v>-4.8911528343436204E-3</v>
      </c>
      <c r="L27">
        <v>845</v>
      </c>
      <c r="M27">
        <v>-0.44369948968526202</v>
      </c>
      <c r="N27">
        <v>1078</v>
      </c>
      <c r="O27">
        <v>-7.9231522568961377E-2</v>
      </c>
      <c r="P27">
        <v>50623</v>
      </c>
      <c r="Q27">
        <v>-0.6102565287016507</v>
      </c>
      <c r="R27">
        <v>1.67E-2</v>
      </c>
      <c r="S27">
        <v>5.0000000000000001E-3</v>
      </c>
      <c r="T27">
        <v>1778636</v>
      </c>
      <c r="U27">
        <v>1.0738656771685191E-2</v>
      </c>
      <c r="V27">
        <v>1520</v>
      </c>
      <c r="W27">
        <v>1170</v>
      </c>
      <c r="X27">
        <v>129888</v>
      </c>
      <c r="Y27">
        <v>1.17E-2</v>
      </c>
      <c r="Z27">
        <v>15</v>
      </c>
      <c r="AA27">
        <v>-11</v>
      </c>
      <c r="AB27" s="252">
        <f t="shared" si="1"/>
        <v>1778635.9999999998</v>
      </c>
      <c r="AC27" s="252">
        <f t="shared" si="2"/>
        <v>1.1271816910715321E-2</v>
      </c>
    </row>
    <row r="28" spans="1:29" x14ac:dyDescent="0.25">
      <c r="A28" t="s">
        <v>564</v>
      </c>
      <c r="B28" t="s">
        <v>28</v>
      </c>
      <c r="C28" t="s">
        <v>1440</v>
      </c>
      <c r="D28" t="s">
        <v>3327</v>
      </c>
      <c r="E28">
        <v>27</v>
      </c>
      <c r="F28" t="s">
        <v>3328</v>
      </c>
      <c r="G28">
        <v>858683</v>
      </c>
      <c r="H28" t="s">
        <v>3329</v>
      </c>
      <c r="I28">
        <v>0.14054011693855811</v>
      </c>
      <c r="J28" s="252">
        <f t="shared" si="3"/>
        <v>6.0138385738492325E-3</v>
      </c>
      <c r="K28" s="252">
        <f t="shared" si="0"/>
        <v>1.2426218185165577E-3</v>
      </c>
      <c r="L28">
        <v>1022</v>
      </c>
      <c r="M28">
        <v>0.52078113485630073</v>
      </c>
      <c r="N28">
        <v>841</v>
      </c>
      <c r="O28">
        <v>-0.25003007283731971</v>
      </c>
      <c r="P28">
        <v>61911</v>
      </c>
      <c r="Q28">
        <v>-0.36403697996918338</v>
      </c>
      <c r="R28">
        <v>1.6500000000000001E-2</v>
      </c>
      <c r="S28">
        <v>9.5999999999999992E-3</v>
      </c>
      <c r="T28">
        <v>752874</v>
      </c>
      <c r="U28">
        <v>4.5455368486445342E-3</v>
      </c>
      <c r="V28">
        <v>672</v>
      </c>
      <c r="W28">
        <v>1121</v>
      </c>
      <c r="X28">
        <v>97350</v>
      </c>
      <c r="Y28">
        <v>6.8999999999999999E-3</v>
      </c>
      <c r="Z28">
        <v>25</v>
      </c>
      <c r="AA28">
        <v>-2</v>
      </c>
      <c r="AB28" s="252">
        <f t="shared" si="1"/>
        <v>752874</v>
      </c>
      <c r="AC28" s="252">
        <f t="shared" si="2"/>
        <v>4.7712167553326749E-3</v>
      </c>
    </row>
    <row r="29" spans="1:29" x14ac:dyDescent="0.25">
      <c r="A29" t="s">
        <v>564</v>
      </c>
      <c r="B29" t="s">
        <v>28</v>
      </c>
      <c r="C29" t="s">
        <v>1445</v>
      </c>
      <c r="D29" t="s">
        <v>3330</v>
      </c>
      <c r="E29">
        <v>28</v>
      </c>
      <c r="F29" t="s">
        <v>3331</v>
      </c>
      <c r="G29">
        <v>769040</v>
      </c>
      <c r="H29" t="s">
        <v>3332</v>
      </c>
      <c r="I29">
        <v>-0.28547802657251697</v>
      </c>
      <c r="J29" s="252">
        <f t="shared" si="3"/>
        <v>5.3860183756205878E-3</v>
      </c>
      <c r="K29" s="252">
        <f t="shared" si="0"/>
        <v>-1.4348581505505345E-3</v>
      </c>
      <c r="L29">
        <v>430</v>
      </c>
      <c r="M29">
        <v>-0.39003223871644932</v>
      </c>
      <c r="N29">
        <v>1790</v>
      </c>
      <c r="O29">
        <v>0.1714094068249109</v>
      </c>
      <c r="P29">
        <v>65086</v>
      </c>
      <c r="Q29">
        <v>0.2199355225671015</v>
      </c>
      <c r="R29">
        <v>6.6E-3</v>
      </c>
      <c r="S29">
        <v>-6.6E-3</v>
      </c>
      <c r="T29">
        <v>1076300</v>
      </c>
      <c r="U29">
        <v>6.4982471305903939E-3</v>
      </c>
      <c r="V29">
        <v>704</v>
      </c>
      <c r="W29">
        <v>1528</v>
      </c>
      <c r="X29">
        <v>53352</v>
      </c>
      <c r="Y29">
        <v>1.32E-2</v>
      </c>
      <c r="Z29">
        <v>22</v>
      </c>
      <c r="AA29">
        <v>-6</v>
      </c>
      <c r="AB29" s="252">
        <f t="shared" si="1"/>
        <v>1076300</v>
      </c>
      <c r="AC29" s="252">
        <f t="shared" si="2"/>
        <v>6.8208765261711223E-3</v>
      </c>
    </row>
    <row r="30" spans="1:29" x14ac:dyDescent="0.25">
      <c r="A30" t="s">
        <v>564</v>
      </c>
      <c r="B30" t="s">
        <v>28</v>
      </c>
      <c r="C30" t="s">
        <v>1394</v>
      </c>
      <c r="D30" t="s">
        <v>3333</v>
      </c>
      <c r="E30">
        <v>29</v>
      </c>
      <c r="F30" t="s">
        <v>3334</v>
      </c>
      <c r="G30">
        <v>766363</v>
      </c>
      <c r="H30" t="s">
        <v>3332</v>
      </c>
      <c r="I30">
        <v>-0.40254429875474679</v>
      </c>
      <c r="J30" s="252">
        <f t="shared" si="3"/>
        <v>5.3672698434356087E-3</v>
      </c>
      <c r="K30" s="252">
        <f t="shared" si="0"/>
        <v>-2.7617028869940923E-3</v>
      </c>
      <c r="L30">
        <v>137</v>
      </c>
      <c r="M30">
        <v>-0.40506870793180721</v>
      </c>
      <c r="N30">
        <v>5613</v>
      </c>
      <c r="O30">
        <v>4.2431944843321998E-3</v>
      </c>
      <c r="P30">
        <v>91016</v>
      </c>
      <c r="Q30">
        <v>-0.48439288020756621</v>
      </c>
      <c r="R30">
        <v>1.5E-3</v>
      </c>
      <c r="S30">
        <v>2.0000000000000001E-4</v>
      </c>
      <c r="T30">
        <v>1282711</v>
      </c>
      <c r="U30">
        <v>7.7444700131252759E-3</v>
      </c>
      <c r="V30">
        <v>229</v>
      </c>
      <c r="W30">
        <v>5590</v>
      </c>
      <c r="X30">
        <v>176522</v>
      </c>
      <c r="Y30">
        <v>1.2999999999999999E-3</v>
      </c>
      <c r="Z30">
        <v>20</v>
      </c>
      <c r="AA30">
        <v>-9</v>
      </c>
      <c r="AB30" s="252">
        <f t="shared" si="1"/>
        <v>1282711</v>
      </c>
      <c r="AC30" s="252">
        <f t="shared" si="2"/>
        <v>8.128972730429701E-3</v>
      </c>
    </row>
    <row r="31" spans="1:29" x14ac:dyDescent="0.25">
      <c r="A31" t="s">
        <v>564</v>
      </c>
      <c r="B31" t="s">
        <v>28</v>
      </c>
      <c r="C31" t="s">
        <v>1454</v>
      </c>
      <c r="D31" t="s">
        <v>3335</v>
      </c>
      <c r="E31">
        <v>30</v>
      </c>
      <c r="F31" t="s">
        <v>3336</v>
      </c>
      <c r="G31">
        <v>756627</v>
      </c>
      <c r="H31" t="s">
        <v>3337</v>
      </c>
      <c r="I31">
        <v>1.0776010961522089</v>
      </c>
      <c r="J31" s="252">
        <f t="shared" si="3"/>
        <v>5.2990831757654721E-3</v>
      </c>
      <c r="K31" s="252">
        <f t="shared" si="0"/>
        <v>2.9911325338156641E-3</v>
      </c>
      <c r="L31">
        <v>933</v>
      </c>
      <c r="M31">
        <v>1.3196359855429001</v>
      </c>
      <c r="N31">
        <v>811</v>
      </c>
      <c r="O31">
        <v>-0.10434175486980279</v>
      </c>
      <c r="P31">
        <v>104779</v>
      </c>
      <c r="Q31">
        <v>-0.40054350935408212</v>
      </c>
      <c r="R31">
        <v>8.8999999999999999E-3</v>
      </c>
      <c r="S31">
        <v>6.6E-3</v>
      </c>
      <c r="T31">
        <v>364183</v>
      </c>
      <c r="U31">
        <v>2.1987839215458528E-3</v>
      </c>
      <c r="V31">
        <v>402</v>
      </c>
      <c r="W31">
        <v>906</v>
      </c>
      <c r="X31">
        <v>174790</v>
      </c>
      <c r="Y31">
        <v>2.3E-3</v>
      </c>
      <c r="Z31">
        <v>47</v>
      </c>
      <c r="AA31">
        <v>17</v>
      </c>
      <c r="AB31" s="252">
        <f t="shared" si="1"/>
        <v>364183.00000000006</v>
      </c>
      <c r="AC31" s="252">
        <f t="shared" si="2"/>
        <v>2.307950641949808E-3</v>
      </c>
    </row>
    <row r="32" spans="1:29" x14ac:dyDescent="0.25">
      <c r="A32" t="s">
        <v>564</v>
      </c>
      <c r="B32" t="s">
        <v>28</v>
      </c>
      <c r="C32" t="s">
        <v>1459</v>
      </c>
      <c r="D32" t="s">
        <v>3338</v>
      </c>
      <c r="E32">
        <v>31</v>
      </c>
      <c r="F32" t="s">
        <v>3339</v>
      </c>
      <c r="G32">
        <v>711227</v>
      </c>
      <c r="H32" t="s">
        <v>3340</v>
      </c>
      <c r="I32">
        <v>9.0036476213830305E-2</v>
      </c>
      <c r="J32" s="252">
        <f t="shared" si="3"/>
        <v>4.981121516744908E-3</v>
      </c>
      <c r="K32" s="252">
        <f t="shared" si="0"/>
        <v>8.4613543870334495E-4</v>
      </c>
      <c r="R32">
        <v>5.5000000000000014E-3</v>
      </c>
      <c r="S32">
        <v>-4.7999999999999996E-3</v>
      </c>
      <c r="T32">
        <v>652480</v>
      </c>
      <c r="U32">
        <v>3.9394000629635042E-3</v>
      </c>
      <c r="Y32">
        <v>1.03E-2</v>
      </c>
      <c r="Z32">
        <v>30</v>
      </c>
      <c r="AA32">
        <v>-1</v>
      </c>
      <c r="AB32" s="252">
        <f t="shared" si="1"/>
        <v>652480</v>
      </c>
      <c r="AC32" s="252">
        <f t="shared" si="2"/>
        <v>4.134986078041563E-3</v>
      </c>
    </row>
    <row r="33" spans="1:29" x14ac:dyDescent="0.25">
      <c r="A33" t="s">
        <v>564</v>
      </c>
      <c r="B33" t="s">
        <v>28</v>
      </c>
      <c r="C33" t="s">
        <v>1436</v>
      </c>
      <c r="D33" t="s">
        <v>3341</v>
      </c>
      <c r="E33">
        <v>32</v>
      </c>
      <c r="F33" t="s">
        <v>299</v>
      </c>
      <c r="G33">
        <v>691393</v>
      </c>
      <c r="H33" t="s">
        <v>3342</v>
      </c>
      <c r="I33">
        <v>-7.3908068584620287E-3</v>
      </c>
      <c r="J33" s="252">
        <f t="shared" si="3"/>
        <v>4.8422128924053955E-3</v>
      </c>
      <c r="K33" s="252">
        <f t="shared" si="0"/>
        <v>4.2799737961550424E-4</v>
      </c>
      <c r="L33">
        <v>250</v>
      </c>
      <c r="M33">
        <v>-0.22686124551272049</v>
      </c>
      <c r="N33">
        <v>2769</v>
      </c>
      <c r="O33">
        <v>0.28386940556330542</v>
      </c>
      <c r="P33">
        <v>39628</v>
      </c>
      <c r="Q33">
        <v>5.5395760093746672E-2</v>
      </c>
      <c r="R33">
        <v>6.3E-3</v>
      </c>
      <c r="S33">
        <v>-2.3E-3</v>
      </c>
      <c r="T33">
        <v>696541</v>
      </c>
      <c r="U33">
        <v>4.2054218661976804E-3</v>
      </c>
      <c r="V33">
        <v>323</v>
      </c>
      <c r="W33">
        <v>2157</v>
      </c>
      <c r="X33">
        <v>37548</v>
      </c>
      <c r="Y33">
        <v>8.6E-3</v>
      </c>
      <c r="Z33">
        <v>29</v>
      </c>
      <c r="AA33">
        <v>-3</v>
      </c>
      <c r="AB33" s="252">
        <f t="shared" si="1"/>
        <v>696541</v>
      </c>
      <c r="AC33" s="252">
        <f t="shared" si="2"/>
        <v>4.4142155127898913E-3</v>
      </c>
    </row>
    <row r="34" spans="1:29" x14ac:dyDescent="0.25">
      <c r="A34" t="s">
        <v>564</v>
      </c>
      <c r="B34" t="s">
        <v>28</v>
      </c>
      <c r="C34" t="s">
        <v>1469</v>
      </c>
      <c r="D34" t="s">
        <v>3343</v>
      </c>
      <c r="E34">
        <v>33</v>
      </c>
      <c r="F34" t="s">
        <v>3344</v>
      </c>
      <c r="G34">
        <v>661393</v>
      </c>
      <c r="H34" t="s">
        <v>3345</v>
      </c>
      <c r="I34">
        <v>-9.4583735463424981E-2</v>
      </c>
      <c r="J34" s="252">
        <f t="shared" si="3"/>
        <v>4.6321060692640532E-3</v>
      </c>
      <c r="K34" s="252">
        <f t="shared" si="0"/>
        <v>2.7759668575566901E-6</v>
      </c>
      <c r="R34">
        <v>1.09E-2</v>
      </c>
      <c r="S34">
        <v>-6.9999999999999999E-4</v>
      </c>
      <c r="T34">
        <v>730485</v>
      </c>
      <c r="U34">
        <v>4.4103614746718606E-3</v>
      </c>
      <c r="Y34">
        <v>1.1599999999999999E-2</v>
      </c>
      <c r="Z34">
        <v>27</v>
      </c>
      <c r="AA34">
        <v>-6</v>
      </c>
      <c r="AB34" s="252">
        <f t="shared" si="1"/>
        <v>730485</v>
      </c>
      <c r="AC34" s="252">
        <f t="shared" si="2"/>
        <v>4.6293301024064966E-3</v>
      </c>
    </row>
    <row r="35" spans="1:29" x14ac:dyDescent="0.25">
      <c r="A35" t="s">
        <v>564</v>
      </c>
      <c r="B35" t="s">
        <v>28</v>
      </c>
      <c r="C35" t="s">
        <v>1475</v>
      </c>
      <c r="D35" t="s">
        <v>3346</v>
      </c>
      <c r="E35">
        <v>34</v>
      </c>
      <c r="F35" t="s">
        <v>285</v>
      </c>
      <c r="G35">
        <v>632099</v>
      </c>
      <c r="H35" t="s">
        <v>3347</v>
      </c>
      <c r="I35">
        <v>-0.55472345401584289</v>
      </c>
      <c r="J35" s="252">
        <f t="shared" si="3"/>
        <v>4.4269437600273041E-3</v>
      </c>
      <c r="K35" s="252">
        <f t="shared" si="0"/>
        <v>-4.5693189788690164E-3</v>
      </c>
      <c r="L35">
        <v>760</v>
      </c>
      <c r="M35">
        <v>-0.55237425704607912</v>
      </c>
      <c r="N35">
        <v>832</v>
      </c>
      <c r="O35">
        <v>-5.2481274965581904E-3</v>
      </c>
      <c r="P35">
        <v>73780</v>
      </c>
      <c r="Q35">
        <v>-0.32638844506934239</v>
      </c>
      <c r="R35">
        <v>1.03E-2</v>
      </c>
      <c r="S35">
        <v>-5.1999999999999998E-3</v>
      </c>
      <c r="T35">
        <v>1419565</v>
      </c>
      <c r="U35">
        <v>8.5707369580382345E-3</v>
      </c>
      <c r="V35">
        <v>1698</v>
      </c>
      <c r="W35">
        <v>836</v>
      </c>
      <c r="X35">
        <v>109529</v>
      </c>
      <c r="Y35">
        <v>1.55E-2</v>
      </c>
      <c r="Z35">
        <v>18</v>
      </c>
      <c r="AA35">
        <v>-16</v>
      </c>
      <c r="AB35" s="252">
        <f t="shared" si="1"/>
        <v>1419565</v>
      </c>
      <c r="AC35" s="252">
        <f t="shared" si="2"/>
        <v>8.9962627388963205E-3</v>
      </c>
    </row>
    <row r="36" spans="1:29" x14ac:dyDescent="0.25">
      <c r="A36" t="s">
        <v>564</v>
      </c>
      <c r="B36" t="s">
        <v>28</v>
      </c>
      <c r="C36" t="s">
        <v>1480</v>
      </c>
      <c r="D36" t="s">
        <v>3348</v>
      </c>
      <c r="E36">
        <v>35</v>
      </c>
      <c r="F36" t="s">
        <v>3349</v>
      </c>
      <c r="G36">
        <v>627990</v>
      </c>
      <c r="H36" t="s">
        <v>3347</v>
      </c>
      <c r="J36" s="252">
        <f t="shared" si="3"/>
        <v>4.3981661288177119E-3</v>
      </c>
      <c r="K36" s="252">
        <f t="shared" si="0"/>
        <v>4.1838145013128273E-4</v>
      </c>
      <c r="L36">
        <v>290</v>
      </c>
      <c r="N36">
        <v>2168</v>
      </c>
      <c r="P36">
        <v>31145</v>
      </c>
      <c r="R36">
        <v>9.300000000000001E-3</v>
      </c>
      <c r="AB36" s="252">
        <f t="shared" si="1"/>
        <v>627990</v>
      </c>
      <c r="AC36" s="252">
        <f t="shared" si="2"/>
        <v>3.9797846786864292E-3</v>
      </c>
    </row>
    <row r="37" spans="1:29" x14ac:dyDescent="0.25">
      <c r="A37" t="s">
        <v>564</v>
      </c>
      <c r="B37" t="s">
        <v>28</v>
      </c>
      <c r="C37" t="s">
        <v>1485</v>
      </c>
      <c r="D37" t="s">
        <v>3350</v>
      </c>
      <c r="E37">
        <v>36</v>
      </c>
      <c r="F37" t="s">
        <v>3351</v>
      </c>
      <c r="G37">
        <v>626641</v>
      </c>
      <c r="H37" t="s">
        <v>3347</v>
      </c>
      <c r="J37" s="252">
        <f t="shared" si="3"/>
        <v>4.3887183253371225E-3</v>
      </c>
      <c r="K37" s="252">
        <f t="shared" si="0"/>
        <v>4.1748271515743441E-4</v>
      </c>
      <c r="R37">
        <v>7.8000000000000014E-3</v>
      </c>
      <c r="AB37" s="252">
        <f t="shared" si="1"/>
        <v>626641</v>
      </c>
      <c r="AC37" s="252">
        <f t="shared" si="2"/>
        <v>3.9712356101796881E-3</v>
      </c>
    </row>
    <row r="38" spans="1:29" x14ac:dyDescent="0.25">
      <c r="A38" t="s">
        <v>564</v>
      </c>
      <c r="B38" t="s">
        <v>28</v>
      </c>
      <c r="C38" t="s">
        <v>1490</v>
      </c>
      <c r="D38" t="s">
        <v>3352</v>
      </c>
      <c r="E38">
        <v>37</v>
      </c>
      <c r="F38" t="s">
        <v>3353</v>
      </c>
      <c r="G38">
        <v>622343</v>
      </c>
      <c r="H38" t="s">
        <v>3354</v>
      </c>
      <c r="I38">
        <v>-3.8115683983406597E-2</v>
      </c>
      <c r="J38" s="252">
        <f t="shared" si="3"/>
        <v>4.3586170211417398E-3</v>
      </c>
      <c r="K38" s="252">
        <f t="shared" si="0"/>
        <v>2.5833420414014038E-4</v>
      </c>
      <c r="R38">
        <v>8.0000000000000002E-3</v>
      </c>
      <c r="S38">
        <v>1.9E-3</v>
      </c>
      <c r="T38">
        <v>647004</v>
      </c>
      <c r="U38">
        <v>3.9063382760201682E-3</v>
      </c>
      <c r="Y38">
        <v>6.1000000000000004E-3</v>
      </c>
      <c r="Z38">
        <v>31</v>
      </c>
      <c r="AA38">
        <v>-6</v>
      </c>
      <c r="AB38" s="252">
        <f t="shared" si="1"/>
        <v>647004</v>
      </c>
      <c r="AC38" s="252">
        <f t="shared" si="2"/>
        <v>4.1002828170015994E-3</v>
      </c>
    </row>
    <row r="39" spans="1:29" x14ac:dyDescent="0.25">
      <c r="A39" t="s">
        <v>564</v>
      </c>
      <c r="B39" t="s">
        <v>28</v>
      </c>
      <c r="C39" t="s">
        <v>1495</v>
      </c>
      <c r="D39" t="s">
        <v>3355</v>
      </c>
      <c r="E39">
        <v>38</v>
      </c>
      <c r="F39" t="s">
        <v>3356</v>
      </c>
      <c r="G39">
        <v>610911</v>
      </c>
      <c r="H39" t="s">
        <v>3357</v>
      </c>
      <c r="J39" s="252">
        <f t="shared" si="3"/>
        <v>4.2785523144033459E-3</v>
      </c>
      <c r="K39" s="252">
        <f t="shared" si="0"/>
        <v>4.0700302565510951E-4</v>
      </c>
      <c r="R39">
        <v>3.5000000000000003E-2</v>
      </c>
      <c r="AB39" s="252">
        <f t="shared" si="1"/>
        <v>610911</v>
      </c>
      <c r="AC39" s="252">
        <f t="shared" si="2"/>
        <v>3.8715492887482364E-3</v>
      </c>
    </row>
    <row r="40" spans="1:29" x14ac:dyDescent="0.25">
      <c r="A40" t="s">
        <v>564</v>
      </c>
      <c r="B40" t="s">
        <v>28</v>
      </c>
      <c r="C40" t="s">
        <v>1500</v>
      </c>
      <c r="D40" t="s">
        <v>3358</v>
      </c>
      <c r="E40">
        <v>39</v>
      </c>
      <c r="F40" t="s">
        <v>3359</v>
      </c>
      <c r="G40">
        <v>604313</v>
      </c>
      <c r="H40" t="s">
        <v>3360</v>
      </c>
      <c r="J40" s="252">
        <f t="shared" si="3"/>
        <v>4.232342820433793E-3</v>
      </c>
      <c r="K40" s="252">
        <f t="shared" si="0"/>
        <v>4.0260728558286869E-4</v>
      </c>
      <c r="R40">
        <v>1.0200000000000001E-2</v>
      </c>
      <c r="AB40" s="252">
        <f t="shared" si="1"/>
        <v>604313</v>
      </c>
      <c r="AC40" s="252">
        <f t="shared" si="2"/>
        <v>3.8297355348509243E-3</v>
      </c>
    </row>
    <row r="41" spans="1:29" x14ac:dyDescent="0.25">
      <c r="A41" t="s">
        <v>564</v>
      </c>
      <c r="B41" t="s">
        <v>28</v>
      </c>
      <c r="C41" t="s">
        <v>1505</v>
      </c>
      <c r="D41" t="s">
        <v>3361</v>
      </c>
      <c r="E41">
        <v>40</v>
      </c>
      <c r="F41" t="s">
        <v>3362</v>
      </c>
      <c r="G41">
        <v>603546</v>
      </c>
      <c r="H41" t="s">
        <v>3360</v>
      </c>
      <c r="I41">
        <v>4.4262272390667899E-2</v>
      </c>
      <c r="J41" s="252">
        <f t="shared" si="3"/>
        <v>4.2269710893221464E-3</v>
      </c>
      <c r="K41" s="252">
        <f t="shared" si="0"/>
        <v>5.6421806454098151E-4</v>
      </c>
      <c r="L41">
        <v>232</v>
      </c>
      <c r="M41">
        <v>0.1293518776783224</v>
      </c>
      <c r="N41">
        <v>2606</v>
      </c>
      <c r="O41">
        <v>-7.5343749782023989E-2</v>
      </c>
      <c r="P41">
        <v>34567</v>
      </c>
      <c r="Q41">
        <v>-0.12348809493622739</v>
      </c>
      <c r="R41">
        <v>6.7000000000000002E-3</v>
      </c>
      <c r="S41">
        <v>1.5E-3</v>
      </c>
      <c r="T41">
        <v>577964</v>
      </c>
      <c r="U41">
        <v>3.4895037671509302E-3</v>
      </c>
      <c r="V41">
        <v>205</v>
      </c>
      <c r="W41">
        <v>2818</v>
      </c>
      <c r="X41">
        <v>39437</v>
      </c>
      <c r="Y41">
        <v>5.1999999999999998E-3</v>
      </c>
      <c r="Z41">
        <v>35</v>
      </c>
      <c r="AA41">
        <v>-5</v>
      </c>
      <c r="AB41" s="252">
        <f t="shared" si="1"/>
        <v>577964.00000000012</v>
      </c>
      <c r="AC41" s="252">
        <f t="shared" si="2"/>
        <v>3.6627530247811649E-3</v>
      </c>
    </row>
    <row r="42" spans="1:29" x14ac:dyDescent="0.25">
      <c r="A42" t="s">
        <v>564</v>
      </c>
      <c r="B42" t="s">
        <v>28</v>
      </c>
      <c r="C42" t="s">
        <v>1510</v>
      </c>
      <c r="D42" t="s">
        <v>3363</v>
      </c>
      <c r="E42">
        <v>41</v>
      </c>
      <c r="F42" t="s">
        <v>3364</v>
      </c>
      <c r="G42">
        <v>597589</v>
      </c>
      <c r="H42" t="s">
        <v>3360</v>
      </c>
      <c r="I42">
        <v>6.95124286575904E-2</v>
      </c>
      <c r="J42" s="252">
        <f t="shared" si="3"/>
        <v>4.1852508778070473E-3</v>
      </c>
      <c r="K42" s="252">
        <f t="shared" si="0"/>
        <v>6.4426979621122005E-4</v>
      </c>
      <c r="R42">
        <v>7.1000000000000004E-3</v>
      </c>
      <c r="S42">
        <v>3.5000000000000001E-3</v>
      </c>
      <c r="T42">
        <v>558749</v>
      </c>
      <c r="U42">
        <v>3.3734916714394242E-3</v>
      </c>
      <c r="Y42">
        <v>3.5999999999999999E-3</v>
      </c>
      <c r="Z42">
        <v>36</v>
      </c>
      <c r="AA42">
        <v>-5</v>
      </c>
      <c r="AB42" s="252">
        <f t="shared" si="1"/>
        <v>558749</v>
      </c>
      <c r="AC42" s="252">
        <f t="shared" si="2"/>
        <v>3.5409810815958272E-3</v>
      </c>
    </row>
    <row r="43" spans="1:29" x14ac:dyDescent="0.25">
      <c r="A43" t="s">
        <v>564</v>
      </c>
      <c r="B43" t="s">
        <v>28</v>
      </c>
      <c r="C43" t="s">
        <v>1516</v>
      </c>
      <c r="D43" t="s">
        <v>3365</v>
      </c>
      <c r="E43">
        <v>42</v>
      </c>
      <c r="F43" t="s">
        <v>3366</v>
      </c>
      <c r="G43">
        <v>570399</v>
      </c>
      <c r="H43" t="s">
        <v>3367</v>
      </c>
      <c r="J43" s="252">
        <f t="shared" si="3"/>
        <v>3.9948240604332774E-3</v>
      </c>
      <c r="K43" s="252">
        <f t="shared" si="0"/>
        <v>3.8001299506908301E-4</v>
      </c>
      <c r="L43">
        <v>417</v>
      </c>
      <c r="N43">
        <v>1367</v>
      </c>
      <c r="P43">
        <v>36282</v>
      </c>
      <c r="R43">
        <v>1.15E-2</v>
      </c>
      <c r="AB43" s="252">
        <f t="shared" si="1"/>
        <v>570399</v>
      </c>
      <c r="AC43" s="252">
        <f t="shared" si="2"/>
        <v>3.6148110653641944E-3</v>
      </c>
    </row>
    <row r="44" spans="1:29" x14ac:dyDescent="0.25">
      <c r="A44" t="s">
        <v>564</v>
      </c>
      <c r="B44" t="s">
        <v>28</v>
      </c>
      <c r="C44" t="s">
        <v>1521</v>
      </c>
      <c r="D44" t="s">
        <v>3368</v>
      </c>
      <c r="E44">
        <v>43</v>
      </c>
      <c r="F44" t="s">
        <v>3369</v>
      </c>
      <c r="G44">
        <v>556627</v>
      </c>
      <c r="H44" t="s">
        <v>3370</v>
      </c>
      <c r="J44" s="252">
        <f t="shared" si="3"/>
        <v>3.8983710214898588E-3</v>
      </c>
      <c r="K44" s="252">
        <f t="shared" si="0"/>
        <v>3.7083777041390081E-4</v>
      </c>
      <c r="L44">
        <v>382</v>
      </c>
      <c r="N44">
        <v>1457</v>
      </c>
      <c r="P44">
        <v>97960</v>
      </c>
      <c r="R44">
        <v>3.8999999999999998E-3</v>
      </c>
      <c r="AB44" s="252">
        <f t="shared" si="1"/>
        <v>556627</v>
      </c>
      <c r="AC44" s="252">
        <f t="shared" si="2"/>
        <v>3.527533251075958E-3</v>
      </c>
    </row>
    <row r="45" spans="1:29" x14ac:dyDescent="0.25">
      <c r="A45" t="s">
        <v>564</v>
      </c>
      <c r="B45" t="s">
        <v>28</v>
      </c>
      <c r="C45" t="s">
        <v>1527</v>
      </c>
      <c r="D45" t="s">
        <v>3371</v>
      </c>
      <c r="E45">
        <v>44</v>
      </c>
      <c r="F45" t="s">
        <v>3372</v>
      </c>
      <c r="G45">
        <v>547082</v>
      </c>
      <c r="H45" t="s">
        <v>3373</v>
      </c>
      <c r="I45">
        <v>0.30323401335912409</v>
      </c>
      <c r="J45" s="252">
        <f t="shared" si="3"/>
        <v>3.8315220339270551E-3</v>
      </c>
      <c r="K45" s="252">
        <f t="shared" si="0"/>
        <v>1.1711837312527789E-3</v>
      </c>
      <c r="R45">
        <v>9.5999999999999992E-3</v>
      </c>
      <c r="S45">
        <v>6.6E-3</v>
      </c>
      <c r="T45">
        <v>419788</v>
      </c>
      <c r="U45">
        <v>2.5345035459038191E-3</v>
      </c>
      <c r="V45">
        <v>148</v>
      </c>
      <c r="W45">
        <v>2844</v>
      </c>
      <c r="X45">
        <v>49194</v>
      </c>
      <c r="Y45">
        <v>3.0000000000000001E-3</v>
      </c>
      <c r="Z45">
        <v>41</v>
      </c>
      <c r="AA45">
        <v>-3</v>
      </c>
      <c r="AB45" s="252">
        <f t="shared" si="1"/>
        <v>419788.00000000006</v>
      </c>
      <c r="AC45" s="252">
        <f t="shared" si="2"/>
        <v>2.6603383026742762E-3</v>
      </c>
    </row>
    <row r="46" spans="1:29" x14ac:dyDescent="0.25">
      <c r="A46" t="s">
        <v>564</v>
      </c>
      <c r="B46" t="s">
        <v>28</v>
      </c>
      <c r="C46" t="s">
        <v>1532</v>
      </c>
      <c r="D46" t="s">
        <v>3374</v>
      </c>
      <c r="E46">
        <v>45</v>
      </c>
      <c r="F46" t="s">
        <v>3375</v>
      </c>
      <c r="G46">
        <v>537799</v>
      </c>
      <c r="H46" t="s">
        <v>3376</v>
      </c>
      <c r="I46">
        <v>-0.5853704418997131</v>
      </c>
      <c r="J46" s="252">
        <f t="shared" si="3"/>
        <v>3.7665079792863526E-3</v>
      </c>
      <c r="K46" s="252">
        <f t="shared" si="0"/>
        <v>-4.4533928719251974E-3</v>
      </c>
      <c r="R46">
        <v>1.11E-2</v>
      </c>
      <c r="S46">
        <v>-4.8999999999999998E-3</v>
      </c>
      <c r="T46">
        <v>1297059</v>
      </c>
      <c r="U46">
        <v>7.8310972079870343E-3</v>
      </c>
      <c r="Y46">
        <v>1.6E-2</v>
      </c>
      <c r="Z46">
        <v>19</v>
      </c>
      <c r="AA46">
        <v>-26</v>
      </c>
      <c r="AB46" s="252">
        <f t="shared" si="1"/>
        <v>1297059</v>
      </c>
      <c r="AC46" s="252">
        <f t="shared" si="2"/>
        <v>8.2199008512115496E-3</v>
      </c>
    </row>
    <row r="47" spans="1:29" x14ac:dyDescent="0.25">
      <c r="A47" t="s">
        <v>564</v>
      </c>
      <c r="B47" t="s">
        <v>28</v>
      </c>
      <c r="C47" t="s">
        <v>1538</v>
      </c>
      <c r="D47" t="s">
        <v>3377</v>
      </c>
      <c r="E47">
        <v>46</v>
      </c>
      <c r="F47" t="s">
        <v>282</v>
      </c>
      <c r="G47">
        <v>534136</v>
      </c>
      <c r="H47" t="s">
        <v>3378</v>
      </c>
      <c r="I47">
        <v>-0.37669890903404762</v>
      </c>
      <c r="J47" s="252">
        <f t="shared" si="3"/>
        <v>3.7408539361807949E-3</v>
      </c>
      <c r="K47" s="252">
        <f t="shared" si="0"/>
        <v>-1.6899085617034047E-3</v>
      </c>
      <c r="R47">
        <v>1.5100000000000001E-2</v>
      </c>
      <c r="S47">
        <v>2.5000000000000001E-3</v>
      </c>
      <c r="T47">
        <v>856947</v>
      </c>
      <c r="U47">
        <v>5.1738858903819067E-3</v>
      </c>
      <c r="V47">
        <v>874</v>
      </c>
      <c r="W47">
        <v>981</v>
      </c>
      <c r="X47">
        <v>69327</v>
      </c>
      <c r="Y47">
        <v>1.26E-2</v>
      </c>
      <c r="Z47">
        <v>24</v>
      </c>
      <c r="AA47">
        <v>-22</v>
      </c>
      <c r="AB47" s="252">
        <f t="shared" si="1"/>
        <v>856946.99999999988</v>
      </c>
      <c r="AC47" s="252">
        <f t="shared" si="2"/>
        <v>5.4307624978841996E-3</v>
      </c>
    </row>
    <row r="48" spans="1:29" x14ac:dyDescent="0.25">
      <c r="A48" t="s">
        <v>564</v>
      </c>
      <c r="B48" t="s">
        <v>28</v>
      </c>
      <c r="C48" t="s">
        <v>1544</v>
      </c>
      <c r="D48" t="s">
        <v>3379</v>
      </c>
      <c r="E48">
        <v>47</v>
      </c>
      <c r="F48" t="s">
        <v>3380</v>
      </c>
      <c r="G48">
        <v>529544</v>
      </c>
      <c r="H48" t="s">
        <v>3378</v>
      </c>
      <c r="J48" s="252">
        <f t="shared" si="3"/>
        <v>3.7086935851186266E-3</v>
      </c>
      <c r="K48" s="252">
        <f t="shared" si="0"/>
        <v>3.5279444995671904E-4</v>
      </c>
      <c r="L48">
        <v>626</v>
      </c>
      <c r="N48">
        <v>846</v>
      </c>
      <c r="P48">
        <v>52180</v>
      </c>
      <c r="R48">
        <v>1.2E-2</v>
      </c>
      <c r="AB48" s="252">
        <f t="shared" si="1"/>
        <v>529544</v>
      </c>
      <c r="AC48" s="252">
        <f t="shared" si="2"/>
        <v>3.3558991351619076E-3</v>
      </c>
    </row>
    <row r="49" spans="1:37" x14ac:dyDescent="0.25">
      <c r="A49" t="s">
        <v>564</v>
      </c>
      <c r="B49" t="s">
        <v>28</v>
      </c>
      <c r="C49" t="s">
        <v>1534</v>
      </c>
      <c r="D49" t="s">
        <v>3381</v>
      </c>
      <c r="E49">
        <v>48</v>
      </c>
      <c r="F49" t="s">
        <v>3382</v>
      </c>
      <c r="G49">
        <v>528910</v>
      </c>
      <c r="H49" t="s">
        <v>3378</v>
      </c>
      <c r="I49">
        <v>-8.9600922602910679E-2</v>
      </c>
      <c r="J49" s="252">
        <f t="shared" si="3"/>
        <v>3.7042533275895729E-3</v>
      </c>
      <c r="K49" s="252">
        <f t="shared" si="0"/>
        <v>2.2481952483183881E-5</v>
      </c>
      <c r="L49">
        <v>54</v>
      </c>
      <c r="M49">
        <v>-8.6241519211755477E-2</v>
      </c>
      <c r="N49">
        <v>9867</v>
      </c>
      <c r="O49">
        <v>-3.6764675368673428E-3</v>
      </c>
      <c r="P49">
        <v>41233</v>
      </c>
      <c r="Q49">
        <v>5.4336708601820598E-2</v>
      </c>
      <c r="R49">
        <v>1.2999999999999999E-3</v>
      </c>
      <c r="S49">
        <v>-2.0000000000000001E-4</v>
      </c>
      <c r="T49">
        <v>580965</v>
      </c>
      <c r="U49">
        <v>3.5076225441080071E-3</v>
      </c>
      <c r="V49">
        <v>59</v>
      </c>
      <c r="W49">
        <v>9904</v>
      </c>
      <c r="X49">
        <v>39108</v>
      </c>
      <c r="Y49">
        <v>1.5E-3</v>
      </c>
      <c r="Z49">
        <v>34</v>
      </c>
      <c r="AA49">
        <v>-14</v>
      </c>
      <c r="AB49" s="252">
        <f t="shared" si="1"/>
        <v>580965</v>
      </c>
      <c r="AC49" s="252">
        <f t="shared" si="2"/>
        <v>3.681771375106389E-3</v>
      </c>
    </row>
    <row r="50" spans="1:37" x14ac:dyDescent="0.25">
      <c r="A50" t="s">
        <v>564</v>
      </c>
      <c r="B50" t="s">
        <v>28</v>
      </c>
      <c r="C50" t="s">
        <v>1554</v>
      </c>
      <c r="D50" t="s">
        <v>3383</v>
      </c>
      <c r="E50">
        <v>49</v>
      </c>
      <c r="F50" t="s">
        <v>283</v>
      </c>
      <c r="G50">
        <v>468227</v>
      </c>
      <c r="H50" t="s">
        <v>3384</v>
      </c>
      <c r="I50">
        <v>-0.35601101952623743</v>
      </c>
      <c r="J50" s="252">
        <f t="shared" si="3"/>
        <v>3.279256249300038E-3</v>
      </c>
      <c r="K50" s="252">
        <f t="shared" si="0"/>
        <v>-1.3284508570019378E-3</v>
      </c>
      <c r="L50">
        <v>1190</v>
      </c>
      <c r="M50">
        <v>-0.29944038328512212</v>
      </c>
      <c r="N50">
        <v>393</v>
      </c>
      <c r="O50">
        <v>-8.0750638334523187E-2</v>
      </c>
      <c r="P50">
        <v>62973</v>
      </c>
      <c r="Q50">
        <v>-0.36245368214307411</v>
      </c>
      <c r="R50">
        <v>1.89E-2</v>
      </c>
      <c r="S50">
        <v>1.6999999999999999E-3</v>
      </c>
      <c r="T50">
        <v>727073</v>
      </c>
      <c r="U50">
        <v>4.3897612524200959E-3</v>
      </c>
      <c r="V50">
        <v>1699</v>
      </c>
      <c r="W50">
        <v>428</v>
      </c>
      <c r="X50">
        <v>98774</v>
      </c>
      <c r="Y50">
        <v>1.72E-2</v>
      </c>
      <c r="Z50">
        <v>28</v>
      </c>
      <c r="AA50">
        <v>-21</v>
      </c>
      <c r="AB50" s="252">
        <f t="shared" si="1"/>
        <v>727073</v>
      </c>
      <c r="AC50" s="252">
        <f t="shared" si="2"/>
        <v>4.6077071063019759E-3</v>
      </c>
    </row>
    <row r="51" spans="1:37" x14ac:dyDescent="0.25">
      <c r="A51" t="s">
        <v>564</v>
      </c>
      <c r="B51" t="s">
        <v>28</v>
      </c>
      <c r="C51" t="s">
        <v>1559</v>
      </c>
      <c r="D51" t="s">
        <v>3385</v>
      </c>
      <c r="E51">
        <v>50</v>
      </c>
      <c r="F51" t="s">
        <v>3386</v>
      </c>
      <c r="G51">
        <v>459226</v>
      </c>
      <c r="H51" t="s">
        <v>3387</v>
      </c>
      <c r="J51" s="252">
        <f>G51/SUM($G$2:$G$51)</f>
        <v>3.2162171987968639E-3</v>
      </c>
      <c r="K51" s="252">
        <f t="shared" si="0"/>
        <v>3.059469733880933E-4</v>
      </c>
      <c r="R51">
        <v>5.3E-3</v>
      </c>
      <c r="AB51" s="252">
        <f t="shared" si="1"/>
        <v>459226</v>
      </c>
      <c r="AC51" s="252">
        <f>AB51/SUM($AB$2:$AB$51)</f>
        <v>2.9102702254087706E-3</v>
      </c>
      <c r="AD51" s="252">
        <f>SUM(G2:G51)</f>
        <v>142784511</v>
      </c>
      <c r="AE51" s="264">
        <f>(SUM(G2:G51))</f>
        <v>142784511</v>
      </c>
      <c r="AF51" s="252">
        <f>G2</f>
        <v>40240574</v>
      </c>
      <c r="AG51" s="252">
        <f>G3</f>
        <v>12192892</v>
      </c>
      <c r="AH51" s="252">
        <f>G4</f>
        <v>9954125</v>
      </c>
      <c r="AI51" s="252">
        <f>SUM(G5:G11)</f>
        <v>37494044</v>
      </c>
      <c r="AJ51" s="252">
        <f>SUM(G12:G21)</f>
        <v>21447324</v>
      </c>
      <c r="AK51" s="252">
        <f>SUM(G22:G51)</f>
        <v>21455552</v>
      </c>
    </row>
    <row r="52" spans="1:37" x14ac:dyDescent="0.25">
      <c r="A52" t="s">
        <v>564</v>
      </c>
      <c r="B52" t="s">
        <v>30</v>
      </c>
      <c r="C52" t="s">
        <v>1821</v>
      </c>
      <c r="D52" t="s">
        <v>3388</v>
      </c>
      <c r="E52">
        <v>1</v>
      </c>
      <c r="F52" t="s">
        <v>262</v>
      </c>
      <c r="G52">
        <v>6283862</v>
      </c>
      <c r="H52" t="s">
        <v>3389</v>
      </c>
      <c r="I52">
        <v>-0.55781651417076494</v>
      </c>
      <c r="J52" s="252">
        <f>G52/SUM($G$52:$G$101)</f>
        <v>0.24374872988180293</v>
      </c>
      <c r="K52" s="252">
        <f t="shared" si="0"/>
        <v>-0.1318706291470865</v>
      </c>
      <c r="L52">
        <v>18143</v>
      </c>
      <c r="M52">
        <v>-0.43270679446718391</v>
      </c>
      <c r="N52">
        <v>346</v>
      </c>
      <c r="O52">
        <v>-0.22053801893515509</v>
      </c>
      <c r="P52">
        <v>233801</v>
      </c>
      <c r="Q52">
        <v>-0.47437652734781599</v>
      </c>
      <c r="R52">
        <v>7.7600000000000002E-2</v>
      </c>
      <c r="S52">
        <v>5.7000000000000002E-3</v>
      </c>
      <c r="T52">
        <v>14210983</v>
      </c>
      <c r="U52">
        <v>0.37016631977370618</v>
      </c>
      <c r="V52">
        <v>31982</v>
      </c>
      <c r="W52">
        <v>444</v>
      </c>
      <c r="X52">
        <v>444807</v>
      </c>
      <c r="Y52">
        <v>7.1900000000000006E-2</v>
      </c>
      <c r="Z52">
        <v>1</v>
      </c>
      <c r="AA52">
        <v>0</v>
      </c>
      <c r="AB52" s="252">
        <f t="shared" si="1"/>
        <v>14210983</v>
      </c>
      <c r="AC52" s="252">
        <f>AB52/SUM($AB$52:$AB$101)</f>
        <v>0.37561935902888943</v>
      </c>
      <c r="AD52" s="252">
        <f>SUM(G52:G101)</f>
        <v>25780081</v>
      </c>
      <c r="AE52" s="252">
        <f>SUM(G52:G101)</f>
        <v>25780081</v>
      </c>
      <c r="AF52" s="252">
        <f>G52</f>
        <v>6283862</v>
      </c>
      <c r="AG52" s="252">
        <f>G53</f>
        <v>4454395</v>
      </c>
      <c r="AH52" s="252">
        <f>G54</f>
        <v>2449331</v>
      </c>
      <c r="AI52" s="252">
        <f>SUM(G55:G61)</f>
        <v>8555925</v>
      </c>
      <c r="AJ52" s="252">
        <f>SUM(G62:G71)</f>
        <v>2311611</v>
      </c>
      <c r="AK52" s="252">
        <f>SUM(G72:G101)</f>
        <v>1724957</v>
      </c>
    </row>
    <row r="53" spans="1:37" x14ac:dyDescent="0.25">
      <c r="A53" t="s">
        <v>564</v>
      </c>
      <c r="B53" t="s">
        <v>30</v>
      </c>
      <c r="C53" t="s">
        <v>1827</v>
      </c>
      <c r="D53" t="s">
        <v>3390</v>
      </c>
      <c r="E53">
        <v>2</v>
      </c>
      <c r="F53" t="s">
        <v>259</v>
      </c>
      <c r="G53">
        <v>4454395</v>
      </c>
      <c r="H53" t="s">
        <v>3391</v>
      </c>
      <c r="I53">
        <v>-0.39212557184461788</v>
      </c>
      <c r="J53" s="252">
        <f t="shared" ref="J53:J101" si="4">G53/SUM($G$52:$G$101)</f>
        <v>0.17278436790016291</v>
      </c>
      <c r="K53" s="252">
        <f t="shared" si="0"/>
        <v>-2.0901841357735401E-2</v>
      </c>
      <c r="L53">
        <v>25186</v>
      </c>
      <c r="M53">
        <v>-0.24626224438371411</v>
      </c>
      <c r="N53">
        <v>177</v>
      </c>
      <c r="O53">
        <v>-0.19351999601192879</v>
      </c>
      <c r="P53">
        <v>299471</v>
      </c>
      <c r="Q53">
        <v>-6.2533064952871684E-2</v>
      </c>
      <c r="R53">
        <v>8.4100000000000008E-2</v>
      </c>
      <c r="S53">
        <v>-2.049999999999999E-2</v>
      </c>
      <c r="T53">
        <v>7327821</v>
      </c>
      <c r="U53">
        <v>0.1908743773411368</v>
      </c>
      <c r="V53">
        <v>33414</v>
      </c>
      <c r="W53">
        <v>219</v>
      </c>
      <c r="X53">
        <v>319447</v>
      </c>
      <c r="Y53">
        <v>0.1046</v>
      </c>
      <c r="Z53">
        <v>2</v>
      </c>
      <c r="AA53">
        <v>0</v>
      </c>
      <c r="AB53" s="252">
        <f t="shared" si="1"/>
        <v>7327821</v>
      </c>
      <c r="AC53" s="252">
        <f t="shared" ref="AC53:AC101" si="5">AB53/SUM($AB$52:$AB$101)</f>
        <v>0.19368620925789831</v>
      </c>
    </row>
    <row r="54" spans="1:37" x14ac:dyDescent="0.25">
      <c r="A54" t="s">
        <v>564</v>
      </c>
      <c r="B54" t="s">
        <v>30</v>
      </c>
      <c r="C54" t="s">
        <v>1823</v>
      </c>
      <c r="D54" t="s">
        <v>3392</v>
      </c>
      <c r="E54">
        <v>3</v>
      </c>
      <c r="F54" t="s">
        <v>264</v>
      </c>
      <c r="G54">
        <v>2449331</v>
      </c>
      <c r="H54" t="s">
        <v>3393</v>
      </c>
      <c r="I54">
        <v>-7.0886449520939587E-2</v>
      </c>
      <c r="J54" s="252">
        <f t="shared" si="4"/>
        <v>9.5008661920030435E-2</v>
      </c>
      <c r="K54" s="252">
        <f t="shared" si="0"/>
        <v>2.5329561923170513E-2</v>
      </c>
      <c r="L54">
        <v>11615</v>
      </c>
      <c r="M54">
        <v>-1.795297202392766E-2</v>
      </c>
      <c r="N54">
        <v>211</v>
      </c>
      <c r="O54">
        <v>-5.3901163578799267E-2</v>
      </c>
      <c r="P54">
        <v>73743</v>
      </c>
      <c r="Q54">
        <v>-0.1320574838459094</v>
      </c>
      <c r="R54">
        <v>0.1575</v>
      </c>
      <c r="S54">
        <v>1.83E-2</v>
      </c>
      <c r="T54">
        <v>2636202</v>
      </c>
      <c r="U54">
        <v>6.8667536406178509E-2</v>
      </c>
      <c r="V54">
        <v>11827</v>
      </c>
      <c r="W54">
        <v>223</v>
      </c>
      <c r="X54">
        <v>84963</v>
      </c>
      <c r="Y54">
        <v>0.13919999999999999</v>
      </c>
      <c r="Z54">
        <v>4</v>
      </c>
      <c r="AA54">
        <v>1</v>
      </c>
      <c r="AB54" s="252">
        <f t="shared" si="1"/>
        <v>2636202</v>
      </c>
      <c r="AC54" s="252">
        <f t="shared" si="5"/>
        <v>6.9679099996859922E-2</v>
      </c>
    </row>
    <row r="55" spans="1:37" x14ac:dyDescent="0.25">
      <c r="A55" t="s">
        <v>564</v>
      </c>
      <c r="B55" t="s">
        <v>30</v>
      </c>
      <c r="C55" t="s">
        <v>1837</v>
      </c>
      <c r="D55" t="s">
        <v>3394</v>
      </c>
      <c r="E55">
        <v>4</v>
      </c>
      <c r="F55" t="s">
        <v>266</v>
      </c>
      <c r="G55">
        <v>1974258</v>
      </c>
      <c r="H55" t="s">
        <v>3395</v>
      </c>
      <c r="I55">
        <v>0.22137309185393689</v>
      </c>
      <c r="J55" s="252">
        <f t="shared" si="4"/>
        <v>7.6580752403376862E-2</v>
      </c>
      <c r="K55" s="252">
        <f t="shared" si="0"/>
        <v>3.3856014613016218E-2</v>
      </c>
      <c r="L55">
        <v>9162</v>
      </c>
      <c r="M55">
        <v>0.3307693764603214</v>
      </c>
      <c r="N55">
        <v>215</v>
      </c>
      <c r="O55">
        <v>-8.2205291571530406E-2</v>
      </c>
      <c r="P55">
        <v>71974</v>
      </c>
      <c r="Q55">
        <v>-0.25882522552209908</v>
      </c>
      <c r="R55">
        <v>0.1273</v>
      </c>
      <c r="S55">
        <v>5.6399999999999999E-2</v>
      </c>
      <c r="T55">
        <v>1616425</v>
      </c>
      <c r="U55">
        <v>4.2104483091719491E-2</v>
      </c>
      <c r="V55">
        <v>6885</v>
      </c>
      <c r="W55">
        <v>235</v>
      </c>
      <c r="X55">
        <v>97108</v>
      </c>
      <c r="Y55">
        <v>7.0900000000000005E-2</v>
      </c>
      <c r="Z55">
        <v>6</v>
      </c>
      <c r="AA55">
        <v>2</v>
      </c>
      <c r="AB55" s="252">
        <f t="shared" si="1"/>
        <v>1616425</v>
      </c>
      <c r="AC55" s="252">
        <f t="shared" si="5"/>
        <v>4.2724737790360644E-2</v>
      </c>
    </row>
    <row r="56" spans="1:37" x14ac:dyDescent="0.25">
      <c r="A56" t="s">
        <v>564</v>
      </c>
      <c r="B56" t="s">
        <v>30</v>
      </c>
      <c r="C56" t="s">
        <v>1843</v>
      </c>
      <c r="D56" t="s">
        <v>3396</v>
      </c>
      <c r="E56">
        <v>5</v>
      </c>
      <c r="F56" t="s">
        <v>3325</v>
      </c>
      <c r="G56">
        <v>1782962</v>
      </c>
      <c r="H56" t="s">
        <v>3397</v>
      </c>
      <c r="I56">
        <v>-0.4952153435156863</v>
      </c>
      <c r="J56" s="252">
        <f t="shared" si="4"/>
        <v>6.9160449883768793E-2</v>
      </c>
      <c r="K56" s="252">
        <f t="shared" si="0"/>
        <v>-2.4199323531663278E-2</v>
      </c>
      <c r="L56">
        <v>9441</v>
      </c>
      <c r="M56">
        <v>-0.30951759529884543</v>
      </c>
      <c r="N56">
        <v>189</v>
      </c>
      <c r="O56">
        <v>-0.26893914595435942</v>
      </c>
      <c r="P56">
        <v>56873</v>
      </c>
      <c r="Q56">
        <v>-0.43804715135466282</v>
      </c>
      <c r="R56">
        <v>0.16600000000000001</v>
      </c>
      <c r="S56">
        <v>3.09E-2</v>
      </c>
      <c r="T56">
        <v>3532124</v>
      </c>
      <c r="U56">
        <v>9.2004426580791943E-2</v>
      </c>
      <c r="V56">
        <v>13673</v>
      </c>
      <c r="W56">
        <v>258</v>
      </c>
      <c r="X56">
        <v>101206</v>
      </c>
      <c r="Y56">
        <v>0.1351</v>
      </c>
      <c r="Z56">
        <v>3</v>
      </c>
      <c r="AA56">
        <v>-2</v>
      </c>
      <c r="AB56" s="252">
        <f t="shared" si="1"/>
        <v>3532124</v>
      </c>
      <c r="AC56" s="252">
        <f t="shared" si="5"/>
        <v>9.3359773415432071E-2</v>
      </c>
    </row>
    <row r="57" spans="1:37" x14ac:dyDescent="0.25">
      <c r="A57" t="s">
        <v>564</v>
      </c>
      <c r="B57" t="s">
        <v>30</v>
      </c>
      <c r="C57" t="s">
        <v>1839</v>
      </c>
      <c r="D57" t="s">
        <v>3398</v>
      </c>
      <c r="E57">
        <v>6</v>
      </c>
      <c r="F57" t="s">
        <v>272</v>
      </c>
      <c r="G57">
        <v>1682764</v>
      </c>
      <c r="H57" t="s">
        <v>3399</v>
      </c>
      <c r="I57">
        <v>-0.1606684868865362</v>
      </c>
      <c r="J57" s="252">
        <f t="shared" si="4"/>
        <v>6.5273805772759208E-2</v>
      </c>
      <c r="K57" s="252">
        <f t="shared" si="0"/>
        <v>1.2281412899866881E-2</v>
      </c>
      <c r="L57">
        <v>6442</v>
      </c>
      <c r="M57">
        <v>-0.29187422010821529</v>
      </c>
      <c r="N57">
        <v>261</v>
      </c>
      <c r="O57">
        <v>0.18528591522501831</v>
      </c>
      <c r="P57">
        <v>54318</v>
      </c>
      <c r="Q57">
        <v>-0.2208228138627496</v>
      </c>
      <c r="R57">
        <v>0.1186</v>
      </c>
      <c r="S57">
        <v>-1.1900000000000001E-2</v>
      </c>
      <c r="T57">
        <v>2004886</v>
      </c>
      <c r="U57">
        <v>5.2223077895865951E-2</v>
      </c>
      <c r="V57">
        <v>9097</v>
      </c>
      <c r="W57">
        <v>220</v>
      </c>
      <c r="X57">
        <v>69712</v>
      </c>
      <c r="Y57">
        <v>0.1305</v>
      </c>
      <c r="Z57">
        <v>5</v>
      </c>
      <c r="AA57">
        <v>-1</v>
      </c>
      <c r="AB57" s="252">
        <f t="shared" si="1"/>
        <v>2004886</v>
      </c>
      <c r="AC57" s="252">
        <f t="shared" si="5"/>
        <v>5.2992392872892327E-2</v>
      </c>
    </row>
    <row r="58" spans="1:37" x14ac:dyDescent="0.25">
      <c r="A58" t="s">
        <v>564</v>
      </c>
      <c r="B58" t="s">
        <v>30</v>
      </c>
      <c r="C58" t="s">
        <v>1853</v>
      </c>
      <c r="D58" t="s">
        <v>3400</v>
      </c>
      <c r="E58">
        <v>7</v>
      </c>
      <c r="F58" t="s">
        <v>452</v>
      </c>
      <c r="G58">
        <v>1154398</v>
      </c>
      <c r="H58" t="s">
        <v>3401</v>
      </c>
      <c r="I58">
        <v>10.359501692513581</v>
      </c>
      <c r="J58" s="252">
        <f t="shared" si="4"/>
        <v>4.477868009801831E-2</v>
      </c>
      <c r="K58" s="252">
        <f t="shared" si="0"/>
        <v>4.2092592742769774E-2</v>
      </c>
      <c r="L58">
        <v>5028</v>
      </c>
      <c r="M58">
        <v>-4.108410596675674E-2</v>
      </c>
      <c r="N58">
        <v>230</v>
      </c>
      <c r="O58">
        <v>10.8461918956573</v>
      </c>
      <c r="P58">
        <v>171603</v>
      </c>
      <c r="Q58">
        <v>2.9633008453046328</v>
      </c>
      <c r="R58">
        <v>2.93E-2</v>
      </c>
      <c r="S58">
        <v>-9.1799999999999993E-2</v>
      </c>
      <c r="T58">
        <v>101624</v>
      </c>
      <c r="U58">
        <v>2.6470921878298721E-3</v>
      </c>
      <c r="V58">
        <v>5243</v>
      </c>
      <c r="W58">
        <v>19</v>
      </c>
      <c r="X58">
        <v>43298</v>
      </c>
      <c r="Y58">
        <v>0.1211</v>
      </c>
      <c r="Z58">
        <v>20</v>
      </c>
      <c r="AA58">
        <v>13</v>
      </c>
      <c r="AB58" s="252">
        <f t="shared" si="1"/>
        <v>101623.99999999999</v>
      </c>
      <c r="AC58" s="252">
        <f t="shared" si="5"/>
        <v>2.6860873552485326E-3</v>
      </c>
    </row>
    <row r="59" spans="1:37" x14ac:dyDescent="0.25">
      <c r="A59" t="s">
        <v>564</v>
      </c>
      <c r="B59" t="s">
        <v>30</v>
      </c>
      <c r="C59" t="s">
        <v>1845</v>
      </c>
      <c r="D59" t="s">
        <v>3402</v>
      </c>
      <c r="E59">
        <v>8</v>
      </c>
      <c r="F59" t="s">
        <v>270</v>
      </c>
      <c r="G59">
        <v>805050</v>
      </c>
      <c r="H59" t="s">
        <v>3403</v>
      </c>
      <c r="I59">
        <v>-0.48049023188701329</v>
      </c>
      <c r="J59" s="252">
        <f t="shared" si="4"/>
        <v>3.1227597772093888E-2</v>
      </c>
      <c r="K59" s="252">
        <f t="shared" si="0"/>
        <v>-9.731745421080993E-3</v>
      </c>
      <c r="L59">
        <v>4828</v>
      </c>
      <c r="M59">
        <v>-0.47062012661935798</v>
      </c>
      <c r="N59">
        <v>167</v>
      </c>
      <c r="O59">
        <v>-1.86446553107967E-2</v>
      </c>
      <c r="P59">
        <v>57891</v>
      </c>
      <c r="Q59">
        <v>-0.25226679755108372</v>
      </c>
      <c r="R59">
        <v>8.3400000000000002E-2</v>
      </c>
      <c r="S59">
        <v>-3.44E-2</v>
      </c>
      <c r="T59">
        <v>1549634</v>
      </c>
      <c r="U59">
        <v>4.0364717541088287E-2</v>
      </c>
      <c r="V59">
        <v>9120</v>
      </c>
      <c r="W59">
        <v>170</v>
      </c>
      <c r="X59">
        <v>77422</v>
      </c>
      <c r="Y59">
        <v>0.1178</v>
      </c>
      <c r="Z59">
        <v>7</v>
      </c>
      <c r="AA59">
        <v>-1</v>
      </c>
      <c r="AB59" s="252">
        <f t="shared" si="1"/>
        <v>1549633.9999999998</v>
      </c>
      <c r="AC59" s="252">
        <f t="shared" si="5"/>
        <v>4.0959343193174881E-2</v>
      </c>
    </row>
    <row r="60" spans="1:37" x14ac:dyDescent="0.25">
      <c r="A60" t="s">
        <v>564</v>
      </c>
      <c r="B60" t="s">
        <v>30</v>
      </c>
      <c r="C60" t="s">
        <v>1829</v>
      </c>
      <c r="D60" t="s">
        <v>3404</v>
      </c>
      <c r="E60">
        <v>9</v>
      </c>
      <c r="F60" t="s">
        <v>451</v>
      </c>
      <c r="G60">
        <v>792537</v>
      </c>
      <c r="H60" t="s">
        <v>3405</v>
      </c>
      <c r="I60">
        <v>0.1127386835898012</v>
      </c>
      <c r="J60" s="252">
        <f t="shared" si="4"/>
        <v>3.0742223036459817E-2</v>
      </c>
      <c r="K60" s="252">
        <f t="shared" si="0"/>
        <v>1.1916563173610343E-2</v>
      </c>
      <c r="L60">
        <v>30612</v>
      </c>
      <c r="M60">
        <v>1.8065257054135</v>
      </c>
      <c r="N60">
        <v>26</v>
      </c>
      <c r="O60">
        <v>-0.60351737329772448</v>
      </c>
      <c r="P60">
        <v>155390</v>
      </c>
      <c r="Q60">
        <v>0.81783086299879515</v>
      </c>
      <c r="R60">
        <v>0.19700000000000001</v>
      </c>
      <c r="S60">
        <v>6.9399999999999976E-2</v>
      </c>
      <c r="T60">
        <v>712240</v>
      </c>
      <c r="U60">
        <v>1.8552359087026179E-2</v>
      </c>
      <c r="V60">
        <v>10907</v>
      </c>
      <c r="W60">
        <v>65</v>
      </c>
      <c r="X60">
        <v>85481</v>
      </c>
      <c r="Y60">
        <v>0.12759999999999999</v>
      </c>
      <c r="Z60">
        <v>8</v>
      </c>
      <c r="AA60">
        <v>-1</v>
      </c>
      <c r="AB60" s="252">
        <f t="shared" si="1"/>
        <v>712240</v>
      </c>
      <c r="AC60" s="252">
        <f t="shared" si="5"/>
        <v>1.8825659862849474E-2</v>
      </c>
    </row>
    <row r="61" spans="1:37" x14ac:dyDescent="0.25">
      <c r="A61" t="s">
        <v>564</v>
      </c>
      <c r="B61" t="s">
        <v>30</v>
      </c>
      <c r="C61" t="s">
        <v>1859</v>
      </c>
      <c r="D61" t="s">
        <v>3406</v>
      </c>
      <c r="E61">
        <v>10</v>
      </c>
      <c r="F61" t="s">
        <v>273</v>
      </c>
      <c r="G61">
        <v>363956</v>
      </c>
      <c r="H61" t="s">
        <v>3407</v>
      </c>
      <c r="I61">
        <v>0.10499646297662529</v>
      </c>
      <c r="J61" s="252">
        <f t="shared" si="4"/>
        <v>1.4117721352388304E-2</v>
      </c>
      <c r="K61" s="252">
        <f t="shared" si="0"/>
        <v>5.4118580675316264E-3</v>
      </c>
      <c r="L61">
        <v>2214</v>
      </c>
      <c r="M61">
        <v>0.11408003036662361</v>
      </c>
      <c r="N61">
        <v>164</v>
      </c>
      <c r="O61">
        <v>-8.1534244779606409E-3</v>
      </c>
      <c r="P61">
        <v>23802</v>
      </c>
      <c r="Q61">
        <v>0.21111280720500691</v>
      </c>
      <c r="R61">
        <v>9.3000000000000013E-2</v>
      </c>
      <c r="S61">
        <v>-8.0999999999999892E-3</v>
      </c>
      <c r="T61">
        <v>329373</v>
      </c>
      <c r="U61">
        <v>8.5794762574006971E-3</v>
      </c>
      <c r="V61">
        <v>1987</v>
      </c>
      <c r="W61">
        <v>166</v>
      </c>
      <c r="X61">
        <v>19653</v>
      </c>
      <c r="Y61">
        <v>0.1011</v>
      </c>
      <c r="Z61">
        <v>10</v>
      </c>
      <c r="AA61">
        <v>0</v>
      </c>
      <c r="AB61" s="252">
        <f t="shared" si="1"/>
        <v>329373</v>
      </c>
      <c r="AC61" s="252">
        <f t="shared" si="5"/>
        <v>8.7058632848566776E-3</v>
      </c>
    </row>
    <row r="62" spans="1:37" x14ac:dyDescent="0.25">
      <c r="A62" t="s">
        <v>564</v>
      </c>
      <c r="B62" t="s">
        <v>30</v>
      </c>
      <c r="C62" t="s">
        <v>1864</v>
      </c>
      <c r="D62" t="s">
        <v>3408</v>
      </c>
      <c r="E62">
        <v>11</v>
      </c>
      <c r="F62" t="s">
        <v>3409</v>
      </c>
      <c r="G62">
        <v>360275</v>
      </c>
      <c r="H62" t="s">
        <v>3407</v>
      </c>
      <c r="I62">
        <v>0.4477306061762874</v>
      </c>
      <c r="J62" s="252">
        <f t="shared" si="4"/>
        <v>1.3974936696281132E-2</v>
      </c>
      <c r="K62" s="252">
        <f t="shared" si="0"/>
        <v>7.3972949109708348E-3</v>
      </c>
      <c r="L62">
        <v>1212</v>
      </c>
      <c r="M62">
        <v>-0.22132154258694839</v>
      </c>
      <c r="N62">
        <v>297</v>
      </c>
      <c r="O62">
        <v>0.85921492034848446</v>
      </c>
      <c r="P62">
        <v>10857</v>
      </c>
      <c r="Q62">
        <v>-0.41738663804668641</v>
      </c>
      <c r="R62">
        <v>0.1116</v>
      </c>
      <c r="S62">
        <v>2.81E-2</v>
      </c>
      <c r="T62">
        <v>248855</v>
      </c>
      <c r="U62">
        <v>6.4821511296780567E-3</v>
      </c>
      <c r="V62">
        <v>1556</v>
      </c>
      <c r="W62">
        <v>160</v>
      </c>
      <c r="X62">
        <v>18635</v>
      </c>
      <c r="Y62">
        <v>8.3500000000000005E-2</v>
      </c>
      <c r="Z62">
        <v>13</v>
      </c>
      <c r="AA62">
        <v>2</v>
      </c>
      <c r="AB62" s="252">
        <f t="shared" si="1"/>
        <v>248855</v>
      </c>
      <c r="AC62" s="252">
        <f t="shared" si="5"/>
        <v>6.5776417853102972E-3</v>
      </c>
    </row>
    <row r="63" spans="1:37" x14ac:dyDescent="0.25">
      <c r="A63" t="s">
        <v>564</v>
      </c>
      <c r="B63" t="s">
        <v>30</v>
      </c>
      <c r="C63" t="s">
        <v>1873</v>
      </c>
      <c r="D63" t="s">
        <v>3410</v>
      </c>
      <c r="E63">
        <v>12</v>
      </c>
      <c r="F63" t="s">
        <v>3411</v>
      </c>
      <c r="G63">
        <v>312721</v>
      </c>
      <c r="H63" t="s">
        <v>3412</v>
      </c>
      <c r="J63" s="252">
        <f t="shared" si="4"/>
        <v>1.2130334268538566E-2</v>
      </c>
      <c r="K63" s="252">
        <f t="shared" si="0"/>
        <v>3.8646103861812841E-3</v>
      </c>
      <c r="L63">
        <v>542</v>
      </c>
      <c r="N63">
        <v>577</v>
      </c>
      <c r="P63">
        <v>4891</v>
      </c>
      <c r="R63">
        <v>0.1108</v>
      </c>
      <c r="AB63" s="252">
        <f t="shared" si="1"/>
        <v>312721</v>
      </c>
      <c r="AC63" s="252">
        <f t="shared" si="5"/>
        <v>8.2657238823572819E-3</v>
      </c>
    </row>
    <row r="64" spans="1:37" x14ac:dyDescent="0.25">
      <c r="A64" t="s">
        <v>564</v>
      </c>
      <c r="B64" t="s">
        <v>30</v>
      </c>
      <c r="C64" t="s">
        <v>1882</v>
      </c>
      <c r="D64" t="s">
        <v>3413</v>
      </c>
      <c r="E64">
        <v>13</v>
      </c>
      <c r="F64" t="s">
        <v>267</v>
      </c>
      <c r="G64">
        <v>293307</v>
      </c>
      <c r="H64" t="s">
        <v>3414</v>
      </c>
      <c r="I64">
        <v>1.1909510577267839</v>
      </c>
      <c r="J64" s="252">
        <f t="shared" si="4"/>
        <v>1.1377272243636473E-2</v>
      </c>
      <c r="K64" s="252">
        <f t="shared" si="0"/>
        <v>7.8388178783110416E-3</v>
      </c>
      <c r="L64">
        <v>1945</v>
      </c>
      <c r="M64">
        <v>1.358889752753655</v>
      </c>
      <c r="N64">
        <v>151</v>
      </c>
      <c r="O64">
        <v>-7.119395674631572E-2</v>
      </c>
      <c r="P64">
        <v>8092</v>
      </c>
      <c r="Q64">
        <v>0.68548219121016452</v>
      </c>
      <c r="R64">
        <v>0.24030000000000001</v>
      </c>
      <c r="S64">
        <v>6.8599999999999994E-2</v>
      </c>
      <c r="T64">
        <v>133872</v>
      </c>
      <c r="U64">
        <v>3.4870849933988099E-3</v>
      </c>
      <c r="V64">
        <v>824</v>
      </c>
      <c r="W64">
        <v>162</v>
      </c>
      <c r="X64">
        <v>4801</v>
      </c>
      <c r="Y64">
        <v>0.17169999999999999</v>
      </c>
      <c r="Z64">
        <v>17</v>
      </c>
      <c r="AA64">
        <v>4</v>
      </c>
      <c r="AB64" s="252">
        <f t="shared" si="1"/>
        <v>133872</v>
      </c>
      <c r="AC64" s="252">
        <f t="shared" si="5"/>
        <v>3.5384543653254308E-3</v>
      </c>
    </row>
    <row r="65" spans="1:29" x14ac:dyDescent="0.25">
      <c r="A65" t="s">
        <v>564</v>
      </c>
      <c r="B65" t="s">
        <v>30</v>
      </c>
      <c r="C65" t="s">
        <v>1878</v>
      </c>
      <c r="D65" t="s">
        <v>3415</v>
      </c>
      <c r="E65">
        <v>14</v>
      </c>
      <c r="F65" t="s">
        <v>3416</v>
      </c>
      <c r="G65">
        <v>263049</v>
      </c>
      <c r="H65" t="s">
        <v>3417</v>
      </c>
      <c r="J65" s="252">
        <f t="shared" si="4"/>
        <v>1.0203575388300759E-2</v>
      </c>
      <c r="K65" s="252">
        <f t="shared" si="0"/>
        <v>3.2507631322316087E-3</v>
      </c>
      <c r="R65">
        <v>2.8199999999999999E-2</v>
      </c>
      <c r="AB65" s="252">
        <f t="shared" si="1"/>
        <v>263049</v>
      </c>
      <c r="AC65" s="252">
        <f t="shared" si="5"/>
        <v>6.9528122560691503E-3</v>
      </c>
    </row>
    <row r="66" spans="1:29" x14ac:dyDescent="0.25">
      <c r="A66" t="s">
        <v>564</v>
      </c>
      <c r="B66" t="s">
        <v>30</v>
      </c>
      <c r="C66" t="s">
        <v>1892</v>
      </c>
      <c r="D66" t="s">
        <v>3418</v>
      </c>
      <c r="E66">
        <v>15</v>
      </c>
      <c r="F66" t="s">
        <v>274</v>
      </c>
      <c r="G66">
        <v>253812</v>
      </c>
      <c r="H66" t="s">
        <v>3419</v>
      </c>
      <c r="I66">
        <v>0.12497340614140839</v>
      </c>
      <c r="J66" s="252">
        <f t="shared" si="4"/>
        <v>9.8452755055346806E-3</v>
      </c>
      <c r="K66" s="252">
        <f t="shared" si="0"/>
        <v>3.8818782298738813E-3</v>
      </c>
      <c r="L66">
        <v>1399</v>
      </c>
      <c r="M66">
        <v>0.38953697569902818</v>
      </c>
      <c r="N66">
        <v>181</v>
      </c>
      <c r="O66">
        <v>-0.1903969265909797</v>
      </c>
      <c r="P66">
        <v>12374</v>
      </c>
      <c r="Q66">
        <v>5.1674315825259221E-2</v>
      </c>
      <c r="R66">
        <v>0.11310000000000001</v>
      </c>
      <c r="S66">
        <v>2.75E-2</v>
      </c>
      <c r="T66">
        <v>225616</v>
      </c>
      <c r="U66">
        <v>5.8768238905123242E-3</v>
      </c>
      <c r="V66">
        <v>1007</v>
      </c>
      <c r="W66">
        <v>224</v>
      </c>
      <c r="X66">
        <v>11766</v>
      </c>
      <c r="Y66">
        <v>8.5599999999999996E-2</v>
      </c>
      <c r="Z66">
        <v>14</v>
      </c>
      <c r="AA66">
        <v>-1</v>
      </c>
      <c r="AB66" s="252">
        <f t="shared" si="1"/>
        <v>225616.00000000003</v>
      </c>
      <c r="AC66" s="252">
        <f t="shared" si="5"/>
        <v>5.9633972756607994E-3</v>
      </c>
    </row>
    <row r="67" spans="1:29" x14ac:dyDescent="0.25">
      <c r="A67" t="s">
        <v>564</v>
      </c>
      <c r="B67" t="s">
        <v>30</v>
      </c>
      <c r="C67" t="s">
        <v>1898</v>
      </c>
      <c r="D67" t="s">
        <v>3420</v>
      </c>
      <c r="E67">
        <v>16</v>
      </c>
      <c r="F67" t="s">
        <v>3421</v>
      </c>
      <c r="G67">
        <v>183821</v>
      </c>
      <c r="H67" t="s">
        <v>3422</v>
      </c>
      <c r="I67">
        <v>-0.26420683112714</v>
      </c>
      <c r="J67" s="252">
        <f t="shared" si="4"/>
        <v>7.1303499783418062E-3</v>
      </c>
      <c r="K67" s="252">
        <f t="shared" ref="K67:K101" si="6">J67-AC67</f>
        <v>5.270166545238578E-4</v>
      </c>
      <c r="L67">
        <v>1044</v>
      </c>
      <c r="M67">
        <v>-0.30200641134769218</v>
      </c>
      <c r="N67">
        <v>176</v>
      </c>
      <c r="O67">
        <v>5.4154623817585498E-2</v>
      </c>
      <c r="P67">
        <v>13114</v>
      </c>
      <c r="Q67">
        <v>-0.44055287743696941</v>
      </c>
      <c r="R67">
        <v>7.9600000000000004E-2</v>
      </c>
      <c r="S67">
        <v>1.5800000000000002E-2</v>
      </c>
      <c r="T67">
        <v>249827</v>
      </c>
      <c r="U67">
        <v>6.5074696922869943E-3</v>
      </c>
      <c r="V67">
        <v>1496</v>
      </c>
      <c r="W67">
        <v>167</v>
      </c>
      <c r="X67">
        <v>23441</v>
      </c>
      <c r="Y67">
        <v>6.3799999999999996E-2</v>
      </c>
      <c r="Z67">
        <v>12</v>
      </c>
      <c r="AA67">
        <v>-4</v>
      </c>
      <c r="AB67" s="252">
        <f t="shared" ref="AB67:AB101" si="7">G67/(1+I67)</f>
        <v>249827</v>
      </c>
      <c r="AC67" s="252">
        <f t="shared" si="5"/>
        <v>6.6033333238179484E-3</v>
      </c>
    </row>
    <row r="68" spans="1:29" x14ac:dyDescent="0.25">
      <c r="A68" t="s">
        <v>564</v>
      </c>
      <c r="B68" t="s">
        <v>30</v>
      </c>
      <c r="C68" t="s">
        <v>1903</v>
      </c>
      <c r="D68" t="s">
        <v>3423</v>
      </c>
      <c r="E68">
        <v>17</v>
      </c>
      <c r="F68" t="s">
        <v>3424</v>
      </c>
      <c r="G68">
        <v>183422</v>
      </c>
      <c r="H68" t="s">
        <v>3422</v>
      </c>
      <c r="I68">
        <v>2.6322626638678761</v>
      </c>
      <c r="J68" s="252">
        <f t="shared" si="4"/>
        <v>7.1148729129283965E-3</v>
      </c>
      <c r="K68" s="252">
        <f t="shared" si="6"/>
        <v>5.780128765233556E-3</v>
      </c>
      <c r="L68">
        <v>475</v>
      </c>
      <c r="M68">
        <v>-0.49889974993550262</v>
      </c>
      <c r="N68">
        <v>386</v>
      </c>
      <c r="O68">
        <v>6.2485748378699899</v>
      </c>
      <c r="P68">
        <v>9824</v>
      </c>
      <c r="Q68">
        <v>-0.28976286871023721</v>
      </c>
      <c r="R68">
        <v>4.8399999999999999E-2</v>
      </c>
      <c r="S68">
        <v>-2.0199999999999999E-2</v>
      </c>
      <c r="T68">
        <v>50498</v>
      </c>
      <c r="U68">
        <v>1.3153670520844769E-3</v>
      </c>
      <c r="V68">
        <v>949</v>
      </c>
      <c r="W68">
        <v>53</v>
      </c>
      <c r="X68">
        <v>13832</v>
      </c>
      <c r="Y68">
        <v>6.8599999999999994E-2</v>
      </c>
      <c r="Z68">
        <v>36</v>
      </c>
      <c r="AA68">
        <v>19</v>
      </c>
      <c r="AB68" s="252">
        <f t="shared" si="7"/>
        <v>50498</v>
      </c>
      <c r="AC68" s="252">
        <f t="shared" si="5"/>
        <v>1.33474414769484E-3</v>
      </c>
    </row>
    <row r="69" spans="1:29" x14ac:dyDescent="0.25">
      <c r="A69" t="s">
        <v>564</v>
      </c>
      <c r="B69" t="s">
        <v>30</v>
      </c>
      <c r="C69" t="s">
        <v>1888</v>
      </c>
      <c r="D69" t="s">
        <v>3425</v>
      </c>
      <c r="E69">
        <v>18</v>
      </c>
      <c r="F69" t="s">
        <v>3426</v>
      </c>
      <c r="G69">
        <v>163682</v>
      </c>
      <c r="H69" t="s">
        <v>3427</v>
      </c>
      <c r="I69">
        <v>-0.46284281584016751</v>
      </c>
      <c r="J69" s="252">
        <f t="shared" si="4"/>
        <v>6.3491654661597067E-3</v>
      </c>
      <c r="K69" s="252">
        <f t="shared" si="6"/>
        <v>-1.7050525611170941E-3</v>
      </c>
      <c r="L69">
        <v>975</v>
      </c>
      <c r="M69">
        <v>-0.39296270140196687</v>
      </c>
      <c r="N69">
        <v>168</v>
      </c>
      <c r="O69">
        <v>-0.1151166733899059</v>
      </c>
      <c r="P69">
        <v>7215</v>
      </c>
      <c r="Q69">
        <v>-0.36375661375661378</v>
      </c>
      <c r="R69">
        <v>0.1351</v>
      </c>
      <c r="S69">
        <v>-6.4999999999999997E-3</v>
      </c>
      <c r="T69">
        <v>304719</v>
      </c>
      <c r="U69">
        <v>7.9372912341900623E-3</v>
      </c>
      <c r="V69">
        <v>1606</v>
      </c>
      <c r="W69">
        <v>190</v>
      </c>
      <c r="X69">
        <v>11340</v>
      </c>
      <c r="Y69">
        <v>0.1416</v>
      </c>
      <c r="Z69">
        <v>11</v>
      </c>
      <c r="AA69">
        <v>-7</v>
      </c>
      <c r="AB69" s="252">
        <f t="shared" si="7"/>
        <v>304719</v>
      </c>
      <c r="AC69" s="252">
        <f t="shared" si="5"/>
        <v>8.0542180272768008E-3</v>
      </c>
    </row>
    <row r="70" spans="1:29" x14ac:dyDescent="0.25">
      <c r="A70" t="s">
        <v>564</v>
      </c>
      <c r="B70" t="s">
        <v>30</v>
      </c>
      <c r="C70" t="s">
        <v>1894</v>
      </c>
      <c r="D70" t="s">
        <v>3428</v>
      </c>
      <c r="E70">
        <v>19</v>
      </c>
      <c r="F70" t="s">
        <v>3429</v>
      </c>
      <c r="G70">
        <v>152044</v>
      </c>
      <c r="H70" t="s">
        <v>3430</v>
      </c>
      <c r="I70">
        <v>0.37004964992746242</v>
      </c>
      <c r="J70" s="252">
        <f t="shared" si="4"/>
        <v>5.8977316634497776E-3</v>
      </c>
      <c r="K70" s="252">
        <f t="shared" si="6"/>
        <v>2.9644293291250469E-3</v>
      </c>
      <c r="L70">
        <v>827</v>
      </c>
      <c r="M70">
        <v>0.2133692754654439</v>
      </c>
      <c r="N70">
        <v>184</v>
      </c>
      <c r="O70">
        <v>0.12912835163220729</v>
      </c>
      <c r="P70">
        <v>13508</v>
      </c>
      <c r="Q70">
        <v>-0.40917639854787208</v>
      </c>
      <c r="R70">
        <v>6.1199999999999997E-2</v>
      </c>
      <c r="S70">
        <v>3.1399999999999997E-2</v>
      </c>
      <c r="T70">
        <v>110977</v>
      </c>
      <c r="U70">
        <v>2.890718233181096E-3</v>
      </c>
      <c r="V70">
        <v>681</v>
      </c>
      <c r="W70">
        <v>163</v>
      </c>
      <c r="X70">
        <v>22863</v>
      </c>
      <c r="Y70">
        <v>2.98E-2</v>
      </c>
      <c r="Z70">
        <v>19</v>
      </c>
      <c r="AA70">
        <v>0</v>
      </c>
      <c r="AB70" s="252">
        <f t="shared" si="7"/>
        <v>110977</v>
      </c>
      <c r="AC70" s="252">
        <f t="shared" si="5"/>
        <v>2.9333023343247307E-3</v>
      </c>
    </row>
    <row r="71" spans="1:29" x14ac:dyDescent="0.25">
      <c r="A71" t="s">
        <v>564</v>
      </c>
      <c r="B71" t="s">
        <v>30</v>
      </c>
      <c r="C71" t="s">
        <v>1914</v>
      </c>
      <c r="D71" t="s">
        <v>3431</v>
      </c>
      <c r="E71">
        <v>20</v>
      </c>
      <c r="F71" t="s">
        <v>3432</v>
      </c>
      <c r="G71">
        <v>145478</v>
      </c>
      <c r="H71" t="s">
        <v>3430</v>
      </c>
      <c r="I71">
        <v>0.65109522188173874</v>
      </c>
      <c r="J71" s="252">
        <f t="shared" si="4"/>
        <v>5.6430389027870009E-3</v>
      </c>
      <c r="K71" s="252">
        <f t="shared" si="6"/>
        <v>3.3141485139915566E-3</v>
      </c>
      <c r="L71">
        <v>1466</v>
      </c>
      <c r="M71">
        <v>0.65571045087095858</v>
      </c>
      <c r="N71">
        <v>99</v>
      </c>
      <c r="O71">
        <v>-2.7874614107751272E-3</v>
      </c>
      <c r="P71">
        <v>21464</v>
      </c>
      <c r="Q71">
        <v>0.1054230828655302</v>
      </c>
      <c r="R71">
        <v>6.83E-2</v>
      </c>
      <c r="S71">
        <v>2.2700000000000001E-2</v>
      </c>
      <c r="T71">
        <v>88110</v>
      </c>
      <c r="U71">
        <v>2.2950808142731048E-3</v>
      </c>
      <c r="V71">
        <v>885</v>
      </c>
      <c r="W71">
        <v>100</v>
      </c>
      <c r="X71">
        <v>19417</v>
      </c>
      <c r="Y71">
        <v>4.5600000000000002E-2</v>
      </c>
      <c r="Z71">
        <v>22</v>
      </c>
      <c r="AA71">
        <v>2</v>
      </c>
      <c r="AB71" s="252">
        <f t="shared" si="7"/>
        <v>88110</v>
      </c>
      <c r="AC71" s="252">
        <f t="shared" si="5"/>
        <v>2.3288903887954443E-3</v>
      </c>
    </row>
    <row r="72" spans="1:29" x14ac:dyDescent="0.25">
      <c r="A72" t="s">
        <v>564</v>
      </c>
      <c r="B72" t="s">
        <v>30</v>
      </c>
      <c r="C72" t="s">
        <v>1923</v>
      </c>
      <c r="D72" t="s">
        <v>3433</v>
      </c>
      <c r="E72">
        <v>21</v>
      </c>
      <c r="F72" t="s">
        <v>3434</v>
      </c>
      <c r="G72">
        <v>138731</v>
      </c>
      <c r="H72" t="s">
        <v>3435</v>
      </c>
      <c r="I72">
        <v>1.0967746810954599</v>
      </c>
      <c r="J72" s="252">
        <f t="shared" si="4"/>
        <v>5.3813252177136294E-3</v>
      </c>
      <c r="K72" s="252">
        <f t="shared" si="6"/>
        <v>3.6325032487627522E-3</v>
      </c>
      <c r="L72">
        <v>763</v>
      </c>
      <c r="M72">
        <v>-0.14451736911248469</v>
      </c>
      <c r="N72">
        <v>182</v>
      </c>
      <c r="O72">
        <v>1.4509845149283429</v>
      </c>
      <c r="P72">
        <v>27336</v>
      </c>
      <c r="Q72">
        <v>1.4131355932203391</v>
      </c>
      <c r="R72">
        <v>2.7900000000000001E-2</v>
      </c>
      <c r="S72">
        <v>-5.0799999999999998E-2</v>
      </c>
      <c r="T72">
        <v>66164</v>
      </c>
      <c r="U72">
        <v>1.7234335148742E-3</v>
      </c>
      <c r="V72">
        <v>892</v>
      </c>
      <c r="W72">
        <v>74</v>
      </c>
      <c r="X72">
        <v>11328</v>
      </c>
      <c r="Y72">
        <v>7.8700000000000006E-2</v>
      </c>
      <c r="Z72">
        <v>29</v>
      </c>
      <c r="AA72">
        <v>8</v>
      </c>
      <c r="AB72" s="252">
        <f t="shared" si="7"/>
        <v>66164</v>
      </c>
      <c r="AC72" s="252">
        <f t="shared" si="5"/>
        <v>1.748821968950877E-3</v>
      </c>
    </row>
    <row r="73" spans="1:29" x14ac:dyDescent="0.25">
      <c r="A73" t="s">
        <v>564</v>
      </c>
      <c r="B73" t="s">
        <v>30</v>
      </c>
      <c r="C73" t="s">
        <v>1928</v>
      </c>
      <c r="D73" t="s">
        <v>3436</v>
      </c>
      <c r="E73">
        <v>22</v>
      </c>
      <c r="F73" t="s">
        <v>3301</v>
      </c>
      <c r="G73">
        <v>116708</v>
      </c>
      <c r="H73" t="s">
        <v>3437</v>
      </c>
      <c r="I73">
        <v>2.3779450072358901</v>
      </c>
      <c r="J73" s="252">
        <f t="shared" si="4"/>
        <v>4.5270610282411444E-3</v>
      </c>
      <c r="K73" s="252">
        <f t="shared" si="6"/>
        <v>3.6138484197644379E-3</v>
      </c>
      <c r="L73">
        <v>1015</v>
      </c>
      <c r="M73">
        <v>2.4183713179885231</v>
      </c>
      <c r="N73">
        <v>115</v>
      </c>
      <c r="O73">
        <v>-1.182619060132453E-2</v>
      </c>
      <c r="P73">
        <v>12603</v>
      </c>
      <c r="Q73">
        <v>1.764422022373328</v>
      </c>
      <c r="R73">
        <v>8.0500000000000002E-2</v>
      </c>
      <c r="S73">
        <v>1.54E-2</v>
      </c>
      <c r="T73">
        <v>34550</v>
      </c>
      <c r="U73">
        <v>8.9995508038969222E-4</v>
      </c>
      <c r="V73">
        <v>297</v>
      </c>
      <c r="W73">
        <v>116</v>
      </c>
      <c r="X73">
        <v>4559</v>
      </c>
      <c r="Y73">
        <v>6.5100000000000005E-2</v>
      </c>
      <c r="Z73">
        <v>43</v>
      </c>
      <c r="AA73">
        <v>21</v>
      </c>
      <c r="AB73" s="252">
        <f t="shared" si="7"/>
        <v>34550</v>
      </c>
      <c r="AC73" s="252">
        <f t="shared" si="5"/>
        <v>9.1321260847670636E-4</v>
      </c>
    </row>
    <row r="74" spans="1:29" x14ac:dyDescent="0.25">
      <c r="A74" t="s">
        <v>564</v>
      </c>
      <c r="B74" t="s">
        <v>30</v>
      </c>
      <c r="C74" t="s">
        <v>1934</v>
      </c>
      <c r="D74" t="s">
        <v>3438</v>
      </c>
      <c r="E74">
        <v>23</v>
      </c>
      <c r="F74" t="s">
        <v>3439</v>
      </c>
      <c r="G74">
        <v>107056</v>
      </c>
      <c r="H74" t="s">
        <v>3440</v>
      </c>
      <c r="I74">
        <v>2.0302584279204048</v>
      </c>
      <c r="J74" s="252">
        <f t="shared" si="4"/>
        <v>4.1526634458596157E-3</v>
      </c>
      <c r="K74" s="252">
        <f t="shared" si="6"/>
        <v>3.2188606023032173E-3</v>
      </c>
      <c r="L74">
        <v>600</v>
      </c>
      <c r="M74">
        <v>1.884477859842441</v>
      </c>
      <c r="N74">
        <v>178</v>
      </c>
      <c r="O74">
        <v>5.0539673092144098E-2</v>
      </c>
      <c r="P74">
        <v>8958</v>
      </c>
      <c r="Q74">
        <v>2.426931905126243</v>
      </c>
      <c r="R74">
        <v>6.7000000000000004E-2</v>
      </c>
      <c r="S74">
        <v>-1.26E-2</v>
      </c>
      <c r="T74">
        <v>35329</v>
      </c>
      <c r="U74">
        <v>9.2024639754232816E-4</v>
      </c>
      <c r="V74">
        <v>208</v>
      </c>
      <c r="W74">
        <v>170</v>
      </c>
      <c r="X74">
        <v>2614</v>
      </c>
      <c r="Y74">
        <v>7.9600000000000004E-2</v>
      </c>
      <c r="Z74">
        <v>42</v>
      </c>
      <c r="AA74">
        <v>19</v>
      </c>
      <c r="AB74" s="252">
        <f t="shared" si="7"/>
        <v>35329.000000000007</v>
      </c>
      <c r="AC74" s="252">
        <f t="shared" si="5"/>
        <v>9.3380284355639841E-4</v>
      </c>
    </row>
    <row r="75" spans="1:29" x14ac:dyDescent="0.25">
      <c r="A75" t="s">
        <v>564</v>
      </c>
      <c r="B75" t="s">
        <v>30</v>
      </c>
      <c r="C75" t="s">
        <v>1919</v>
      </c>
      <c r="D75" t="s">
        <v>3441</v>
      </c>
      <c r="E75">
        <v>24</v>
      </c>
      <c r="F75" t="s">
        <v>3442</v>
      </c>
      <c r="G75">
        <v>98724</v>
      </c>
      <c r="H75" t="s">
        <v>3443</v>
      </c>
      <c r="I75">
        <v>4.1941952506596297E-2</v>
      </c>
      <c r="J75" s="252">
        <f t="shared" si="4"/>
        <v>3.8294681851465092E-3</v>
      </c>
      <c r="K75" s="252">
        <f t="shared" si="6"/>
        <v>1.3250718131300712E-3</v>
      </c>
      <c r="L75">
        <v>618</v>
      </c>
      <c r="M75">
        <v>5.6047863247863122E-2</v>
      </c>
      <c r="N75">
        <v>160</v>
      </c>
      <c r="O75">
        <v>-1.335726460151555E-2</v>
      </c>
      <c r="P75">
        <v>15068</v>
      </c>
      <c r="Q75">
        <v>0.60982905982905977</v>
      </c>
      <c r="R75">
        <v>4.0999999999999988E-2</v>
      </c>
      <c r="S75">
        <v>-2.1500000000000009E-2</v>
      </c>
      <c r="T75">
        <v>94750</v>
      </c>
      <c r="U75">
        <v>2.468038896293006E-3</v>
      </c>
      <c r="V75">
        <v>585</v>
      </c>
      <c r="W75">
        <v>162</v>
      </c>
      <c r="X75">
        <v>9360</v>
      </c>
      <c r="Y75">
        <v>6.25E-2</v>
      </c>
      <c r="Z75">
        <v>21</v>
      </c>
      <c r="AA75">
        <v>-3</v>
      </c>
      <c r="AB75" s="252">
        <f t="shared" si="7"/>
        <v>94750</v>
      </c>
      <c r="AC75" s="252">
        <f t="shared" si="5"/>
        <v>2.5043963720164379E-3</v>
      </c>
    </row>
    <row r="76" spans="1:29" x14ac:dyDescent="0.25">
      <c r="A76" t="s">
        <v>564</v>
      </c>
      <c r="B76" t="s">
        <v>30</v>
      </c>
      <c r="C76" t="s">
        <v>1940</v>
      </c>
      <c r="D76" t="s">
        <v>3444</v>
      </c>
      <c r="E76">
        <v>25</v>
      </c>
      <c r="F76" t="s">
        <v>3445</v>
      </c>
      <c r="G76">
        <v>98187</v>
      </c>
      <c r="H76" t="s">
        <v>3443</v>
      </c>
      <c r="I76">
        <v>2.9746994292191231</v>
      </c>
      <c r="J76" s="252">
        <f t="shared" si="4"/>
        <v>3.8086381497404913E-3</v>
      </c>
      <c r="K76" s="252">
        <f t="shared" si="6"/>
        <v>3.1556977425856413E-3</v>
      </c>
      <c r="L76">
        <v>893</v>
      </c>
      <c r="N76">
        <v>110</v>
      </c>
      <c r="P76">
        <v>9224</v>
      </c>
      <c r="R76">
        <v>9.6799999999999997E-2</v>
      </c>
      <c r="S76">
        <v>3.2000000000000001E-2</v>
      </c>
      <c r="T76">
        <v>24703</v>
      </c>
      <c r="U76">
        <v>6.4346137050265027E-4</v>
      </c>
      <c r="Y76">
        <v>6.4799999999999996E-2</v>
      </c>
      <c r="Z76">
        <v>48</v>
      </c>
      <c r="AA76">
        <v>23</v>
      </c>
      <c r="AB76" s="252">
        <f t="shared" si="7"/>
        <v>24703</v>
      </c>
      <c r="AC76" s="252">
        <f t="shared" si="5"/>
        <v>6.5294040715485027E-4</v>
      </c>
    </row>
    <row r="77" spans="1:29" x14ac:dyDescent="0.25">
      <c r="A77" t="s">
        <v>564</v>
      </c>
      <c r="B77" t="s">
        <v>30</v>
      </c>
      <c r="C77" t="s">
        <v>1948</v>
      </c>
      <c r="D77" t="s">
        <v>3446</v>
      </c>
      <c r="E77">
        <v>26</v>
      </c>
      <c r="F77" t="s">
        <v>3447</v>
      </c>
      <c r="G77">
        <v>93782</v>
      </c>
      <c r="H77" t="s">
        <v>3448</v>
      </c>
      <c r="I77">
        <v>0.63255287666463567</v>
      </c>
      <c r="J77" s="252">
        <f t="shared" si="4"/>
        <v>3.6377697959909436E-3</v>
      </c>
      <c r="K77" s="252">
        <f t="shared" si="6"/>
        <v>2.1194051565135369E-3</v>
      </c>
      <c r="L77">
        <v>947</v>
      </c>
      <c r="M77">
        <v>0.82935289317256655</v>
      </c>
      <c r="N77">
        <v>99</v>
      </c>
      <c r="O77">
        <v>-0.1075790336803903</v>
      </c>
      <c r="P77">
        <v>10173</v>
      </c>
      <c r="Q77">
        <v>1.0140566224509999</v>
      </c>
      <c r="R77">
        <v>9.3100000000000002E-2</v>
      </c>
      <c r="S77">
        <v>-9.4000000000000004E-3</v>
      </c>
      <c r="T77">
        <v>57445</v>
      </c>
      <c r="U77">
        <v>1.4963218406074061E-3</v>
      </c>
      <c r="V77">
        <v>518</v>
      </c>
      <c r="W77">
        <v>111</v>
      </c>
      <c r="X77">
        <v>5051</v>
      </c>
      <c r="Y77">
        <v>0.10249999999999999</v>
      </c>
      <c r="Z77">
        <v>31</v>
      </c>
      <c r="AA77">
        <v>5</v>
      </c>
      <c r="AB77" s="252">
        <f t="shared" si="7"/>
        <v>57445.000000000007</v>
      </c>
      <c r="AC77" s="252">
        <f t="shared" si="5"/>
        <v>1.5183646394774067E-3</v>
      </c>
    </row>
    <row r="78" spans="1:29" x14ac:dyDescent="0.25">
      <c r="A78" t="s">
        <v>564</v>
      </c>
      <c r="B78" t="s">
        <v>30</v>
      </c>
      <c r="C78" t="s">
        <v>1930</v>
      </c>
      <c r="D78" t="s">
        <v>3449</v>
      </c>
      <c r="E78">
        <v>27</v>
      </c>
      <c r="F78" t="s">
        <v>3450</v>
      </c>
      <c r="G78">
        <v>92854</v>
      </c>
      <c r="H78" t="s">
        <v>3448</v>
      </c>
      <c r="I78">
        <v>0.23169777282555351</v>
      </c>
      <c r="J78" s="252">
        <f t="shared" si="4"/>
        <v>3.6017730122725371E-3</v>
      </c>
      <c r="K78" s="252">
        <f t="shared" si="6"/>
        <v>1.6091721753627407E-3</v>
      </c>
      <c r="L78">
        <v>810</v>
      </c>
      <c r="M78">
        <v>0.48727118033510469</v>
      </c>
      <c r="N78">
        <v>115</v>
      </c>
      <c r="O78">
        <v>-0.17184048940689259</v>
      </c>
      <c r="P78">
        <v>6859</v>
      </c>
      <c r="Q78">
        <v>0.78573288206196301</v>
      </c>
      <c r="R78">
        <v>0.1181</v>
      </c>
      <c r="S78">
        <v>-2.3699999999999988E-2</v>
      </c>
      <c r="T78">
        <v>75387</v>
      </c>
      <c r="U78">
        <v>1.963673332715998E-3</v>
      </c>
      <c r="V78">
        <v>545</v>
      </c>
      <c r="W78">
        <v>138</v>
      </c>
      <c r="X78">
        <v>3841</v>
      </c>
      <c r="Y78">
        <v>0.14180000000000001</v>
      </c>
      <c r="Z78">
        <v>27</v>
      </c>
      <c r="AA78">
        <v>0</v>
      </c>
      <c r="AB78" s="252">
        <f t="shared" si="7"/>
        <v>75387</v>
      </c>
      <c r="AC78" s="252">
        <f t="shared" si="5"/>
        <v>1.9926008369097964E-3</v>
      </c>
    </row>
    <row r="79" spans="1:29" x14ac:dyDescent="0.25">
      <c r="A79" t="s">
        <v>564</v>
      </c>
      <c r="B79" t="s">
        <v>30</v>
      </c>
      <c r="C79" t="s">
        <v>1958</v>
      </c>
      <c r="D79" t="s">
        <v>3451</v>
      </c>
      <c r="E79">
        <v>28</v>
      </c>
      <c r="F79" t="s">
        <v>281</v>
      </c>
      <c r="G79">
        <v>88797</v>
      </c>
      <c r="H79" t="s">
        <v>3448</v>
      </c>
      <c r="I79">
        <v>-0.56284769059598472</v>
      </c>
      <c r="J79" s="252">
        <f t="shared" si="4"/>
        <v>3.4444034524173917E-3</v>
      </c>
      <c r="K79" s="252">
        <f t="shared" si="6"/>
        <v>-1.9245465999542274E-3</v>
      </c>
      <c r="L79">
        <v>404</v>
      </c>
      <c r="M79">
        <v>-0.63110066842433965</v>
      </c>
      <c r="N79">
        <v>220</v>
      </c>
      <c r="O79">
        <v>0.18501789509032041</v>
      </c>
      <c r="P79">
        <v>13922</v>
      </c>
      <c r="Q79">
        <v>0.16648512777545041</v>
      </c>
      <c r="R79">
        <v>2.9000000000000001E-2</v>
      </c>
      <c r="S79">
        <v>-6.2700000000000006E-2</v>
      </c>
      <c r="T79">
        <v>203126</v>
      </c>
      <c r="U79">
        <v>5.2910065313816678E-3</v>
      </c>
      <c r="V79">
        <v>1094</v>
      </c>
      <c r="W79">
        <v>186</v>
      </c>
      <c r="X79">
        <v>11935</v>
      </c>
      <c r="Y79">
        <v>9.1700000000000004E-2</v>
      </c>
      <c r="Z79">
        <v>15</v>
      </c>
      <c r="AA79">
        <v>-13</v>
      </c>
      <c r="AB79" s="252">
        <f t="shared" si="7"/>
        <v>203125.99999999997</v>
      </c>
      <c r="AC79" s="252">
        <f t="shared" si="5"/>
        <v>5.3689500523716191E-3</v>
      </c>
    </row>
    <row r="80" spans="1:29" x14ac:dyDescent="0.25">
      <c r="A80" t="s">
        <v>564</v>
      </c>
      <c r="B80" t="s">
        <v>30</v>
      </c>
      <c r="C80" t="s">
        <v>1963</v>
      </c>
      <c r="D80" t="s">
        <v>3452</v>
      </c>
      <c r="E80">
        <v>29</v>
      </c>
      <c r="F80" t="s">
        <v>3453</v>
      </c>
      <c r="G80">
        <v>86329</v>
      </c>
      <c r="H80" t="s">
        <v>3448</v>
      </c>
      <c r="I80">
        <v>-0.22644265232974911</v>
      </c>
      <c r="J80" s="252">
        <f t="shared" si="4"/>
        <v>3.3486706267524917E-3</v>
      </c>
      <c r="K80" s="252">
        <f t="shared" si="6"/>
        <v>3.9890139068880347E-4</v>
      </c>
      <c r="L80">
        <v>782</v>
      </c>
      <c r="M80">
        <v>-0.1168432476138422</v>
      </c>
      <c r="N80">
        <v>110</v>
      </c>
      <c r="O80">
        <v>-0.12409960566998519</v>
      </c>
      <c r="P80">
        <v>11093</v>
      </c>
      <c r="Q80">
        <v>-0.33606655494373949</v>
      </c>
      <c r="R80">
        <v>7.0499999999999993E-2</v>
      </c>
      <c r="S80">
        <v>1.7500000000000002E-2</v>
      </c>
      <c r="T80">
        <v>111600</v>
      </c>
      <c r="U80">
        <v>2.906946077322422E-3</v>
      </c>
      <c r="V80">
        <v>886</v>
      </c>
      <c r="W80">
        <v>126</v>
      </c>
      <c r="X80">
        <v>16708</v>
      </c>
      <c r="Y80">
        <v>5.2999999999999999E-2</v>
      </c>
      <c r="Z80">
        <v>18</v>
      </c>
      <c r="AA80">
        <v>-11</v>
      </c>
      <c r="AB80" s="252">
        <f t="shared" si="7"/>
        <v>111600</v>
      </c>
      <c r="AC80" s="252">
        <f t="shared" si="5"/>
        <v>2.9497692360636882E-3</v>
      </c>
    </row>
    <row r="81" spans="1:29" x14ac:dyDescent="0.25">
      <c r="A81" t="s">
        <v>564</v>
      </c>
      <c r="B81" t="s">
        <v>30</v>
      </c>
      <c r="C81" t="s">
        <v>1968</v>
      </c>
      <c r="D81" t="s">
        <v>3454</v>
      </c>
      <c r="E81">
        <v>30</v>
      </c>
      <c r="F81" t="s">
        <v>3455</v>
      </c>
      <c r="G81">
        <v>69313</v>
      </c>
      <c r="H81" t="s">
        <v>3456</v>
      </c>
      <c r="J81" s="252">
        <f t="shared" si="4"/>
        <v>2.6886261528813659E-3</v>
      </c>
      <c r="K81" s="252">
        <f t="shared" si="6"/>
        <v>8.5657100002041226E-4</v>
      </c>
      <c r="L81">
        <v>638</v>
      </c>
      <c r="N81">
        <v>109</v>
      </c>
      <c r="P81">
        <v>11573</v>
      </c>
      <c r="R81">
        <v>5.5100000000000003E-2</v>
      </c>
      <c r="AB81" s="252">
        <f t="shared" si="7"/>
        <v>69313</v>
      </c>
      <c r="AC81" s="252">
        <f t="shared" si="5"/>
        <v>1.8320551528609537E-3</v>
      </c>
    </row>
    <row r="82" spans="1:29" x14ac:dyDescent="0.25">
      <c r="A82" t="s">
        <v>564</v>
      </c>
      <c r="B82" t="s">
        <v>30</v>
      </c>
      <c r="C82" t="s">
        <v>1973</v>
      </c>
      <c r="D82" t="s">
        <v>3457</v>
      </c>
      <c r="E82">
        <v>31</v>
      </c>
      <c r="F82" t="s">
        <v>3458</v>
      </c>
      <c r="G82">
        <v>62968</v>
      </c>
      <c r="H82" t="s">
        <v>3459</v>
      </c>
      <c r="I82">
        <v>0.19599612528253149</v>
      </c>
      <c r="J82" s="252">
        <f t="shared" si="4"/>
        <v>2.4425059021342872E-3</v>
      </c>
      <c r="K82" s="252">
        <f t="shared" si="6"/>
        <v>1.0509073312604778E-3</v>
      </c>
      <c r="L82">
        <v>409</v>
      </c>
      <c r="M82">
        <v>0.66375295643921817</v>
      </c>
      <c r="N82">
        <v>154</v>
      </c>
      <c r="O82">
        <v>-0.28114560478845663</v>
      </c>
      <c r="P82">
        <v>4060</v>
      </c>
      <c r="Q82">
        <v>-6.8166169382602712E-2</v>
      </c>
      <c r="R82">
        <v>0.1007</v>
      </c>
      <c r="S82">
        <v>4.4299999999999999E-2</v>
      </c>
      <c r="T82">
        <v>52649</v>
      </c>
      <c r="U82">
        <v>1.3713960934135141E-3</v>
      </c>
      <c r="V82">
        <v>246</v>
      </c>
      <c r="W82">
        <v>214</v>
      </c>
      <c r="X82">
        <v>4357</v>
      </c>
      <c r="Y82">
        <v>5.6399999999999999E-2</v>
      </c>
      <c r="Z82">
        <v>33</v>
      </c>
      <c r="AA82">
        <v>2</v>
      </c>
      <c r="AB82" s="252">
        <f t="shared" si="7"/>
        <v>52649</v>
      </c>
      <c r="AC82" s="252">
        <f t="shared" si="5"/>
        <v>1.3915985708738093E-3</v>
      </c>
    </row>
    <row r="83" spans="1:29" x14ac:dyDescent="0.25">
      <c r="A83" t="s">
        <v>564</v>
      </c>
      <c r="B83" t="s">
        <v>30</v>
      </c>
      <c r="C83" t="s">
        <v>1978</v>
      </c>
      <c r="D83" t="s">
        <v>3460</v>
      </c>
      <c r="E83">
        <v>32</v>
      </c>
      <c r="F83" t="s">
        <v>3461</v>
      </c>
      <c r="G83">
        <v>56595</v>
      </c>
      <c r="H83" t="s">
        <v>3459</v>
      </c>
      <c r="I83">
        <v>-0.3235280055461261</v>
      </c>
      <c r="J83" s="252">
        <f t="shared" si="4"/>
        <v>2.195299541533636E-3</v>
      </c>
      <c r="K83" s="252">
        <f t="shared" si="6"/>
        <v>-1.6022983802925928E-5</v>
      </c>
      <c r="L83">
        <v>604</v>
      </c>
      <c r="M83">
        <v>-0.24860343781597569</v>
      </c>
      <c r="N83">
        <v>94</v>
      </c>
      <c r="O83">
        <v>-9.9713748373259914E-2</v>
      </c>
      <c r="P83">
        <v>4641</v>
      </c>
      <c r="Q83">
        <v>-0.67714782608695656</v>
      </c>
      <c r="R83">
        <v>0.13009999999999999</v>
      </c>
      <c r="S83">
        <v>7.4200000000000002E-2</v>
      </c>
      <c r="T83">
        <v>83662</v>
      </c>
      <c r="U83">
        <v>2.1792197376429069E-3</v>
      </c>
      <c r="V83">
        <v>804</v>
      </c>
      <c r="W83">
        <v>104</v>
      </c>
      <c r="X83">
        <v>14375</v>
      </c>
      <c r="Y83">
        <v>5.5899999999999998E-2</v>
      </c>
      <c r="Z83">
        <v>24</v>
      </c>
      <c r="AA83">
        <v>-8</v>
      </c>
      <c r="AB83" s="252">
        <f t="shared" si="7"/>
        <v>83662</v>
      </c>
      <c r="AC83" s="252">
        <f t="shared" si="5"/>
        <v>2.211322525336562E-3</v>
      </c>
    </row>
    <row r="84" spans="1:29" x14ac:dyDescent="0.25">
      <c r="A84" t="s">
        <v>564</v>
      </c>
      <c r="B84" t="s">
        <v>30</v>
      </c>
      <c r="C84" t="s">
        <v>1905</v>
      </c>
      <c r="D84" t="s">
        <v>3462</v>
      </c>
      <c r="E84">
        <v>33</v>
      </c>
      <c r="F84" t="s">
        <v>3463</v>
      </c>
      <c r="G84">
        <v>53642</v>
      </c>
      <c r="H84" t="s">
        <v>3464</v>
      </c>
      <c r="I84">
        <v>-0.61115460450011594</v>
      </c>
      <c r="J84" s="252">
        <f t="shared" si="4"/>
        <v>2.0807537416193535E-3</v>
      </c>
      <c r="K84" s="252">
        <f t="shared" si="6"/>
        <v>-1.5655416495406632E-3</v>
      </c>
      <c r="L84">
        <v>375</v>
      </c>
      <c r="M84">
        <v>-0.44036855113491791</v>
      </c>
      <c r="N84">
        <v>143</v>
      </c>
      <c r="O84">
        <v>-0.30517593982887797</v>
      </c>
      <c r="P84">
        <v>7796</v>
      </c>
      <c r="Q84">
        <v>-0.78010323526922964</v>
      </c>
      <c r="R84">
        <v>4.8099999999999997E-2</v>
      </c>
      <c r="S84">
        <v>2.92E-2</v>
      </c>
      <c r="T84">
        <v>137952</v>
      </c>
      <c r="U84">
        <v>3.5933604413869421E-3</v>
      </c>
      <c r="V84">
        <v>670</v>
      </c>
      <c r="W84">
        <v>206</v>
      </c>
      <c r="X84">
        <v>35453</v>
      </c>
      <c r="Y84">
        <v>1.89E-2</v>
      </c>
      <c r="Z84">
        <v>16</v>
      </c>
      <c r="AA84">
        <v>-17</v>
      </c>
      <c r="AB84" s="252">
        <f t="shared" si="7"/>
        <v>137951.99999999997</v>
      </c>
      <c r="AC84" s="252">
        <f t="shared" si="5"/>
        <v>3.6462953911600166E-3</v>
      </c>
    </row>
    <row r="85" spans="1:29" x14ac:dyDescent="0.25">
      <c r="A85" t="s">
        <v>564</v>
      </c>
      <c r="B85" t="s">
        <v>30</v>
      </c>
      <c r="C85" t="s">
        <v>1987</v>
      </c>
      <c r="D85" t="s">
        <v>3465</v>
      </c>
      <c r="E85">
        <v>34</v>
      </c>
      <c r="F85" t="s">
        <v>3466</v>
      </c>
      <c r="G85">
        <v>47000</v>
      </c>
      <c r="H85" t="s">
        <v>3464</v>
      </c>
      <c r="I85">
        <v>-0.1269133600832219</v>
      </c>
      <c r="J85" s="252">
        <f t="shared" si="4"/>
        <v>1.8231129684968795E-3</v>
      </c>
      <c r="K85" s="252">
        <f t="shared" si="6"/>
        <v>4.002457864558356E-4</v>
      </c>
      <c r="L85">
        <v>409</v>
      </c>
      <c r="N85">
        <v>115</v>
      </c>
      <c r="P85">
        <v>2801</v>
      </c>
      <c r="R85">
        <v>0.1459</v>
      </c>
      <c r="S85">
        <v>-2.8299999999999999E-2</v>
      </c>
      <c r="T85">
        <v>53832</v>
      </c>
      <c r="U85">
        <v>1.4022107637492881E-3</v>
      </c>
      <c r="Y85">
        <v>0.17419999999999999</v>
      </c>
      <c r="Z85">
        <v>32</v>
      </c>
      <c r="AA85">
        <v>-2</v>
      </c>
      <c r="AB85" s="252">
        <f t="shared" si="7"/>
        <v>53832.000000000007</v>
      </c>
      <c r="AC85" s="252">
        <f t="shared" si="5"/>
        <v>1.4228671820410439E-3</v>
      </c>
    </row>
    <row r="86" spans="1:29" x14ac:dyDescent="0.25">
      <c r="A86" t="s">
        <v>564</v>
      </c>
      <c r="B86" t="s">
        <v>30</v>
      </c>
      <c r="C86" t="s">
        <v>1992</v>
      </c>
      <c r="D86" t="s">
        <v>3467</v>
      </c>
      <c r="E86">
        <v>35</v>
      </c>
      <c r="F86" t="s">
        <v>3468</v>
      </c>
      <c r="G86">
        <v>45579</v>
      </c>
      <c r="H86" t="s">
        <v>3464</v>
      </c>
      <c r="J86" s="252">
        <f t="shared" si="4"/>
        <v>1.7679928934280695E-3</v>
      </c>
      <c r="K86" s="252">
        <f t="shared" si="6"/>
        <v>5.632659040862519E-4</v>
      </c>
      <c r="L86">
        <v>1611</v>
      </c>
      <c r="N86">
        <v>28</v>
      </c>
      <c r="P86">
        <v>15715</v>
      </c>
      <c r="R86">
        <v>0.10249999999999999</v>
      </c>
      <c r="AB86" s="252">
        <f t="shared" si="7"/>
        <v>45579</v>
      </c>
      <c r="AC86" s="252">
        <f t="shared" si="5"/>
        <v>1.2047269893418176E-3</v>
      </c>
    </row>
    <row r="87" spans="1:29" x14ac:dyDescent="0.25">
      <c r="A87" t="s">
        <v>564</v>
      </c>
      <c r="B87" t="s">
        <v>30</v>
      </c>
      <c r="C87" t="s">
        <v>1954</v>
      </c>
      <c r="D87" t="s">
        <v>3469</v>
      </c>
      <c r="E87">
        <v>36</v>
      </c>
      <c r="F87" t="s">
        <v>3470</v>
      </c>
      <c r="G87">
        <v>44924</v>
      </c>
      <c r="H87" t="s">
        <v>3471</v>
      </c>
      <c r="I87">
        <v>-0.41279654924514741</v>
      </c>
      <c r="J87" s="252">
        <f t="shared" si="4"/>
        <v>1.7425856807819959E-3</v>
      </c>
      <c r="K87" s="252">
        <f t="shared" si="6"/>
        <v>-2.7956571173639536E-4</v>
      </c>
      <c r="R87">
        <v>0.24610000000000001</v>
      </c>
      <c r="S87">
        <v>1.369999999999999E-2</v>
      </c>
      <c r="T87">
        <v>76505</v>
      </c>
      <c r="U87">
        <v>1.99279488929706E-3</v>
      </c>
      <c r="Y87">
        <v>0.2324</v>
      </c>
      <c r="Z87">
        <v>25</v>
      </c>
      <c r="AA87">
        <v>-11</v>
      </c>
      <c r="AB87" s="252">
        <f t="shared" si="7"/>
        <v>76505</v>
      </c>
      <c r="AC87" s="252">
        <f t="shared" si="5"/>
        <v>2.0221513925183913E-3</v>
      </c>
    </row>
    <row r="88" spans="1:29" x14ac:dyDescent="0.25">
      <c r="A88" t="s">
        <v>564</v>
      </c>
      <c r="B88" t="s">
        <v>30</v>
      </c>
      <c r="C88" t="s">
        <v>1998</v>
      </c>
      <c r="D88" t="s">
        <v>3472</v>
      </c>
      <c r="E88">
        <v>37</v>
      </c>
      <c r="F88" t="s">
        <v>3473</v>
      </c>
      <c r="G88">
        <v>42832</v>
      </c>
      <c r="H88" t="s">
        <v>3471</v>
      </c>
      <c r="I88">
        <v>0.1175703177999269</v>
      </c>
      <c r="J88" s="252">
        <f t="shared" si="4"/>
        <v>1.661437758865071E-3</v>
      </c>
      <c r="K88" s="252">
        <f t="shared" si="6"/>
        <v>6.4841933824341409E-4</v>
      </c>
      <c r="L88">
        <v>571</v>
      </c>
      <c r="N88">
        <v>75</v>
      </c>
      <c r="P88">
        <v>6361</v>
      </c>
      <c r="R88">
        <v>8.9800000000000005E-2</v>
      </c>
      <c r="S88">
        <v>-3.5999999999999997E-2</v>
      </c>
      <c r="T88">
        <v>38326</v>
      </c>
      <c r="U88">
        <v>9.9831196558655124E-4</v>
      </c>
      <c r="Y88">
        <v>0.1258</v>
      </c>
      <c r="Z88">
        <v>39</v>
      </c>
      <c r="AA88">
        <v>2</v>
      </c>
      <c r="AB88" s="252">
        <f t="shared" si="7"/>
        <v>38326</v>
      </c>
      <c r="AC88" s="252">
        <f t="shared" si="5"/>
        <v>1.0130184206216569E-3</v>
      </c>
    </row>
    <row r="89" spans="1:29" x14ac:dyDescent="0.25">
      <c r="A89" t="s">
        <v>564</v>
      </c>
      <c r="B89" t="s">
        <v>30</v>
      </c>
      <c r="C89" t="s">
        <v>2003</v>
      </c>
      <c r="D89" t="s">
        <v>3474</v>
      </c>
      <c r="E89">
        <v>38</v>
      </c>
      <c r="F89" t="s">
        <v>3475</v>
      </c>
      <c r="G89">
        <v>37778</v>
      </c>
      <c r="H89" t="s">
        <v>3471</v>
      </c>
      <c r="I89">
        <v>-0.50584695879659913</v>
      </c>
      <c r="J89" s="252">
        <f t="shared" si="4"/>
        <v>1.4653949302952151E-3</v>
      </c>
      <c r="K89" s="252">
        <f t="shared" si="6"/>
        <v>-5.5530272290432812E-4</v>
      </c>
      <c r="L89">
        <v>384</v>
      </c>
      <c r="M89">
        <v>-0.16851258420658691</v>
      </c>
      <c r="N89">
        <v>98</v>
      </c>
      <c r="O89">
        <v>-0.40569991581667481</v>
      </c>
      <c r="P89">
        <v>4941</v>
      </c>
      <c r="Q89">
        <v>-7.5411676646706588E-2</v>
      </c>
      <c r="R89">
        <v>7.7699999999999991E-2</v>
      </c>
      <c r="S89">
        <v>-8.7000000000000098E-3</v>
      </c>
      <c r="T89">
        <v>76450</v>
      </c>
      <c r="U89">
        <v>1.9913622545815329E-3</v>
      </c>
      <c r="V89">
        <v>462</v>
      </c>
      <c r="W89">
        <v>166</v>
      </c>
      <c r="X89">
        <v>5344</v>
      </c>
      <c r="Y89">
        <v>8.6400000000000005E-2</v>
      </c>
      <c r="Z89">
        <v>26</v>
      </c>
      <c r="AA89">
        <v>-12</v>
      </c>
      <c r="AB89" s="252">
        <f t="shared" si="7"/>
        <v>76450.000000000015</v>
      </c>
      <c r="AC89" s="252">
        <f t="shared" si="5"/>
        <v>2.0206976531995432E-3</v>
      </c>
    </row>
    <row r="90" spans="1:29" x14ac:dyDescent="0.25">
      <c r="A90" t="s">
        <v>564</v>
      </c>
      <c r="B90" t="s">
        <v>30</v>
      </c>
      <c r="C90" t="s">
        <v>2011</v>
      </c>
      <c r="D90" t="s">
        <v>3476</v>
      </c>
      <c r="E90">
        <v>39</v>
      </c>
      <c r="F90" t="s">
        <v>3477</v>
      </c>
      <c r="G90">
        <v>36361</v>
      </c>
      <c r="H90" t="s">
        <v>3471</v>
      </c>
      <c r="J90" s="252">
        <f t="shared" si="4"/>
        <v>1.4104300137769156E-3</v>
      </c>
      <c r="K90" s="252">
        <f t="shared" si="6"/>
        <v>4.4934973427412201E-4</v>
      </c>
      <c r="R90">
        <v>5.7299999999999997E-2</v>
      </c>
      <c r="AB90" s="252">
        <f t="shared" si="7"/>
        <v>36361</v>
      </c>
      <c r="AC90" s="252">
        <f t="shared" si="5"/>
        <v>9.6108027950279364E-4</v>
      </c>
    </row>
    <row r="91" spans="1:29" x14ac:dyDescent="0.25">
      <c r="A91" t="s">
        <v>564</v>
      </c>
      <c r="B91" t="s">
        <v>30</v>
      </c>
      <c r="C91" t="s">
        <v>2016</v>
      </c>
      <c r="D91" t="s">
        <v>3478</v>
      </c>
      <c r="E91">
        <v>40</v>
      </c>
      <c r="F91" t="s">
        <v>3479</v>
      </c>
      <c r="G91">
        <v>35450</v>
      </c>
      <c r="H91" t="s">
        <v>3471</v>
      </c>
      <c r="I91">
        <v>-0.31871468655110119</v>
      </c>
      <c r="J91" s="252">
        <f t="shared" si="4"/>
        <v>1.3750926538981783E-3</v>
      </c>
      <c r="K91" s="252">
        <f t="shared" si="6"/>
        <v>-2.5046822850591406E-7</v>
      </c>
      <c r="R91">
        <v>0.1782</v>
      </c>
      <c r="S91">
        <v>4.1599999999999998E-2</v>
      </c>
      <c r="T91">
        <v>52034</v>
      </c>
      <c r="U91">
        <v>1.355376632503538E-3</v>
      </c>
      <c r="V91">
        <v>383</v>
      </c>
      <c r="W91">
        <v>136</v>
      </c>
      <c r="X91">
        <v>2802</v>
      </c>
      <c r="Y91">
        <v>0.1366</v>
      </c>
      <c r="Z91">
        <v>35</v>
      </c>
      <c r="AA91">
        <v>-5</v>
      </c>
      <c r="AB91" s="252">
        <f t="shared" si="7"/>
        <v>52034</v>
      </c>
      <c r="AC91" s="252">
        <f t="shared" si="5"/>
        <v>1.3753431221266842E-3</v>
      </c>
    </row>
    <row r="92" spans="1:29" x14ac:dyDescent="0.25">
      <c r="A92" t="s">
        <v>564</v>
      </c>
      <c r="B92" t="s">
        <v>30</v>
      </c>
      <c r="C92" t="s">
        <v>2022</v>
      </c>
      <c r="D92" t="s">
        <v>3480</v>
      </c>
      <c r="E92">
        <v>41</v>
      </c>
      <c r="F92" t="s">
        <v>3481</v>
      </c>
      <c r="G92">
        <v>33134</v>
      </c>
      <c r="H92" t="s">
        <v>3482</v>
      </c>
      <c r="I92">
        <v>-0.47971232962753602</v>
      </c>
      <c r="J92" s="252">
        <f t="shared" si="4"/>
        <v>1.2852558531526723E-3</v>
      </c>
      <c r="K92" s="252">
        <f t="shared" si="6"/>
        <v>-3.980156883301232E-4</v>
      </c>
      <c r="L92">
        <v>221</v>
      </c>
      <c r="M92">
        <v>-0.31481863839285712</v>
      </c>
      <c r="N92">
        <v>150</v>
      </c>
      <c r="O92">
        <v>-0.24065700042965071</v>
      </c>
      <c r="P92">
        <v>6637</v>
      </c>
      <c r="Q92">
        <v>-0.53909722222222223</v>
      </c>
      <c r="R92">
        <v>3.3300000000000003E-2</v>
      </c>
      <c r="S92">
        <v>1.09E-2</v>
      </c>
      <c r="T92">
        <v>63684</v>
      </c>
      <c r="U92">
        <v>1.6588347131559239E-3</v>
      </c>
      <c r="V92">
        <v>323</v>
      </c>
      <c r="W92">
        <v>197</v>
      </c>
      <c r="X92">
        <v>14400</v>
      </c>
      <c r="Y92">
        <v>2.24E-2</v>
      </c>
      <c r="Z92">
        <v>30</v>
      </c>
      <c r="AA92">
        <v>-11</v>
      </c>
      <c r="AB92" s="252">
        <f t="shared" si="7"/>
        <v>63684.000000000015</v>
      </c>
      <c r="AC92" s="252">
        <f t="shared" si="5"/>
        <v>1.6832715414827955E-3</v>
      </c>
    </row>
    <row r="93" spans="1:29" x14ac:dyDescent="0.25">
      <c r="A93" t="s">
        <v>564</v>
      </c>
      <c r="B93" t="s">
        <v>30</v>
      </c>
      <c r="C93" t="s">
        <v>2027</v>
      </c>
      <c r="D93" t="s">
        <v>3483</v>
      </c>
      <c r="E93">
        <v>42</v>
      </c>
      <c r="F93" t="s">
        <v>3484</v>
      </c>
      <c r="G93">
        <v>31798</v>
      </c>
      <c r="H93" t="s">
        <v>3482</v>
      </c>
      <c r="I93">
        <v>-0.1063207891852393</v>
      </c>
      <c r="J93" s="252">
        <f t="shared" si="4"/>
        <v>1.233432897282208E-3</v>
      </c>
      <c r="K93" s="252">
        <f t="shared" si="6"/>
        <v>2.9296928448308522E-4</v>
      </c>
      <c r="R93">
        <v>0.1222</v>
      </c>
      <c r="S93">
        <v>0</v>
      </c>
      <c r="T93">
        <v>35581</v>
      </c>
      <c r="U93">
        <v>9.2681046932983045E-4</v>
      </c>
      <c r="Y93">
        <v>0.1222</v>
      </c>
      <c r="Z93">
        <v>40</v>
      </c>
      <c r="AA93">
        <v>-2</v>
      </c>
      <c r="AB93" s="252">
        <f t="shared" si="7"/>
        <v>35581</v>
      </c>
      <c r="AC93" s="252">
        <f t="shared" si="5"/>
        <v>9.4046361279912275E-4</v>
      </c>
    </row>
    <row r="94" spans="1:29" x14ac:dyDescent="0.25">
      <c r="A94" t="s">
        <v>564</v>
      </c>
      <c r="B94" t="s">
        <v>30</v>
      </c>
      <c r="C94" t="s">
        <v>2032</v>
      </c>
      <c r="D94" t="s">
        <v>3485</v>
      </c>
      <c r="E94">
        <v>43</v>
      </c>
      <c r="F94" t="s">
        <v>3486</v>
      </c>
      <c r="G94">
        <v>31338</v>
      </c>
      <c r="H94" t="s">
        <v>3482</v>
      </c>
      <c r="J94" s="252">
        <f t="shared" si="4"/>
        <v>1.2155896639735151E-3</v>
      </c>
      <c r="K94" s="252">
        <f t="shared" si="6"/>
        <v>3.8727543171756639E-4</v>
      </c>
      <c r="L94">
        <v>287</v>
      </c>
      <c r="N94">
        <v>109</v>
      </c>
      <c r="P94">
        <v>5292</v>
      </c>
      <c r="R94">
        <v>5.4199999999999998E-2</v>
      </c>
      <c r="AB94" s="252">
        <f t="shared" si="7"/>
        <v>31338</v>
      </c>
      <c r="AC94" s="252">
        <f t="shared" si="5"/>
        <v>8.2831423225594866E-4</v>
      </c>
    </row>
    <row r="95" spans="1:29" x14ac:dyDescent="0.25">
      <c r="A95" t="s">
        <v>564</v>
      </c>
      <c r="B95" t="s">
        <v>30</v>
      </c>
      <c r="C95" t="s">
        <v>2037</v>
      </c>
      <c r="D95" t="s">
        <v>3487</v>
      </c>
      <c r="E95">
        <v>44</v>
      </c>
      <c r="F95" t="s">
        <v>3488</v>
      </c>
      <c r="G95">
        <v>30254</v>
      </c>
      <c r="H95" t="s">
        <v>3482</v>
      </c>
      <c r="J95" s="252">
        <f t="shared" si="4"/>
        <v>1.1735416967852041E-3</v>
      </c>
      <c r="K95" s="252">
        <f t="shared" si="6"/>
        <v>3.7387934492256233E-4</v>
      </c>
      <c r="L95">
        <v>411</v>
      </c>
      <c r="N95">
        <v>74</v>
      </c>
      <c r="P95">
        <v>4241</v>
      </c>
      <c r="R95">
        <v>9.69E-2</v>
      </c>
      <c r="AB95" s="252">
        <f t="shared" si="7"/>
        <v>30254</v>
      </c>
      <c r="AC95" s="252">
        <f t="shared" si="5"/>
        <v>7.9966235186264181E-4</v>
      </c>
    </row>
    <row r="96" spans="1:29" x14ac:dyDescent="0.25">
      <c r="A96" t="s">
        <v>564</v>
      </c>
      <c r="B96" t="s">
        <v>30</v>
      </c>
      <c r="C96" t="s">
        <v>2041</v>
      </c>
      <c r="D96" t="s">
        <v>3489</v>
      </c>
      <c r="E96">
        <v>45</v>
      </c>
      <c r="F96" t="s">
        <v>3490</v>
      </c>
      <c r="G96">
        <v>29781</v>
      </c>
      <c r="H96" t="s">
        <v>3482</v>
      </c>
      <c r="J96" s="252">
        <f t="shared" si="4"/>
        <v>1.1551941981873524E-3</v>
      </c>
      <c r="K96" s="252">
        <f t="shared" si="6"/>
        <v>3.6803400446680848E-4</v>
      </c>
      <c r="R96">
        <v>9.4299999999999995E-2</v>
      </c>
      <c r="AB96" s="252">
        <f t="shared" si="7"/>
        <v>29781</v>
      </c>
      <c r="AC96" s="252">
        <f t="shared" si="5"/>
        <v>7.8716019372054391E-4</v>
      </c>
    </row>
    <row r="97" spans="1:37" x14ac:dyDescent="0.25">
      <c r="A97" t="s">
        <v>564</v>
      </c>
      <c r="B97" t="s">
        <v>30</v>
      </c>
      <c r="C97" t="s">
        <v>2046</v>
      </c>
      <c r="D97" t="s">
        <v>3491</v>
      </c>
      <c r="E97">
        <v>46</v>
      </c>
      <c r="F97" t="s">
        <v>3492</v>
      </c>
      <c r="G97">
        <v>26995</v>
      </c>
      <c r="H97" t="s">
        <v>3482</v>
      </c>
      <c r="J97" s="252">
        <f t="shared" si="4"/>
        <v>1.0471262677568779E-3</v>
      </c>
      <c r="K97" s="252">
        <f t="shared" si="6"/>
        <v>3.3360457844200993E-4</v>
      </c>
      <c r="L97">
        <v>155</v>
      </c>
      <c r="N97">
        <v>175</v>
      </c>
      <c r="P97">
        <v>7618</v>
      </c>
      <c r="R97">
        <v>2.0299999999999999E-2</v>
      </c>
      <c r="AB97" s="252">
        <f t="shared" si="7"/>
        <v>26995</v>
      </c>
      <c r="AC97" s="252">
        <f t="shared" si="5"/>
        <v>7.1352168931486794E-4</v>
      </c>
    </row>
    <row r="98" spans="1:37" x14ac:dyDescent="0.25">
      <c r="A98" t="s">
        <v>564</v>
      </c>
      <c r="B98" t="s">
        <v>30</v>
      </c>
      <c r="C98" t="s">
        <v>2051</v>
      </c>
      <c r="D98" t="s">
        <v>3493</v>
      </c>
      <c r="E98">
        <v>47</v>
      </c>
      <c r="F98" t="s">
        <v>3494</v>
      </c>
      <c r="G98">
        <v>25801</v>
      </c>
      <c r="H98" t="s">
        <v>3482</v>
      </c>
      <c r="I98">
        <v>-0.69569627419297775</v>
      </c>
      <c r="J98" s="252">
        <f t="shared" si="4"/>
        <v>1.0008114404295317E-3</v>
      </c>
      <c r="K98" s="252">
        <f t="shared" si="6"/>
        <v>-1.240246661883479E-3</v>
      </c>
      <c r="R98">
        <v>0.1487</v>
      </c>
      <c r="S98">
        <v>5.0900000000000001E-2</v>
      </c>
      <c r="T98">
        <v>84787</v>
      </c>
      <c r="U98">
        <v>2.2085236295513989E-3</v>
      </c>
      <c r="V98">
        <v>884</v>
      </c>
      <c r="W98">
        <v>96</v>
      </c>
      <c r="X98">
        <v>9038</v>
      </c>
      <c r="Y98">
        <v>9.7799999999999998E-2</v>
      </c>
      <c r="Z98">
        <v>23</v>
      </c>
      <c r="AA98">
        <v>-24</v>
      </c>
      <c r="AB98" s="252">
        <f t="shared" si="7"/>
        <v>84787.000000000015</v>
      </c>
      <c r="AC98" s="252">
        <f t="shared" si="5"/>
        <v>2.2410581023130107E-3</v>
      </c>
    </row>
    <row r="99" spans="1:37" x14ac:dyDescent="0.25">
      <c r="A99" t="s">
        <v>564</v>
      </c>
      <c r="B99" t="s">
        <v>30</v>
      </c>
      <c r="C99" t="s">
        <v>2056</v>
      </c>
      <c r="D99" t="s">
        <v>3495</v>
      </c>
      <c r="E99">
        <v>48</v>
      </c>
      <c r="F99" t="s">
        <v>3496</v>
      </c>
      <c r="G99">
        <v>23803</v>
      </c>
      <c r="H99" t="s">
        <v>3497</v>
      </c>
      <c r="I99">
        <v>-0.51826516362753228</v>
      </c>
      <c r="J99" s="252">
        <f t="shared" si="4"/>
        <v>9.2330974444960047E-4</v>
      </c>
      <c r="K99" s="252">
        <f t="shared" si="6"/>
        <v>-3.827032279799952E-4</v>
      </c>
      <c r="R99">
        <v>0.1061</v>
      </c>
      <c r="S99">
        <v>1.4E-2</v>
      </c>
      <c r="T99">
        <v>49411</v>
      </c>
      <c r="U99">
        <v>1.287052980524894E-3</v>
      </c>
      <c r="V99">
        <v>339</v>
      </c>
      <c r="W99">
        <v>146</v>
      </c>
      <c r="X99">
        <v>3683</v>
      </c>
      <c r="Y99">
        <v>9.2100000000000001E-2</v>
      </c>
      <c r="Z99">
        <v>37</v>
      </c>
      <c r="AA99">
        <v>-11</v>
      </c>
      <c r="AB99" s="252">
        <f t="shared" si="7"/>
        <v>49410.999999999993</v>
      </c>
      <c r="AC99" s="252">
        <f t="shared" si="5"/>
        <v>1.3060129724295957E-3</v>
      </c>
    </row>
    <row r="100" spans="1:37" x14ac:dyDescent="0.25">
      <c r="A100" t="s">
        <v>564</v>
      </c>
      <c r="B100" t="s">
        <v>30</v>
      </c>
      <c r="C100" t="s">
        <v>2061</v>
      </c>
      <c r="D100" t="s">
        <v>3498</v>
      </c>
      <c r="E100">
        <v>49</v>
      </c>
      <c r="F100" t="s">
        <v>3499</v>
      </c>
      <c r="G100">
        <v>21794</v>
      </c>
      <c r="H100" t="s">
        <v>3497</v>
      </c>
      <c r="J100" s="252">
        <f t="shared" si="4"/>
        <v>8.4538136245576579E-4</v>
      </c>
      <c r="K100" s="252">
        <f t="shared" si="6"/>
        <v>2.6933054945601652E-4</v>
      </c>
      <c r="L100">
        <v>289</v>
      </c>
      <c r="N100">
        <v>75</v>
      </c>
      <c r="P100">
        <v>2725</v>
      </c>
      <c r="R100">
        <v>0.106</v>
      </c>
      <c r="AB100" s="252">
        <f t="shared" si="7"/>
        <v>21794</v>
      </c>
      <c r="AC100" s="252">
        <f t="shared" si="5"/>
        <v>5.7605081299974927E-4</v>
      </c>
    </row>
    <row r="101" spans="1:37" x14ac:dyDescent="0.25">
      <c r="A101" t="s">
        <v>564</v>
      </c>
      <c r="B101" t="s">
        <v>30</v>
      </c>
      <c r="C101" t="s">
        <v>2066</v>
      </c>
      <c r="D101" t="s">
        <v>3500</v>
      </c>
      <c r="E101">
        <v>50</v>
      </c>
      <c r="F101" t="s">
        <v>3501</v>
      </c>
      <c r="G101">
        <v>16649</v>
      </c>
      <c r="H101" t="s">
        <v>3497</v>
      </c>
      <c r="I101">
        <v>-0.32238502238502242</v>
      </c>
      <c r="J101" s="252">
        <f t="shared" si="4"/>
        <v>6.4580867686179881E-4</v>
      </c>
      <c r="K101" s="252">
        <f t="shared" si="6"/>
        <v>-3.6163243038358616E-6</v>
      </c>
      <c r="R101">
        <v>0.1129</v>
      </c>
      <c r="S101">
        <v>-2.1100000000000011E-2</v>
      </c>
      <c r="T101">
        <v>24570</v>
      </c>
      <c r="U101">
        <v>6.3999699928146854E-4</v>
      </c>
      <c r="Y101">
        <v>0.13400000000000001</v>
      </c>
      <c r="Z101">
        <v>49</v>
      </c>
      <c r="AA101">
        <v>-1</v>
      </c>
      <c r="AB101" s="252">
        <f t="shared" si="7"/>
        <v>24570</v>
      </c>
      <c r="AC101" s="252">
        <f t="shared" si="5"/>
        <v>6.4942500116563467E-4</v>
      </c>
      <c r="AD101" s="252">
        <f>SUM(G52:G101)</f>
        <v>25780081</v>
      </c>
      <c r="AE101" s="252">
        <f>SUM(G52:G101)</f>
        <v>25780081</v>
      </c>
      <c r="AF101" s="252">
        <f>G52</f>
        <v>6283862</v>
      </c>
      <c r="AG101" s="252">
        <f>G53</f>
        <v>4454395</v>
      </c>
      <c r="AH101" s="252">
        <f>G54</f>
        <v>2449331</v>
      </c>
      <c r="AI101" s="252">
        <f>SUM(G55:G61)</f>
        <v>8555925</v>
      </c>
      <c r="AJ101" s="252">
        <f>SUM(G62:G71)</f>
        <v>2311611</v>
      </c>
      <c r="AK101" s="252">
        <f>SUM(G72:G101)</f>
        <v>1724957</v>
      </c>
    </row>
  </sheetData>
  <phoneticPr fontId="22" type="noConversion"/>
  <pageMargins left="0.75" right="0.75" top="1" bottom="1" header="0.5" footer="0.5"/>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601"/>
  <sheetViews>
    <sheetView topLeftCell="A487" workbookViewId="0"/>
  </sheetViews>
  <sheetFormatPr defaultColWidth="10.90625" defaultRowHeight="14" x14ac:dyDescent="0.25"/>
  <sheetData>
    <row r="1" spans="1:15" x14ac:dyDescent="0.25">
      <c r="A1" t="s">
        <v>482</v>
      </c>
      <c r="B1" t="s">
        <v>3502</v>
      </c>
      <c r="C1" t="s">
        <v>3503</v>
      </c>
      <c r="D1" t="s">
        <v>3504</v>
      </c>
      <c r="E1" t="s">
        <v>1285</v>
      </c>
      <c r="F1" t="s">
        <v>1284</v>
      </c>
      <c r="G1" t="s">
        <v>3505</v>
      </c>
      <c r="H1" t="s">
        <v>3506</v>
      </c>
      <c r="I1" t="s">
        <v>3507</v>
      </c>
      <c r="J1" t="s">
        <v>3508</v>
      </c>
      <c r="K1" t="s">
        <v>124</v>
      </c>
      <c r="L1" t="s">
        <v>3251</v>
      </c>
      <c r="M1" t="s">
        <v>21</v>
      </c>
      <c r="N1" t="s">
        <v>303</v>
      </c>
      <c r="O1" t="s">
        <v>3509</v>
      </c>
    </row>
    <row r="2" spans="1:15" x14ac:dyDescent="0.25">
      <c r="A2" t="s">
        <v>564</v>
      </c>
      <c r="B2" t="s">
        <v>28</v>
      </c>
      <c r="C2" t="s">
        <v>3510</v>
      </c>
      <c r="D2" t="s">
        <v>3511</v>
      </c>
      <c r="E2" t="s">
        <v>3512</v>
      </c>
      <c r="F2" t="s">
        <v>3513</v>
      </c>
      <c r="G2" t="s">
        <v>3514</v>
      </c>
      <c r="I2" t="s">
        <v>3515</v>
      </c>
      <c r="J2" t="s">
        <v>3516</v>
      </c>
      <c r="K2" t="s">
        <v>132</v>
      </c>
      <c r="L2">
        <v>249999</v>
      </c>
      <c r="M2">
        <v>2.7799999999999998E-2</v>
      </c>
      <c r="N2" t="s">
        <v>3517</v>
      </c>
      <c r="O2" t="s">
        <v>3518</v>
      </c>
    </row>
    <row r="3" spans="1:15" x14ac:dyDescent="0.25">
      <c r="A3" t="s">
        <v>564</v>
      </c>
      <c r="B3" t="s">
        <v>30</v>
      </c>
      <c r="C3" t="s">
        <v>3519</v>
      </c>
      <c r="D3" t="s">
        <v>3520</v>
      </c>
      <c r="E3" t="s">
        <v>3521</v>
      </c>
      <c r="F3" t="s">
        <v>3522</v>
      </c>
      <c r="G3" t="s">
        <v>3523</v>
      </c>
      <c r="I3" t="s">
        <v>3524</v>
      </c>
      <c r="J3" t="s">
        <v>3525</v>
      </c>
      <c r="K3" t="s">
        <v>3526</v>
      </c>
      <c r="L3">
        <v>57902</v>
      </c>
      <c r="M3">
        <v>7.9299999999999995E-2</v>
      </c>
      <c r="N3" t="s">
        <v>3517</v>
      </c>
      <c r="O3" t="s">
        <v>3527</v>
      </c>
    </row>
    <row r="4" spans="1:15" x14ac:dyDescent="0.25">
      <c r="A4" t="s">
        <v>564</v>
      </c>
      <c r="B4" t="s">
        <v>30</v>
      </c>
      <c r="C4" t="s">
        <v>3528</v>
      </c>
      <c r="D4" t="s">
        <v>3529</v>
      </c>
      <c r="E4" t="s">
        <v>3530</v>
      </c>
      <c r="F4" t="s">
        <v>3531</v>
      </c>
      <c r="G4" t="s">
        <v>3532</v>
      </c>
      <c r="I4" t="s">
        <v>3533</v>
      </c>
      <c r="J4" t="s">
        <v>3534</v>
      </c>
      <c r="K4" t="s">
        <v>3535</v>
      </c>
      <c r="L4">
        <v>50339</v>
      </c>
      <c r="M4">
        <v>7.5700000000000003E-2</v>
      </c>
      <c r="N4" t="s">
        <v>3517</v>
      </c>
      <c r="O4" t="s">
        <v>3536</v>
      </c>
    </row>
    <row r="5" spans="1:15" x14ac:dyDescent="0.25">
      <c r="A5" t="s">
        <v>564</v>
      </c>
      <c r="B5" t="s">
        <v>30</v>
      </c>
      <c r="C5" t="s">
        <v>3528</v>
      </c>
      <c r="D5" t="s">
        <v>3529</v>
      </c>
      <c r="E5" t="s">
        <v>3537</v>
      </c>
      <c r="F5" t="s">
        <v>3538</v>
      </c>
      <c r="G5" t="s">
        <v>3539</v>
      </c>
      <c r="I5" t="s">
        <v>3540</v>
      </c>
      <c r="J5" t="s">
        <v>3541</v>
      </c>
      <c r="K5" t="s">
        <v>3542</v>
      </c>
      <c r="L5">
        <v>49065</v>
      </c>
      <c r="M5">
        <v>0.11509999999999999</v>
      </c>
      <c r="N5" t="s">
        <v>3517</v>
      </c>
      <c r="O5" t="s">
        <v>3543</v>
      </c>
    </row>
    <row r="6" spans="1:15" x14ac:dyDescent="0.25">
      <c r="A6" t="s">
        <v>564</v>
      </c>
      <c r="B6" t="s">
        <v>30</v>
      </c>
      <c r="C6" t="s">
        <v>3544</v>
      </c>
      <c r="D6" t="s">
        <v>3545</v>
      </c>
      <c r="E6" t="s">
        <v>3546</v>
      </c>
      <c r="F6" t="s">
        <v>3547</v>
      </c>
      <c r="G6" t="s">
        <v>3548</v>
      </c>
      <c r="H6" t="s">
        <v>3140</v>
      </c>
      <c r="I6" t="s">
        <v>3549</v>
      </c>
      <c r="J6" t="s">
        <v>3550</v>
      </c>
      <c r="K6" t="s">
        <v>132</v>
      </c>
      <c r="L6">
        <v>15183</v>
      </c>
      <c r="M6">
        <v>9.3299999999999994E-2</v>
      </c>
      <c r="N6" t="s">
        <v>3517</v>
      </c>
      <c r="O6" t="s">
        <v>3551</v>
      </c>
    </row>
    <row r="7" spans="1:15" x14ac:dyDescent="0.25">
      <c r="A7" t="s">
        <v>564</v>
      </c>
      <c r="B7" t="s">
        <v>30</v>
      </c>
      <c r="C7" t="s">
        <v>3552</v>
      </c>
      <c r="D7" t="s">
        <v>3553</v>
      </c>
      <c r="E7" t="s">
        <v>3554</v>
      </c>
      <c r="F7" t="s">
        <v>3555</v>
      </c>
      <c r="G7" t="s">
        <v>3556</v>
      </c>
      <c r="H7" t="s">
        <v>3140</v>
      </c>
      <c r="I7" t="s">
        <v>3557</v>
      </c>
      <c r="J7" t="s">
        <v>3558</v>
      </c>
      <c r="K7" t="s">
        <v>132</v>
      </c>
      <c r="L7">
        <v>13381</v>
      </c>
      <c r="M7">
        <v>0.128</v>
      </c>
      <c r="N7" t="s">
        <v>3517</v>
      </c>
      <c r="O7" t="s">
        <v>3559</v>
      </c>
    </row>
    <row r="8" spans="1:15" x14ac:dyDescent="0.25">
      <c r="A8" t="s">
        <v>564</v>
      </c>
      <c r="B8" t="s">
        <v>28</v>
      </c>
      <c r="C8" t="s">
        <v>155</v>
      </c>
      <c r="D8" t="s">
        <v>3560</v>
      </c>
      <c r="E8" t="s">
        <v>3561</v>
      </c>
      <c r="F8" t="s">
        <v>3562</v>
      </c>
      <c r="G8" t="s">
        <v>3563</v>
      </c>
      <c r="H8" t="s">
        <v>3564</v>
      </c>
      <c r="I8" t="s">
        <v>3565</v>
      </c>
      <c r="J8" t="s">
        <v>3566</v>
      </c>
      <c r="K8" t="s">
        <v>3567</v>
      </c>
      <c r="L8">
        <v>1833184</v>
      </c>
      <c r="M8">
        <v>1.1900000000000001E-2</v>
      </c>
      <c r="N8" t="s">
        <v>322</v>
      </c>
      <c r="O8" t="s">
        <v>3568</v>
      </c>
    </row>
    <row r="9" spans="1:15" x14ac:dyDescent="0.25">
      <c r="A9" t="s">
        <v>564</v>
      </c>
      <c r="B9" t="s">
        <v>28</v>
      </c>
      <c r="C9" t="s">
        <v>3569</v>
      </c>
      <c r="D9" t="s">
        <v>3570</v>
      </c>
      <c r="E9" t="s">
        <v>3571</v>
      </c>
      <c r="F9" t="s">
        <v>3572</v>
      </c>
      <c r="G9" t="s">
        <v>3573</v>
      </c>
      <c r="H9" t="s">
        <v>3140</v>
      </c>
      <c r="I9" t="s">
        <v>3574</v>
      </c>
      <c r="J9" t="s">
        <v>3575</v>
      </c>
      <c r="K9" t="s">
        <v>3576</v>
      </c>
      <c r="L9">
        <v>1024470</v>
      </c>
      <c r="M9">
        <v>1.18E-2</v>
      </c>
      <c r="N9" t="s">
        <v>3577</v>
      </c>
      <c r="O9" t="s">
        <v>3578</v>
      </c>
    </row>
    <row r="10" spans="1:15" x14ac:dyDescent="0.25">
      <c r="A10" t="s">
        <v>564</v>
      </c>
      <c r="B10" t="s">
        <v>28</v>
      </c>
      <c r="C10" t="s">
        <v>3579</v>
      </c>
      <c r="D10" t="s">
        <v>3580</v>
      </c>
      <c r="E10" t="s">
        <v>3581</v>
      </c>
      <c r="F10" t="s">
        <v>3582</v>
      </c>
      <c r="G10" t="s">
        <v>3583</v>
      </c>
      <c r="H10" t="s">
        <v>3564</v>
      </c>
      <c r="I10" t="s">
        <v>3584</v>
      </c>
      <c r="J10" t="s">
        <v>3585</v>
      </c>
      <c r="K10" t="s">
        <v>3141</v>
      </c>
      <c r="L10">
        <v>668643</v>
      </c>
      <c r="M10">
        <v>1.0500000000000001E-2</v>
      </c>
      <c r="N10" t="s">
        <v>320</v>
      </c>
      <c r="O10" t="s">
        <v>3586</v>
      </c>
    </row>
    <row r="11" spans="1:15" x14ac:dyDescent="0.25">
      <c r="A11" t="s">
        <v>564</v>
      </c>
      <c r="B11" t="s">
        <v>28</v>
      </c>
      <c r="C11" t="s">
        <v>3587</v>
      </c>
      <c r="D11" t="s">
        <v>3588</v>
      </c>
      <c r="E11" t="s">
        <v>3589</v>
      </c>
      <c r="F11" t="s">
        <v>3590</v>
      </c>
      <c r="G11" t="s">
        <v>3591</v>
      </c>
      <c r="I11" t="s">
        <v>3592</v>
      </c>
      <c r="J11" t="s">
        <v>3593</v>
      </c>
      <c r="K11" t="s">
        <v>3594</v>
      </c>
      <c r="L11">
        <v>493231</v>
      </c>
      <c r="M11">
        <v>3.5099999999999999E-2</v>
      </c>
      <c r="N11" t="s">
        <v>320</v>
      </c>
      <c r="O11" t="s">
        <v>3595</v>
      </c>
    </row>
    <row r="12" spans="1:15" x14ac:dyDescent="0.25">
      <c r="A12" t="s">
        <v>564</v>
      </c>
      <c r="B12" t="s">
        <v>28</v>
      </c>
      <c r="C12" t="s">
        <v>3579</v>
      </c>
      <c r="D12" t="s">
        <v>3580</v>
      </c>
      <c r="E12" t="s">
        <v>3596</v>
      </c>
      <c r="F12" t="s">
        <v>3597</v>
      </c>
      <c r="G12" t="s">
        <v>3598</v>
      </c>
      <c r="H12" t="s">
        <v>3564</v>
      </c>
      <c r="I12" t="s">
        <v>3599</v>
      </c>
      <c r="J12" t="s">
        <v>3600</v>
      </c>
      <c r="K12" t="s">
        <v>3601</v>
      </c>
      <c r="L12">
        <v>406236</v>
      </c>
      <c r="M12">
        <v>9.5999999999999992E-3</v>
      </c>
      <c r="N12" t="s">
        <v>322</v>
      </c>
      <c r="O12" t="s">
        <v>3602</v>
      </c>
    </row>
    <row r="13" spans="1:15" x14ac:dyDescent="0.25">
      <c r="A13" t="s">
        <v>564</v>
      </c>
      <c r="B13" t="s">
        <v>28</v>
      </c>
      <c r="C13" t="s">
        <v>3603</v>
      </c>
      <c r="D13" t="s">
        <v>3604</v>
      </c>
      <c r="E13" t="s">
        <v>3605</v>
      </c>
      <c r="F13" t="s">
        <v>3606</v>
      </c>
      <c r="G13" t="s">
        <v>3607</v>
      </c>
      <c r="I13" t="s">
        <v>3608</v>
      </c>
      <c r="J13" t="s">
        <v>3609</v>
      </c>
      <c r="K13" t="s">
        <v>3610</v>
      </c>
      <c r="L13">
        <v>352653</v>
      </c>
      <c r="M13">
        <v>1.4800000000000001E-2</v>
      </c>
      <c r="N13" t="s">
        <v>322</v>
      </c>
      <c r="O13" t="s">
        <v>3611</v>
      </c>
    </row>
    <row r="14" spans="1:15" x14ac:dyDescent="0.25">
      <c r="A14" t="s">
        <v>564</v>
      </c>
      <c r="B14" t="s">
        <v>28</v>
      </c>
      <c r="C14" t="s">
        <v>148</v>
      </c>
      <c r="D14" t="s">
        <v>3612</v>
      </c>
      <c r="E14" t="s">
        <v>3613</v>
      </c>
      <c r="F14" t="s">
        <v>3614</v>
      </c>
      <c r="G14" t="s">
        <v>3615</v>
      </c>
      <c r="H14" t="s">
        <v>3564</v>
      </c>
      <c r="I14" t="s">
        <v>3616</v>
      </c>
      <c r="J14" t="s">
        <v>3151</v>
      </c>
      <c r="K14" t="s">
        <v>3617</v>
      </c>
      <c r="L14">
        <v>292426</v>
      </c>
      <c r="M14">
        <v>8.8000000000000005E-3</v>
      </c>
      <c r="N14" t="s">
        <v>320</v>
      </c>
      <c r="O14" t="s">
        <v>3618</v>
      </c>
    </row>
    <row r="15" spans="1:15" x14ac:dyDescent="0.25">
      <c r="A15" t="s">
        <v>564</v>
      </c>
      <c r="B15" t="s">
        <v>28</v>
      </c>
      <c r="C15" t="s">
        <v>3619</v>
      </c>
      <c r="D15" t="s">
        <v>3620</v>
      </c>
      <c r="E15" t="s">
        <v>3621</v>
      </c>
      <c r="F15" t="s">
        <v>3622</v>
      </c>
      <c r="G15" t="s">
        <v>3623</v>
      </c>
      <c r="I15" t="s">
        <v>3624</v>
      </c>
      <c r="J15" t="s">
        <v>3625</v>
      </c>
      <c r="K15" t="s">
        <v>3626</v>
      </c>
      <c r="L15">
        <v>248807</v>
      </c>
      <c r="M15">
        <v>1.0200000000000001E-2</v>
      </c>
      <c r="N15" t="s">
        <v>320</v>
      </c>
      <c r="O15" t="s">
        <v>3627</v>
      </c>
    </row>
    <row r="16" spans="1:15" x14ac:dyDescent="0.25">
      <c r="A16" t="s">
        <v>564</v>
      </c>
      <c r="B16" t="s">
        <v>28</v>
      </c>
      <c r="C16" t="s">
        <v>3628</v>
      </c>
      <c r="D16" t="s">
        <v>3629</v>
      </c>
      <c r="E16" t="s">
        <v>3630</v>
      </c>
      <c r="F16" t="s">
        <v>3631</v>
      </c>
      <c r="G16" t="s">
        <v>3632</v>
      </c>
      <c r="H16" t="s">
        <v>3564</v>
      </c>
      <c r="I16" t="s">
        <v>3633</v>
      </c>
      <c r="J16" t="s">
        <v>3634</v>
      </c>
      <c r="K16" t="s">
        <v>3635</v>
      </c>
      <c r="L16">
        <v>220781</v>
      </c>
      <c r="M16">
        <v>6.1999999999999998E-3</v>
      </c>
      <c r="N16" t="s">
        <v>320</v>
      </c>
      <c r="O16" t="s">
        <v>3636</v>
      </c>
    </row>
    <row r="17" spans="1:15" x14ac:dyDescent="0.25">
      <c r="A17" t="s">
        <v>564</v>
      </c>
      <c r="B17" t="s">
        <v>28</v>
      </c>
      <c r="C17" t="s">
        <v>151</v>
      </c>
      <c r="D17" t="s">
        <v>3637</v>
      </c>
      <c r="E17" t="s">
        <v>3638</v>
      </c>
      <c r="F17" t="s">
        <v>3639</v>
      </c>
      <c r="G17" t="s">
        <v>3640</v>
      </c>
      <c r="H17" t="s">
        <v>3564</v>
      </c>
      <c r="I17" t="s">
        <v>3641</v>
      </c>
      <c r="J17" t="s">
        <v>3642</v>
      </c>
      <c r="K17" t="s">
        <v>3567</v>
      </c>
      <c r="L17">
        <v>1705162</v>
      </c>
      <c r="M17">
        <v>9.300000000000001E-3</v>
      </c>
      <c r="N17" t="s">
        <v>320</v>
      </c>
      <c r="O17" t="s">
        <v>3643</v>
      </c>
    </row>
    <row r="18" spans="1:15" x14ac:dyDescent="0.25">
      <c r="A18" t="s">
        <v>564</v>
      </c>
      <c r="B18" t="s">
        <v>28</v>
      </c>
      <c r="C18" t="s">
        <v>154</v>
      </c>
      <c r="D18" t="s">
        <v>3644</v>
      </c>
      <c r="E18" t="s">
        <v>3645</v>
      </c>
      <c r="F18" t="s">
        <v>3646</v>
      </c>
      <c r="G18" t="s">
        <v>3647</v>
      </c>
      <c r="I18" t="s">
        <v>3648</v>
      </c>
      <c r="J18" t="s">
        <v>3649</v>
      </c>
      <c r="K18" t="s">
        <v>3650</v>
      </c>
      <c r="L18">
        <v>1015670</v>
      </c>
      <c r="M18">
        <v>1.7600000000000001E-2</v>
      </c>
      <c r="N18" t="s">
        <v>320</v>
      </c>
      <c r="O18" t="s">
        <v>3651</v>
      </c>
    </row>
    <row r="19" spans="1:15" x14ac:dyDescent="0.25">
      <c r="A19" t="s">
        <v>564</v>
      </c>
      <c r="B19" t="s">
        <v>28</v>
      </c>
      <c r="C19" t="s">
        <v>147</v>
      </c>
      <c r="D19" t="s">
        <v>3652</v>
      </c>
      <c r="E19" t="s">
        <v>3653</v>
      </c>
      <c r="F19" t="s">
        <v>3654</v>
      </c>
      <c r="G19" t="s">
        <v>3655</v>
      </c>
      <c r="H19" t="s">
        <v>3564</v>
      </c>
      <c r="I19" t="s">
        <v>3656</v>
      </c>
      <c r="J19" t="s">
        <v>3617</v>
      </c>
      <c r="K19" t="s">
        <v>3657</v>
      </c>
      <c r="L19">
        <v>652559</v>
      </c>
      <c r="M19">
        <v>7.8000000000000014E-3</v>
      </c>
      <c r="N19" t="s">
        <v>320</v>
      </c>
      <c r="O19" t="s">
        <v>3658</v>
      </c>
    </row>
    <row r="20" spans="1:15" x14ac:dyDescent="0.25">
      <c r="A20" t="s">
        <v>564</v>
      </c>
      <c r="B20" t="s">
        <v>28</v>
      </c>
      <c r="C20" t="s">
        <v>151</v>
      </c>
      <c r="D20" t="s">
        <v>3637</v>
      </c>
      <c r="E20" t="s">
        <v>3659</v>
      </c>
      <c r="F20" t="s">
        <v>3660</v>
      </c>
      <c r="G20" t="s">
        <v>3661</v>
      </c>
      <c r="H20" t="s">
        <v>3140</v>
      </c>
      <c r="I20" t="s">
        <v>3662</v>
      </c>
      <c r="J20" t="s">
        <v>3663</v>
      </c>
      <c r="K20" t="s">
        <v>3664</v>
      </c>
      <c r="L20">
        <v>486461</v>
      </c>
      <c r="M20">
        <v>1.14E-2</v>
      </c>
      <c r="N20" t="s">
        <v>320</v>
      </c>
      <c r="O20" t="s">
        <v>3665</v>
      </c>
    </row>
    <row r="21" spans="1:15" x14ac:dyDescent="0.25">
      <c r="A21" t="s">
        <v>564</v>
      </c>
      <c r="B21" t="s">
        <v>28</v>
      </c>
      <c r="C21" t="s">
        <v>151</v>
      </c>
      <c r="D21" t="s">
        <v>3637</v>
      </c>
      <c r="E21" t="s">
        <v>3666</v>
      </c>
      <c r="F21" t="s">
        <v>3667</v>
      </c>
      <c r="G21" t="s">
        <v>3668</v>
      </c>
      <c r="H21" t="s">
        <v>3564</v>
      </c>
      <c r="I21" t="s">
        <v>3669</v>
      </c>
      <c r="J21" t="s">
        <v>3670</v>
      </c>
      <c r="K21" t="s">
        <v>3671</v>
      </c>
      <c r="L21">
        <v>403530</v>
      </c>
      <c r="M21">
        <v>5.1999999999999998E-3</v>
      </c>
      <c r="N21" t="s">
        <v>320</v>
      </c>
      <c r="O21" t="s">
        <v>3672</v>
      </c>
    </row>
    <row r="22" spans="1:15" x14ac:dyDescent="0.25">
      <c r="A22" t="s">
        <v>564</v>
      </c>
      <c r="B22" t="s">
        <v>28</v>
      </c>
      <c r="C22" t="s">
        <v>3673</v>
      </c>
      <c r="D22" t="s">
        <v>3674</v>
      </c>
      <c r="E22" t="s">
        <v>3675</v>
      </c>
      <c r="F22" t="s">
        <v>3676</v>
      </c>
      <c r="G22" t="s">
        <v>3677</v>
      </c>
      <c r="I22" t="s">
        <v>3678</v>
      </c>
      <c r="J22" t="s">
        <v>3679</v>
      </c>
      <c r="K22" t="s">
        <v>3680</v>
      </c>
      <c r="L22">
        <v>350293</v>
      </c>
      <c r="M22">
        <v>5.1999999999999998E-3</v>
      </c>
      <c r="N22" t="s">
        <v>3517</v>
      </c>
      <c r="O22" t="s">
        <v>3681</v>
      </c>
    </row>
    <row r="23" spans="1:15" x14ac:dyDescent="0.25">
      <c r="A23" t="s">
        <v>564</v>
      </c>
      <c r="B23" t="s">
        <v>28</v>
      </c>
      <c r="C23" t="s">
        <v>3682</v>
      </c>
      <c r="D23" t="s">
        <v>3683</v>
      </c>
      <c r="E23" t="s">
        <v>3684</v>
      </c>
      <c r="F23" t="s">
        <v>3685</v>
      </c>
      <c r="G23" t="s">
        <v>3686</v>
      </c>
      <c r="I23" t="s">
        <v>3687</v>
      </c>
      <c r="J23" t="s">
        <v>3688</v>
      </c>
      <c r="K23" t="s">
        <v>3689</v>
      </c>
      <c r="L23">
        <v>290399</v>
      </c>
      <c r="M23">
        <v>6.4699999999999994E-2</v>
      </c>
      <c r="N23" t="s">
        <v>322</v>
      </c>
      <c r="O23" t="s">
        <v>3690</v>
      </c>
    </row>
    <row r="24" spans="1:15" x14ac:dyDescent="0.25">
      <c r="A24" t="s">
        <v>564</v>
      </c>
      <c r="B24" t="s">
        <v>28</v>
      </c>
      <c r="C24" t="s">
        <v>3691</v>
      </c>
      <c r="D24" t="s">
        <v>3692</v>
      </c>
      <c r="E24" t="s">
        <v>3693</v>
      </c>
      <c r="F24" t="s">
        <v>3694</v>
      </c>
      <c r="G24" t="s">
        <v>3695</v>
      </c>
      <c r="I24" t="s">
        <v>3696</v>
      </c>
      <c r="J24" t="s">
        <v>3697</v>
      </c>
      <c r="L24">
        <v>248782</v>
      </c>
      <c r="M24">
        <v>2.0199999999999999E-2</v>
      </c>
      <c r="N24" t="s">
        <v>320</v>
      </c>
      <c r="O24" t="s">
        <v>3698</v>
      </c>
    </row>
    <row r="25" spans="1:15" x14ac:dyDescent="0.25">
      <c r="A25" t="s">
        <v>564</v>
      </c>
      <c r="B25" t="s">
        <v>28</v>
      </c>
      <c r="C25" t="s">
        <v>146</v>
      </c>
      <c r="D25" t="s">
        <v>3699</v>
      </c>
      <c r="E25" t="s">
        <v>3700</v>
      </c>
      <c r="F25" t="s">
        <v>3701</v>
      </c>
      <c r="G25" t="s">
        <v>3702</v>
      </c>
      <c r="I25" t="s">
        <v>3703</v>
      </c>
      <c r="J25" t="s">
        <v>3704</v>
      </c>
      <c r="K25" t="s">
        <v>3705</v>
      </c>
      <c r="L25">
        <v>218860</v>
      </c>
      <c r="M25">
        <v>7.1999999999999998E-3</v>
      </c>
      <c r="N25" t="s">
        <v>322</v>
      </c>
      <c r="O25" t="s">
        <v>3706</v>
      </c>
    </row>
    <row r="26" spans="1:15" x14ac:dyDescent="0.25">
      <c r="A26" t="s">
        <v>564</v>
      </c>
      <c r="B26" t="s">
        <v>28</v>
      </c>
      <c r="C26" t="s">
        <v>3707</v>
      </c>
      <c r="D26" t="s">
        <v>3708</v>
      </c>
      <c r="E26" t="s">
        <v>3709</v>
      </c>
      <c r="F26" t="s">
        <v>3710</v>
      </c>
      <c r="G26" t="s">
        <v>3711</v>
      </c>
      <c r="H26" t="s">
        <v>3140</v>
      </c>
      <c r="I26" t="s">
        <v>3712</v>
      </c>
      <c r="J26" t="s">
        <v>3713</v>
      </c>
      <c r="K26" t="s">
        <v>132</v>
      </c>
      <c r="L26">
        <v>194694</v>
      </c>
      <c r="M26">
        <v>7.8000000000000014E-3</v>
      </c>
      <c r="N26" t="s">
        <v>322</v>
      </c>
      <c r="O26" t="s">
        <v>3714</v>
      </c>
    </row>
    <row r="27" spans="1:15" x14ac:dyDescent="0.25">
      <c r="A27" t="s">
        <v>564</v>
      </c>
      <c r="B27" t="s">
        <v>28</v>
      </c>
      <c r="C27" t="s">
        <v>3715</v>
      </c>
      <c r="D27" t="s">
        <v>3716</v>
      </c>
      <c r="E27" t="s">
        <v>3717</v>
      </c>
      <c r="F27" t="s">
        <v>3718</v>
      </c>
      <c r="G27" t="s">
        <v>3719</v>
      </c>
      <c r="H27" t="s">
        <v>3564</v>
      </c>
      <c r="I27" t="s">
        <v>3720</v>
      </c>
      <c r="J27" t="s">
        <v>3721</v>
      </c>
      <c r="K27" t="s">
        <v>3722</v>
      </c>
      <c r="L27">
        <v>178092</v>
      </c>
      <c r="M27">
        <v>4.0999999999999986E-3</v>
      </c>
      <c r="N27" t="s">
        <v>322</v>
      </c>
      <c r="O27" t="s">
        <v>3723</v>
      </c>
    </row>
    <row r="28" spans="1:15" x14ac:dyDescent="0.25">
      <c r="A28" t="s">
        <v>564</v>
      </c>
      <c r="B28" t="s">
        <v>28</v>
      </c>
      <c r="C28" t="s">
        <v>3724</v>
      </c>
      <c r="D28" t="s">
        <v>3725</v>
      </c>
      <c r="E28" t="s">
        <v>3726</v>
      </c>
      <c r="F28" t="s">
        <v>3727</v>
      </c>
      <c r="G28" t="s">
        <v>3728</v>
      </c>
      <c r="H28" t="s">
        <v>3564</v>
      </c>
      <c r="I28" t="s">
        <v>3729</v>
      </c>
      <c r="J28" t="s">
        <v>3730</v>
      </c>
      <c r="K28" t="s">
        <v>3731</v>
      </c>
      <c r="L28">
        <v>167083</v>
      </c>
      <c r="M28">
        <v>1.4E-2</v>
      </c>
      <c r="N28" t="s">
        <v>322</v>
      </c>
      <c r="O28" t="s">
        <v>3732</v>
      </c>
    </row>
    <row r="29" spans="1:15" x14ac:dyDescent="0.25">
      <c r="A29" t="s">
        <v>564</v>
      </c>
      <c r="B29" t="s">
        <v>28</v>
      </c>
      <c r="C29" t="s">
        <v>3619</v>
      </c>
      <c r="D29" t="s">
        <v>3620</v>
      </c>
      <c r="E29" t="s">
        <v>3733</v>
      </c>
      <c r="F29" t="s">
        <v>3639</v>
      </c>
      <c r="G29" t="s">
        <v>3734</v>
      </c>
      <c r="H29" t="s">
        <v>3140</v>
      </c>
      <c r="I29" t="s">
        <v>3735</v>
      </c>
      <c r="J29" t="s">
        <v>3736</v>
      </c>
      <c r="K29" t="s">
        <v>132</v>
      </c>
      <c r="L29">
        <v>156733</v>
      </c>
      <c r="M29">
        <v>8.6999999999999994E-3</v>
      </c>
      <c r="N29" t="s">
        <v>320</v>
      </c>
      <c r="O29" t="s">
        <v>3737</v>
      </c>
    </row>
    <row r="30" spans="1:15" x14ac:dyDescent="0.25">
      <c r="A30" t="s">
        <v>564</v>
      </c>
      <c r="B30" t="s">
        <v>28</v>
      </c>
      <c r="C30" t="s">
        <v>3738</v>
      </c>
      <c r="D30" t="s">
        <v>3739</v>
      </c>
      <c r="E30" t="s">
        <v>3740</v>
      </c>
      <c r="F30" t="s">
        <v>3741</v>
      </c>
      <c r="G30" t="s">
        <v>3742</v>
      </c>
      <c r="H30" t="s">
        <v>3564</v>
      </c>
      <c r="I30" t="s">
        <v>3743</v>
      </c>
      <c r="J30" t="s">
        <v>3744</v>
      </c>
      <c r="K30" t="s">
        <v>3745</v>
      </c>
      <c r="L30">
        <v>143176</v>
      </c>
      <c r="M30">
        <v>4.6999999999999993E-3</v>
      </c>
      <c r="N30" t="s">
        <v>320</v>
      </c>
      <c r="O30" t="s">
        <v>3746</v>
      </c>
    </row>
    <row r="31" spans="1:15" x14ac:dyDescent="0.25">
      <c r="A31" t="s">
        <v>564</v>
      </c>
      <c r="B31" t="s">
        <v>28</v>
      </c>
      <c r="C31" t="s">
        <v>3747</v>
      </c>
      <c r="D31" t="s">
        <v>3748</v>
      </c>
      <c r="E31" t="s">
        <v>3749</v>
      </c>
      <c r="F31" t="s">
        <v>3750</v>
      </c>
      <c r="G31" t="s">
        <v>3751</v>
      </c>
      <c r="I31" t="s">
        <v>3752</v>
      </c>
      <c r="J31" t="s">
        <v>3753</v>
      </c>
      <c r="K31" t="s">
        <v>3754</v>
      </c>
      <c r="L31">
        <v>136509</v>
      </c>
      <c r="M31">
        <v>3.8999999999999998E-3</v>
      </c>
      <c r="N31" t="s">
        <v>322</v>
      </c>
      <c r="O31" t="s">
        <v>3755</v>
      </c>
    </row>
    <row r="32" spans="1:15" x14ac:dyDescent="0.25">
      <c r="A32" t="s">
        <v>564</v>
      </c>
      <c r="B32" t="s">
        <v>28</v>
      </c>
      <c r="C32" t="s">
        <v>3756</v>
      </c>
      <c r="D32" t="s">
        <v>3757</v>
      </c>
      <c r="E32" t="s">
        <v>3758</v>
      </c>
      <c r="F32" t="s">
        <v>3759</v>
      </c>
      <c r="G32" t="s">
        <v>3760</v>
      </c>
      <c r="I32" t="s">
        <v>3761</v>
      </c>
      <c r="J32" t="s">
        <v>3762</v>
      </c>
      <c r="K32" t="s">
        <v>3763</v>
      </c>
      <c r="L32">
        <v>129821</v>
      </c>
      <c r="M32">
        <v>6.6E-3</v>
      </c>
      <c r="N32" t="s">
        <v>320</v>
      </c>
      <c r="O32" t="s">
        <v>3764</v>
      </c>
    </row>
    <row r="33" spans="1:15" x14ac:dyDescent="0.25">
      <c r="A33" t="s">
        <v>564</v>
      </c>
      <c r="B33" t="s">
        <v>28</v>
      </c>
      <c r="C33" t="s">
        <v>155</v>
      </c>
      <c r="D33" t="s">
        <v>3560</v>
      </c>
      <c r="E33" t="s">
        <v>3765</v>
      </c>
      <c r="F33" t="s">
        <v>3766</v>
      </c>
      <c r="G33" t="s">
        <v>3767</v>
      </c>
      <c r="I33" t="s">
        <v>3768</v>
      </c>
      <c r="J33" t="s">
        <v>3769</v>
      </c>
      <c r="K33" t="s">
        <v>3671</v>
      </c>
      <c r="L33">
        <v>121698</v>
      </c>
      <c r="M33">
        <v>7.4000000000000003E-3</v>
      </c>
      <c r="N33" t="s">
        <v>322</v>
      </c>
      <c r="O33" t="s">
        <v>3770</v>
      </c>
    </row>
    <row r="34" spans="1:15" x14ac:dyDescent="0.25">
      <c r="A34" t="s">
        <v>564</v>
      </c>
      <c r="B34" t="s">
        <v>28</v>
      </c>
      <c r="C34" t="s">
        <v>3771</v>
      </c>
      <c r="D34" t="s">
        <v>3772</v>
      </c>
      <c r="E34" t="s">
        <v>3773</v>
      </c>
      <c r="F34" t="s">
        <v>3774</v>
      </c>
      <c r="G34" t="s">
        <v>3775</v>
      </c>
      <c r="H34" t="s">
        <v>3142</v>
      </c>
      <c r="I34" t="s">
        <v>3776</v>
      </c>
      <c r="J34" t="s">
        <v>3777</v>
      </c>
      <c r="K34" t="s">
        <v>132</v>
      </c>
      <c r="L34">
        <v>112845</v>
      </c>
      <c r="M34">
        <v>2.6700000000000002E-2</v>
      </c>
      <c r="N34" t="s">
        <v>320</v>
      </c>
      <c r="O34" t="s">
        <v>3778</v>
      </c>
    </row>
    <row r="35" spans="1:15" x14ac:dyDescent="0.25">
      <c r="A35" t="s">
        <v>564</v>
      </c>
      <c r="B35" t="s">
        <v>28</v>
      </c>
      <c r="C35" t="s">
        <v>3779</v>
      </c>
      <c r="D35" t="s">
        <v>3780</v>
      </c>
      <c r="E35" t="s">
        <v>3781</v>
      </c>
      <c r="F35" t="s">
        <v>3782</v>
      </c>
      <c r="G35" t="s">
        <v>3783</v>
      </c>
      <c r="H35" t="s">
        <v>3564</v>
      </c>
      <c r="I35" t="s">
        <v>3784</v>
      </c>
      <c r="J35" t="s">
        <v>3785</v>
      </c>
      <c r="K35" t="s">
        <v>3786</v>
      </c>
      <c r="L35">
        <v>108378</v>
      </c>
      <c r="M35">
        <v>8.3999999999999995E-3</v>
      </c>
      <c r="N35" t="s">
        <v>320</v>
      </c>
      <c r="O35" t="s">
        <v>3787</v>
      </c>
    </row>
    <row r="36" spans="1:15" x14ac:dyDescent="0.25">
      <c r="A36" t="s">
        <v>564</v>
      </c>
      <c r="B36" t="s">
        <v>28</v>
      </c>
      <c r="C36" t="s">
        <v>3788</v>
      </c>
      <c r="D36" t="s">
        <v>3789</v>
      </c>
      <c r="E36" t="s">
        <v>3790</v>
      </c>
      <c r="F36" t="s">
        <v>3791</v>
      </c>
      <c r="G36" t="s">
        <v>3792</v>
      </c>
      <c r="I36" t="s">
        <v>3793</v>
      </c>
      <c r="J36" t="s">
        <v>3794</v>
      </c>
      <c r="K36" t="s">
        <v>3795</v>
      </c>
      <c r="L36">
        <v>105675</v>
      </c>
      <c r="M36">
        <v>5.0000000000000001E-3</v>
      </c>
      <c r="N36" t="s">
        <v>320</v>
      </c>
      <c r="O36" t="s">
        <v>3796</v>
      </c>
    </row>
    <row r="37" spans="1:15" x14ac:dyDescent="0.25">
      <c r="A37" t="s">
        <v>564</v>
      </c>
      <c r="B37" t="s">
        <v>28</v>
      </c>
      <c r="C37" t="s">
        <v>3724</v>
      </c>
      <c r="D37" t="s">
        <v>3725</v>
      </c>
      <c r="E37" t="s">
        <v>3797</v>
      </c>
      <c r="F37" t="s">
        <v>3798</v>
      </c>
      <c r="G37" t="s">
        <v>3799</v>
      </c>
      <c r="I37" t="s">
        <v>3800</v>
      </c>
      <c r="J37" t="s">
        <v>3801</v>
      </c>
      <c r="K37" t="s">
        <v>3802</v>
      </c>
      <c r="L37">
        <v>97760</v>
      </c>
      <c r="M37">
        <v>6.6E-3</v>
      </c>
      <c r="N37" t="s">
        <v>320</v>
      </c>
      <c r="O37" t="s">
        <v>3803</v>
      </c>
    </row>
    <row r="38" spans="1:15" x14ac:dyDescent="0.25">
      <c r="A38" t="s">
        <v>564</v>
      </c>
      <c r="B38" t="s">
        <v>28</v>
      </c>
      <c r="C38" t="s">
        <v>3579</v>
      </c>
      <c r="D38" t="s">
        <v>3580</v>
      </c>
      <c r="E38" t="s">
        <v>3804</v>
      </c>
      <c r="F38" t="s">
        <v>3606</v>
      </c>
      <c r="G38" t="s">
        <v>3805</v>
      </c>
      <c r="I38" t="s">
        <v>3806</v>
      </c>
      <c r="J38" t="s">
        <v>3807</v>
      </c>
      <c r="K38" t="s">
        <v>3808</v>
      </c>
      <c r="L38">
        <v>1673266</v>
      </c>
      <c r="M38">
        <v>1.4500000000000001E-2</v>
      </c>
      <c r="N38" t="s">
        <v>322</v>
      </c>
      <c r="O38" t="s">
        <v>3809</v>
      </c>
    </row>
    <row r="39" spans="1:15" x14ac:dyDescent="0.25">
      <c r="A39" t="s">
        <v>564</v>
      </c>
      <c r="B39" t="s">
        <v>28</v>
      </c>
      <c r="C39" t="s">
        <v>146</v>
      </c>
      <c r="D39" t="s">
        <v>3699</v>
      </c>
      <c r="E39" t="s">
        <v>3810</v>
      </c>
      <c r="F39" t="s">
        <v>3811</v>
      </c>
      <c r="G39" t="s">
        <v>3812</v>
      </c>
      <c r="H39" t="s">
        <v>3564</v>
      </c>
      <c r="I39" t="s">
        <v>3813</v>
      </c>
      <c r="J39" t="s">
        <v>3731</v>
      </c>
      <c r="L39">
        <v>980663</v>
      </c>
      <c r="M39">
        <v>3.5999999999999999E-3</v>
      </c>
      <c r="N39" t="s">
        <v>322</v>
      </c>
      <c r="O39" t="s">
        <v>3814</v>
      </c>
    </row>
    <row r="40" spans="1:15" x14ac:dyDescent="0.25">
      <c r="A40" t="s">
        <v>564</v>
      </c>
      <c r="B40" t="s">
        <v>28</v>
      </c>
      <c r="C40" t="s">
        <v>3815</v>
      </c>
      <c r="D40" t="s">
        <v>3816</v>
      </c>
      <c r="E40" t="s">
        <v>3817</v>
      </c>
      <c r="F40" t="s">
        <v>3818</v>
      </c>
      <c r="G40" t="s">
        <v>3819</v>
      </c>
      <c r="H40" t="s">
        <v>3141</v>
      </c>
      <c r="I40" t="s">
        <v>3820</v>
      </c>
      <c r="J40" t="s">
        <v>3821</v>
      </c>
      <c r="K40" t="s">
        <v>3822</v>
      </c>
      <c r="L40">
        <v>604313</v>
      </c>
      <c r="M40">
        <v>1.0200000000000001E-2</v>
      </c>
      <c r="N40" t="s">
        <v>320</v>
      </c>
      <c r="O40" t="s">
        <v>3823</v>
      </c>
    </row>
    <row r="41" spans="1:15" x14ac:dyDescent="0.25">
      <c r="A41" t="s">
        <v>564</v>
      </c>
      <c r="B41" t="s">
        <v>28</v>
      </c>
      <c r="C41" t="s">
        <v>3824</v>
      </c>
      <c r="D41" t="s">
        <v>3825</v>
      </c>
      <c r="E41" t="s">
        <v>3826</v>
      </c>
      <c r="F41" t="s">
        <v>3827</v>
      </c>
      <c r="G41" t="s">
        <v>3828</v>
      </c>
      <c r="I41" t="s">
        <v>3829</v>
      </c>
      <c r="J41" t="s">
        <v>3830</v>
      </c>
      <c r="K41" t="s">
        <v>3831</v>
      </c>
      <c r="L41">
        <v>483619</v>
      </c>
      <c r="M41">
        <v>1.61E-2</v>
      </c>
      <c r="N41" t="s">
        <v>320</v>
      </c>
      <c r="O41" t="s">
        <v>3832</v>
      </c>
    </row>
    <row r="42" spans="1:15" x14ac:dyDescent="0.25">
      <c r="A42" t="s">
        <v>564</v>
      </c>
      <c r="B42" t="s">
        <v>28</v>
      </c>
      <c r="C42" t="s">
        <v>3833</v>
      </c>
      <c r="D42" t="s">
        <v>3834</v>
      </c>
      <c r="E42" t="s">
        <v>3835</v>
      </c>
      <c r="F42" t="s">
        <v>3836</v>
      </c>
      <c r="G42" t="s">
        <v>3837</v>
      </c>
      <c r="I42" t="s">
        <v>3838</v>
      </c>
      <c r="J42" t="s">
        <v>3839</v>
      </c>
      <c r="K42" t="s">
        <v>3840</v>
      </c>
      <c r="L42">
        <v>398392</v>
      </c>
      <c r="M42">
        <v>1.4200000000000001E-2</v>
      </c>
      <c r="N42" t="s">
        <v>322</v>
      </c>
      <c r="O42" t="s">
        <v>3841</v>
      </c>
    </row>
    <row r="43" spans="1:15" x14ac:dyDescent="0.25">
      <c r="A43" t="s">
        <v>564</v>
      </c>
      <c r="B43" t="s">
        <v>28</v>
      </c>
      <c r="C43" t="s">
        <v>3842</v>
      </c>
      <c r="D43" t="s">
        <v>3843</v>
      </c>
      <c r="E43" t="s">
        <v>3844</v>
      </c>
      <c r="F43" t="s">
        <v>3845</v>
      </c>
      <c r="G43" t="s">
        <v>3846</v>
      </c>
      <c r="I43" t="s">
        <v>3847</v>
      </c>
      <c r="J43" t="s">
        <v>3848</v>
      </c>
      <c r="K43" t="s">
        <v>3849</v>
      </c>
      <c r="L43">
        <v>343829</v>
      </c>
      <c r="M43">
        <v>3.2400000000000012E-2</v>
      </c>
      <c r="N43" t="s">
        <v>322</v>
      </c>
      <c r="O43" t="s">
        <v>3850</v>
      </c>
    </row>
    <row r="44" spans="1:15" x14ac:dyDescent="0.25">
      <c r="A44" t="s">
        <v>564</v>
      </c>
      <c r="B44" t="s">
        <v>28</v>
      </c>
      <c r="C44" t="s">
        <v>3851</v>
      </c>
      <c r="D44" t="s">
        <v>3852</v>
      </c>
      <c r="E44" t="s">
        <v>3853</v>
      </c>
      <c r="F44" t="s">
        <v>3854</v>
      </c>
      <c r="G44" t="s">
        <v>3855</v>
      </c>
      <c r="I44" t="s">
        <v>3856</v>
      </c>
      <c r="J44" t="s">
        <v>3857</v>
      </c>
      <c r="K44" t="s">
        <v>3858</v>
      </c>
      <c r="L44">
        <v>287776</v>
      </c>
      <c r="M44">
        <v>6.3E-3</v>
      </c>
      <c r="N44" t="s">
        <v>320</v>
      </c>
      <c r="O44" t="s">
        <v>3859</v>
      </c>
    </row>
    <row r="45" spans="1:15" x14ac:dyDescent="0.25">
      <c r="A45" t="s">
        <v>564</v>
      </c>
      <c r="B45" t="s">
        <v>28</v>
      </c>
      <c r="C45" t="s">
        <v>3860</v>
      </c>
      <c r="D45" t="s">
        <v>3861</v>
      </c>
      <c r="E45" t="s">
        <v>3862</v>
      </c>
      <c r="F45" t="s">
        <v>3863</v>
      </c>
      <c r="G45" t="s">
        <v>3864</v>
      </c>
      <c r="I45" t="s">
        <v>3865</v>
      </c>
      <c r="J45" t="s">
        <v>3866</v>
      </c>
      <c r="K45" t="s">
        <v>132</v>
      </c>
      <c r="L45">
        <v>246311</v>
      </c>
      <c r="M45">
        <v>6.4000000000000003E-3</v>
      </c>
      <c r="N45" t="s">
        <v>320</v>
      </c>
      <c r="O45" t="s">
        <v>3867</v>
      </c>
    </row>
    <row r="46" spans="1:15" x14ac:dyDescent="0.25">
      <c r="A46" t="s">
        <v>564</v>
      </c>
      <c r="B46" t="s">
        <v>28</v>
      </c>
      <c r="C46" t="s">
        <v>3579</v>
      </c>
      <c r="D46" t="s">
        <v>3580</v>
      </c>
      <c r="E46" t="s">
        <v>3868</v>
      </c>
      <c r="F46" t="s">
        <v>3869</v>
      </c>
      <c r="G46" t="s">
        <v>3870</v>
      </c>
      <c r="H46" t="s">
        <v>3564</v>
      </c>
      <c r="I46" t="s">
        <v>3871</v>
      </c>
      <c r="J46" t="s">
        <v>3872</v>
      </c>
      <c r="K46" t="s">
        <v>3873</v>
      </c>
      <c r="L46">
        <v>215878</v>
      </c>
      <c r="M46">
        <v>7.4999999999999997E-3</v>
      </c>
      <c r="N46" t="s">
        <v>322</v>
      </c>
      <c r="O46" t="s">
        <v>3874</v>
      </c>
    </row>
    <row r="47" spans="1:15" x14ac:dyDescent="0.25">
      <c r="A47" t="s">
        <v>564</v>
      </c>
      <c r="B47" t="s">
        <v>28</v>
      </c>
      <c r="C47" t="s">
        <v>3860</v>
      </c>
      <c r="D47" t="s">
        <v>3861</v>
      </c>
      <c r="E47" t="s">
        <v>3875</v>
      </c>
      <c r="F47" t="s">
        <v>3876</v>
      </c>
      <c r="G47" t="s">
        <v>3877</v>
      </c>
      <c r="I47" t="s">
        <v>3878</v>
      </c>
      <c r="J47" t="s">
        <v>3879</v>
      </c>
      <c r="K47" t="s">
        <v>3880</v>
      </c>
      <c r="L47">
        <v>193416</v>
      </c>
      <c r="M47">
        <v>1.03E-2</v>
      </c>
      <c r="N47" t="s">
        <v>320</v>
      </c>
      <c r="O47" t="s">
        <v>3881</v>
      </c>
    </row>
    <row r="48" spans="1:15" x14ac:dyDescent="0.25">
      <c r="A48" t="s">
        <v>564</v>
      </c>
      <c r="B48" t="s">
        <v>28</v>
      </c>
      <c r="C48" t="s">
        <v>3882</v>
      </c>
      <c r="D48" t="s">
        <v>3883</v>
      </c>
      <c r="E48" t="s">
        <v>3884</v>
      </c>
      <c r="F48" t="s">
        <v>3885</v>
      </c>
      <c r="G48" t="s">
        <v>3886</v>
      </c>
      <c r="I48" t="s">
        <v>3887</v>
      </c>
      <c r="J48" t="s">
        <v>3888</v>
      </c>
      <c r="K48" t="s">
        <v>3889</v>
      </c>
      <c r="L48">
        <v>176942</v>
      </c>
      <c r="M48">
        <v>3.2000000000000002E-3</v>
      </c>
      <c r="N48" t="s">
        <v>320</v>
      </c>
      <c r="O48" t="s">
        <v>3890</v>
      </c>
    </row>
    <row r="49" spans="1:15" x14ac:dyDescent="0.25">
      <c r="A49" t="s">
        <v>564</v>
      </c>
      <c r="B49" t="s">
        <v>28</v>
      </c>
      <c r="C49" t="s">
        <v>3891</v>
      </c>
      <c r="D49" t="s">
        <v>3892</v>
      </c>
      <c r="E49" t="s">
        <v>3893</v>
      </c>
      <c r="F49" t="s">
        <v>3894</v>
      </c>
      <c r="G49" t="s">
        <v>3895</v>
      </c>
      <c r="I49" t="s">
        <v>3896</v>
      </c>
      <c r="J49" t="s">
        <v>3897</v>
      </c>
      <c r="K49" t="s">
        <v>3898</v>
      </c>
      <c r="L49">
        <v>166320</v>
      </c>
      <c r="M49">
        <v>1.03E-2</v>
      </c>
      <c r="N49" t="s">
        <v>322</v>
      </c>
      <c r="O49" t="s">
        <v>3899</v>
      </c>
    </row>
    <row r="50" spans="1:15" x14ac:dyDescent="0.25">
      <c r="A50" t="s">
        <v>564</v>
      </c>
      <c r="B50" t="s">
        <v>28</v>
      </c>
      <c r="C50" t="s">
        <v>3900</v>
      </c>
      <c r="D50" t="s">
        <v>3901</v>
      </c>
      <c r="E50" t="s">
        <v>3902</v>
      </c>
      <c r="F50" t="s">
        <v>3903</v>
      </c>
      <c r="G50" t="s">
        <v>3904</v>
      </c>
      <c r="I50" t="s">
        <v>3905</v>
      </c>
      <c r="J50" t="s">
        <v>3906</v>
      </c>
      <c r="K50" t="s">
        <v>3907</v>
      </c>
      <c r="L50">
        <v>156359</v>
      </c>
      <c r="M50">
        <v>4.1999999999999997E-3</v>
      </c>
      <c r="N50" t="s">
        <v>322</v>
      </c>
      <c r="O50" t="s">
        <v>3908</v>
      </c>
    </row>
    <row r="51" spans="1:15" x14ac:dyDescent="0.25">
      <c r="A51" t="s">
        <v>564</v>
      </c>
      <c r="B51" t="s">
        <v>28</v>
      </c>
      <c r="C51" t="s">
        <v>3909</v>
      </c>
      <c r="D51" t="s">
        <v>3910</v>
      </c>
      <c r="E51" t="s">
        <v>3911</v>
      </c>
      <c r="F51" t="s">
        <v>3912</v>
      </c>
      <c r="G51" t="s">
        <v>3913</v>
      </c>
      <c r="H51" t="s">
        <v>3564</v>
      </c>
      <c r="I51" t="s">
        <v>3914</v>
      </c>
      <c r="J51" t="s">
        <v>3915</v>
      </c>
      <c r="K51" t="s">
        <v>3525</v>
      </c>
      <c r="L51">
        <v>141869</v>
      </c>
      <c r="M51">
        <v>5.0000000000000001E-4</v>
      </c>
      <c r="N51" t="s">
        <v>322</v>
      </c>
      <c r="O51" t="s">
        <v>3916</v>
      </c>
    </row>
    <row r="52" spans="1:15" x14ac:dyDescent="0.25">
      <c r="A52" t="s">
        <v>564</v>
      </c>
      <c r="B52" t="s">
        <v>28</v>
      </c>
      <c r="C52" t="s">
        <v>3917</v>
      </c>
      <c r="D52" t="s">
        <v>3918</v>
      </c>
      <c r="E52" t="s">
        <v>3919</v>
      </c>
      <c r="F52" t="s">
        <v>3920</v>
      </c>
      <c r="G52" t="s">
        <v>3921</v>
      </c>
      <c r="I52" t="s">
        <v>3922</v>
      </c>
      <c r="J52" t="s">
        <v>3923</v>
      </c>
      <c r="K52" t="s">
        <v>132</v>
      </c>
      <c r="L52">
        <v>136277</v>
      </c>
      <c r="M52">
        <v>2.35E-2</v>
      </c>
      <c r="N52" t="s">
        <v>320</v>
      </c>
      <c r="O52" t="s">
        <v>3924</v>
      </c>
    </row>
    <row r="53" spans="1:15" x14ac:dyDescent="0.25">
      <c r="A53" t="s">
        <v>564</v>
      </c>
      <c r="B53" t="s">
        <v>28</v>
      </c>
      <c r="C53" t="s">
        <v>146</v>
      </c>
      <c r="D53" t="s">
        <v>3699</v>
      </c>
      <c r="E53" t="s">
        <v>3925</v>
      </c>
      <c r="F53" t="s">
        <v>3926</v>
      </c>
      <c r="G53" t="s">
        <v>3927</v>
      </c>
      <c r="H53" t="s">
        <v>3564</v>
      </c>
      <c r="I53" t="s">
        <v>3928</v>
      </c>
      <c r="J53" t="s">
        <v>3929</v>
      </c>
      <c r="K53" t="s">
        <v>3930</v>
      </c>
      <c r="L53">
        <v>129753</v>
      </c>
      <c r="M53">
        <v>3.0000000000000001E-3</v>
      </c>
      <c r="N53" t="s">
        <v>320</v>
      </c>
      <c r="O53" t="s">
        <v>3931</v>
      </c>
    </row>
    <row r="54" spans="1:15" x14ac:dyDescent="0.25">
      <c r="A54" t="s">
        <v>564</v>
      </c>
      <c r="B54" t="s">
        <v>28</v>
      </c>
      <c r="C54" t="s">
        <v>3932</v>
      </c>
      <c r="D54" t="s">
        <v>3933</v>
      </c>
      <c r="E54" t="s">
        <v>3934</v>
      </c>
      <c r="F54" t="s">
        <v>3935</v>
      </c>
      <c r="G54" t="s">
        <v>3936</v>
      </c>
      <c r="H54" t="s">
        <v>3564</v>
      </c>
      <c r="I54" t="s">
        <v>3937</v>
      </c>
      <c r="J54" t="s">
        <v>3938</v>
      </c>
      <c r="K54" t="s">
        <v>3872</v>
      </c>
      <c r="L54">
        <v>119975</v>
      </c>
      <c r="M54">
        <v>9.5999999999999992E-3</v>
      </c>
      <c r="N54" t="s">
        <v>322</v>
      </c>
      <c r="O54" t="s">
        <v>3939</v>
      </c>
    </row>
    <row r="55" spans="1:15" x14ac:dyDescent="0.25">
      <c r="A55" t="s">
        <v>564</v>
      </c>
      <c r="B55" t="s">
        <v>28</v>
      </c>
      <c r="C55" t="s">
        <v>3932</v>
      </c>
      <c r="D55" t="s">
        <v>3933</v>
      </c>
      <c r="E55" t="s">
        <v>3940</v>
      </c>
      <c r="F55" t="s">
        <v>3941</v>
      </c>
      <c r="G55" t="s">
        <v>3942</v>
      </c>
      <c r="H55" t="s">
        <v>3564</v>
      </c>
      <c r="I55" t="s">
        <v>3943</v>
      </c>
      <c r="J55" t="s">
        <v>3944</v>
      </c>
      <c r="K55" t="s">
        <v>3679</v>
      </c>
      <c r="L55">
        <v>111135</v>
      </c>
      <c r="M55">
        <v>1.4200000000000001E-2</v>
      </c>
      <c r="N55" t="s">
        <v>320</v>
      </c>
      <c r="O55" t="s">
        <v>3945</v>
      </c>
    </row>
    <row r="56" spans="1:15" x14ac:dyDescent="0.25">
      <c r="A56" t="s">
        <v>564</v>
      </c>
      <c r="B56" t="s">
        <v>28</v>
      </c>
      <c r="C56" t="s">
        <v>3946</v>
      </c>
      <c r="D56" t="s">
        <v>3947</v>
      </c>
      <c r="E56" t="s">
        <v>3948</v>
      </c>
      <c r="F56" t="s">
        <v>3949</v>
      </c>
      <c r="G56" t="s">
        <v>3950</v>
      </c>
      <c r="H56" t="s">
        <v>3564</v>
      </c>
      <c r="I56" t="s">
        <v>3951</v>
      </c>
      <c r="J56" t="s">
        <v>3952</v>
      </c>
      <c r="K56" t="s">
        <v>3953</v>
      </c>
      <c r="L56">
        <v>108308</v>
      </c>
      <c r="M56">
        <v>7.000000000000001E-4</v>
      </c>
      <c r="N56" t="s">
        <v>322</v>
      </c>
      <c r="O56" t="s">
        <v>3954</v>
      </c>
    </row>
    <row r="57" spans="1:15" x14ac:dyDescent="0.25">
      <c r="A57" t="s">
        <v>564</v>
      </c>
      <c r="B57" t="s">
        <v>28</v>
      </c>
      <c r="C57" t="s">
        <v>3955</v>
      </c>
      <c r="D57" t="s">
        <v>3956</v>
      </c>
      <c r="E57" t="s">
        <v>3957</v>
      </c>
      <c r="F57" t="s">
        <v>3958</v>
      </c>
      <c r="G57" t="s">
        <v>3959</v>
      </c>
      <c r="H57" t="s">
        <v>3564</v>
      </c>
      <c r="I57" t="s">
        <v>3960</v>
      </c>
      <c r="J57" t="s">
        <v>3961</v>
      </c>
      <c r="K57" t="s">
        <v>3962</v>
      </c>
      <c r="L57">
        <v>105570</v>
      </c>
      <c r="M57">
        <v>8.5000000000000006E-3</v>
      </c>
      <c r="N57" t="s">
        <v>320</v>
      </c>
      <c r="O57" t="s">
        <v>3963</v>
      </c>
    </row>
    <row r="58" spans="1:15" x14ac:dyDescent="0.25">
      <c r="A58" t="s">
        <v>564</v>
      </c>
      <c r="B58" t="s">
        <v>30</v>
      </c>
      <c r="C58" t="s">
        <v>150</v>
      </c>
      <c r="D58" t="s">
        <v>3964</v>
      </c>
      <c r="E58" t="s">
        <v>1825</v>
      </c>
      <c r="F58" t="s">
        <v>1824</v>
      </c>
      <c r="G58" t="s">
        <v>3965</v>
      </c>
      <c r="I58" t="s">
        <v>3966</v>
      </c>
      <c r="J58" t="s">
        <v>3140</v>
      </c>
      <c r="K58" t="s">
        <v>3967</v>
      </c>
      <c r="L58">
        <v>1061516</v>
      </c>
      <c r="M58">
        <v>6.59E-2</v>
      </c>
      <c r="N58" t="s">
        <v>3517</v>
      </c>
      <c r="O58" t="s">
        <v>1826</v>
      </c>
    </row>
    <row r="59" spans="1:15" x14ac:dyDescent="0.25">
      <c r="A59" t="s">
        <v>564</v>
      </c>
      <c r="B59" t="s">
        <v>28</v>
      </c>
      <c r="C59" t="s">
        <v>147</v>
      </c>
      <c r="D59" t="s">
        <v>3652</v>
      </c>
      <c r="E59" t="s">
        <v>3968</v>
      </c>
      <c r="F59" t="s">
        <v>3969</v>
      </c>
      <c r="G59" t="s">
        <v>3970</v>
      </c>
      <c r="I59" t="s">
        <v>3971</v>
      </c>
      <c r="J59" t="s">
        <v>3972</v>
      </c>
      <c r="K59" t="s">
        <v>3973</v>
      </c>
      <c r="L59">
        <v>1554881</v>
      </c>
      <c r="M59">
        <v>1E-3</v>
      </c>
      <c r="N59" t="s">
        <v>320</v>
      </c>
      <c r="O59" t="s">
        <v>3974</v>
      </c>
    </row>
    <row r="60" spans="1:15" x14ac:dyDescent="0.25">
      <c r="A60" t="s">
        <v>564</v>
      </c>
      <c r="B60" t="s">
        <v>28</v>
      </c>
      <c r="C60" t="s">
        <v>147</v>
      </c>
      <c r="D60" t="s">
        <v>3652</v>
      </c>
      <c r="E60" t="s">
        <v>3975</v>
      </c>
      <c r="F60" t="s">
        <v>3976</v>
      </c>
      <c r="G60" t="s">
        <v>3977</v>
      </c>
      <c r="H60" t="s">
        <v>3564</v>
      </c>
      <c r="I60" t="s">
        <v>3978</v>
      </c>
      <c r="J60" t="s">
        <v>3795</v>
      </c>
      <c r="K60" t="s">
        <v>3144</v>
      </c>
      <c r="L60">
        <v>971712</v>
      </c>
      <c r="M60">
        <v>2.8E-3</v>
      </c>
      <c r="N60" t="s">
        <v>320</v>
      </c>
      <c r="O60" t="s">
        <v>3979</v>
      </c>
    </row>
    <row r="61" spans="1:15" x14ac:dyDescent="0.25">
      <c r="A61" t="s">
        <v>564</v>
      </c>
      <c r="B61" t="s">
        <v>28</v>
      </c>
      <c r="C61" t="s">
        <v>3980</v>
      </c>
      <c r="D61" t="s">
        <v>3981</v>
      </c>
      <c r="E61" t="s">
        <v>3982</v>
      </c>
      <c r="F61" t="s">
        <v>3983</v>
      </c>
      <c r="G61" t="s">
        <v>3984</v>
      </c>
      <c r="I61" t="s">
        <v>3985</v>
      </c>
      <c r="J61" t="s">
        <v>3986</v>
      </c>
      <c r="K61" t="s">
        <v>3650</v>
      </c>
      <c r="L61">
        <v>590176</v>
      </c>
      <c r="M61">
        <v>1.66E-2</v>
      </c>
      <c r="N61" t="s">
        <v>322</v>
      </c>
      <c r="O61" t="s">
        <v>3987</v>
      </c>
    </row>
    <row r="62" spans="1:15" x14ac:dyDescent="0.25">
      <c r="A62" t="s">
        <v>564</v>
      </c>
      <c r="B62" t="s">
        <v>28</v>
      </c>
      <c r="C62" t="s">
        <v>3988</v>
      </c>
      <c r="D62" t="s">
        <v>3989</v>
      </c>
      <c r="E62" t="s">
        <v>3990</v>
      </c>
      <c r="F62" t="s">
        <v>3991</v>
      </c>
      <c r="G62" t="s">
        <v>3992</v>
      </c>
      <c r="I62" t="s">
        <v>3993</v>
      </c>
      <c r="J62" t="s">
        <v>3994</v>
      </c>
      <c r="K62" t="s">
        <v>3995</v>
      </c>
      <c r="L62">
        <v>483597</v>
      </c>
      <c r="M62">
        <v>6.7999999999999996E-3</v>
      </c>
      <c r="N62" t="s">
        <v>320</v>
      </c>
      <c r="O62" t="s">
        <v>3996</v>
      </c>
    </row>
    <row r="63" spans="1:15" x14ac:dyDescent="0.25">
      <c r="A63" t="s">
        <v>564</v>
      </c>
      <c r="B63" t="s">
        <v>28</v>
      </c>
      <c r="C63" t="s">
        <v>3997</v>
      </c>
      <c r="D63" t="s">
        <v>3998</v>
      </c>
      <c r="E63" t="s">
        <v>3999</v>
      </c>
      <c r="F63" t="s">
        <v>4000</v>
      </c>
      <c r="G63" t="s">
        <v>4001</v>
      </c>
      <c r="H63" t="s">
        <v>3564</v>
      </c>
      <c r="I63" t="s">
        <v>4002</v>
      </c>
      <c r="J63" t="s">
        <v>3525</v>
      </c>
      <c r="K63" t="s">
        <v>4003</v>
      </c>
      <c r="L63">
        <v>397750</v>
      </c>
      <c r="M63">
        <v>5.0000000000000001E-3</v>
      </c>
      <c r="N63" t="s">
        <v>320</v>
      </c>
      <c r="O63" t="s">
        <v>4004</v>
      </c>
    </row>
    <row r="64" spans="1:15" x14ac:dyDescent="0.25">
      <c r="A64" t="s">
        <v>564</v>
      </c>
      <c r="B64" t="s">
        <v>28</v>
      </c>
      <c r="C64" t="s">
        <v>148</v>
      </c>
      <c r="D64" t="s">
        <v>3612</v>
      </c>
      <c r="E64" t="s">
        <v>4005</v>
      </c>
      <c r="F64" t="s">
        <v>4006</v>
      </c>
      <c r="G64" t="s">
        <v>4007</v>
      </c>
      <c r="H64" t="s">
        <v>3564</v>
      </c>
      <c r="I64" t="s">
        <v>4008</v>
      </c>
      <c r="J64" t="s">
        <v>4009</v>
      </c>
      <c r="K64" t="s">
        <v>4010</v>
      </c>
      <c r="L64">
        <v>332471</v>
      </c>
      <c r="M64">
        <v>1.2699999999999999E-2</v>
      </c>
      <c r="N64" t="s">
        <v>320</v>
      </c>
      <c r="O64" t="s">
        <v>4011</v>
      </c>
    </row>
    <row r="65" spans="1:15" x14ac:dyDescent="0.25">
      <c r="A65" t="s">
        <v>564</v>
      </c>
      <c r="B65" t="s">
        <v>28</v>
      </c>
      <c r="C65" t="s">
        <v>4012</v>
      </c>
      <c r="D65" t="s">
        <v>4013</v>
      </c>
      <c r="E65" t="s">
        <v>4014</v>
      </c>
      <c r="F65" t="s">
        <v>4015</v>
      </c>
      <c r="G65" t="s">
        <v>4016</v>
      </c>
      <c r="H65" t="s">
        <v>3140</v>
      </c>
      <c r="I65" t="s">
        <v>4017</v>
      </c>
      <c r="J65" t="s">
        <v>4018</v>
      </c>
      <c r="K65" t="s">
        <v>4019</v>
      </c>
      <c r="L65">
        <v>286242</v>
      </c>
      <c r="M65">
        <v>2.06E-2</v>
      </c>
      <c r="N65" t="s">
        <v>320</v>
      </c>
      <c r="O65" t="s">
        <v>4020</v>
      </c>
    </row>
    <row r="66" spans="1:15" x14ac:dyDescent="0.25">
      <c r="A66" t="s">
        <v>564</v>
      </c>
      <c r="B66" t="s">
        <v>28</v>
      </c>
      <c r="C66" t="s">
        <v>4021</v>
      </c>
      <c r="D66" t="s">
        <v>4022</v>
      </c>
      <c r="E66" t="s">
        <v>4023</v>
      </c>
      <c r="F66" t="s">
        <v>4024</v>
      </c>
      <c r="G66" t="s">
        <v>4025</v>
      </c>
      <c r="I66" t="s">
        <v>4026</v>
      </c>
      <c r="J66" t="s">
        <v>4027</v>
      </c>
      <c r="K66" t="s">
        <v>3807</v>
      </c>
      <c r="L66">
        <v>245940</v>
      </c>
      <c r="M66">
        <v>1.5800000000000002E-2</v>
      </c>
      <c r="N66" t="s">
        <v>320</v>
      </c>
      <c r="O66" t="s">
        <v>4028</v>
      </c>
    </row>
    <row r="67" spans="1:15" x14ac:dyDescent="0.25">
      <c r="A67" t="s">
        <v>564</v>
      </c>
      <c r="B67" t="s">
        <v>28</v>
      </c>
      <c r="C67" t="s">
        <v>146</v>
      </c>
      <c r="D67" t="s">
        <v>3699</v>
      </c>
      <c r="E67" t="s">
        <v>4029</v>
      </c>
      <c r="F67" t="s">
        <v>4030</v>
      </c>
      <c r="G67" t="s">
        <v>4031</v>
      </c>
      <c r="H67" t="s">
        <v>3564</v>
      </c>
      <c r="I67" t="s">
        <v>4032</v>
      </c>
      <c r="J67" t="s">
        <v>4033</v>
      </c>
      <c r="K67" t="s">
        <v>3839</v>
      </c>
      <c r="L67">
        <v>215809</v>
      </c>
      <c r="M67">
        <v>4.1999999999999997E-3</v>
      </c>
      <c r="N67" t="s">
        <v>322</v>
      </c>
      <c r="O67" t="s">
        <v>4034</v>
      </c>
    </row>
    <row r="68" spans="1:15" x14ac:dyDescent="0.25">
      <c r="A68" t="s">
        <v>564</v>
      </c>
      <c r="B68" t="s">
        <v>28</v>
      </c>
      <c r="C68" t="s">
        <v>3988</v>
      </c>
      <c r="D68" t="s">
        <v>3989</v>
      </c>
      <c r="E68" t="s">
        <v>4035</v>
      </c>
      <c r="F68" t="s">
        <v>4036</v>
      </c>
      <c r="G68" t="s">
        <v>4037</v>
      </c>
      <c r="I68" t="s">
        <v>4038</v>
      </c>
      <c r="J68" t="s">
        <v>4039</v>
      </c>
      <c r="K68" t="s">
        <v>4040</v>
      </c>
      <c r="L68">
        <v>191873</v>
      </c>
      <c r="M68">
        <v>3.2000000000000002E-3</v>
      </c>
      <c r="N68" t="s">
        <v>320</v>
      </c>
      <c r="O68" t="s">
        <v>4041</v>
      </c>
    </row>
    <row r="69" spans="1:15" x14ac:dyDescent="0.25">
      <c r="A69" t="s">
        <v>564</v>
      </c>
      <c r="B69" t="s">
        <v>28</v>
      </c>
      <c r="C69" t="s">
        <v>4042</v>
      </c>
      <c r="D69" t="s">
        <v>4043</v>
      </c>
      <c r="E69" t="s">
        <v>4044</v>
      </c>
      <c r="F69" t="s">
        <v>4045</v>
      </c>
      <c r="G69" t="s">
        <v>4046</v>
      </c>
      <c r="H69" t="s">
        <v>3564</v>
      </c>
      <c r="I69" t="s">
        <v>4047</v>
      </c>
      <c r="J69" t="s">
        <v>4048</v>
      </c>
      <c r="K69" t="s">
        <v>3617</v>
      </c>
      <c r="L69">
        <v>176004</v>
      </c>
      <c r="M69">
        <v>1.3599999999999999E-2</v>
      </c>
      <c r="N69" t="s">
        <v>320</v>
      </c>
      <c r="O69" t="s">
        <v>4049</v>
      </c>
    </row>
    <row r="70" spans="1:15" x14ac:dyDescent="0.25">
      <c r="A70" t="s">
        <v>564</v>
      </c>
      <c r="B70" t="s">
        <v>28</v>
      </c>
      <c r="C70" t="s">
        <v>3756</v>
      </c>
      <c r="D70" t="s">
        <v>3757</v>
      </c>
      <c r="E70" t="s">
        <v>4050</v>
      </c>
      <c r="F70" t="s">
        <v>4051</v>
      </c>
      <c r="G70" t="s">
        <v>4052</v>
      </c>
      <c r="I70" t="s">
        <v>4053</v>
      </c>
      <c r="J70" t="s">
        <v>4054</v>
      </c>
      <c r="K70" t="s">
        <v>4055</v>
      </c>
      <c r="L70">
        <v>166068</v>
      </c>
      <c r="M70">
        <v>8.8999999999999999E-3</v>
      </c>
      <c r="N70" t="s">
        <v>322</v>
      </c>
      <c r="O70" t="s">
        <v>4056</v>
      </c>
    </row>
    <row r="71" spans="1:15" x14ac:dyDescent="0.25">
      <c r="A71" t="s">
        <v>564</v>
      </c>
      <c r="B71" t="s">
        <v>28</v>
      </c>
      <c r="C71" t="s">
        <v>4057</v>
      </c>
      <c r="D71" t="s">
        <v>4058</v>
      </c>
      <c r="E71" t="s">
        <v>4059</v>
      </c>
      <c r="F71" t="s">
        <v>4060</v>
      </c>
      <c r="G71" t="s">
        <v>4061</v>
      </c>
      <c r="H71" t="s">
        <v>3141</v>
      </c>
      <c r="I71" t="s">
        <v>4062</v>
      </c>
      <c r="J71" t="s">
        <v>4063</v>
      </c>
      <c r="K71" t="s">
        <v>132</v>
      </c>
      <c r="L71">
        <v>156033</v>
      </c>
      <c r="M71">
        <v>7.6E-3</v>
      </c>
      <c r="N71" t="s">
        <v>3517</v>
      </c>
      <c r="O71" t="s">
        <v>4064</v>
      </c>
    </row>
    <row r="72" spans="1:15" x14ac:dyDescent="0.25">
      <c r="A72" t="s">
        <v>564</v>
      </c>
      <c r="B72" t="s">
        <v>28</v>
      </c>
      <c r="C72" t="s">
        <v>4065</v>
      </c>
      <c r="D72" t="s">
        <v>4066</v>
      </c>
      <c r="E72" t="s">
        <v>4067</v>
      </c>
      <c r="F72" t="s">
        <v>4068</v>
      </c>
      <c r="G72" t="s">
        <v>4069</v>
      </c>
      <c r="I72" t="s">
        <v>4070</v>
      </c>
      <c r="J72" t="s">
        <v>4071</v>
      </c>
      <c r="K72" t="s">
        <v>132</v>
      </c>
      <c r="L72">
        <v>141348</v>
      </c>
      <c r="M72">
        <v>1.7600000000000001E-2</v>
      </c>
      <c r="N72" t="s">
        <v>320</v>
      </c>
      <c r="O72" t="s">
        <v>4072</v>
      </c>
    </row>
    <row r="73" spans="1:15" x14ac:dyDescent="0.25">
      <c r="A73" t="s">
        <v>564</v>
      </c>
      <c r="B73" t="s">
        <v>28</v>
      </c>
      <c r="C73" t="s">
        <v>4021</v>
      </c>
      <c r="D73" t="s">
        <v>4022</v>
      </c>
      <c r="E73" t="s">
        <v>4073</v>
      </c>
      <c r="F73" t="s">
        <v>4074</v>
      </c>
      <c r="G73" t="s">
        <v>4075</v>
      </c>
      <c r="I73" t="s">
        <v>4076</v>
      </c>
      <c r="J73" t="s">
        <v>4077</v>
      </c>
      <c r="K73" t="s">
        <v>4078</v>
      </c>
      <c r="L73">
        <v>135832</v>
      </c>
      <c r="M73">
        <v>1.4200000000000001E-2</v>
      </c>
      <c r="N73" t="s">
        <v>322</v>
      </c>
      <c r="O73" t="s">
        <v>4079</v>
      </c>
    </row>
    <row r="74" spans="1:15" x14ac:dyDescent="0.25">
      <c r="A74" t="s">
        <v>564</v>
      </c>
      <c r="B74" t="s">
        <v>28</v>
      </c>
      <c r="C74" t="s">
        <v>4080</v>
      </c>
      <c r="D74" t="s">
        <v>4081</v>
      </c>
      <c r="E74" t="s">
        <v>4082</v>
      </c>
      <c r="F74" t="s">
        <v>4083</v>
      </c>
      <c r="G74" t="s">
        <v>4084</v>
      </c>
      <c r="I74" t="s">
        <v>4085</v>
      </c>
      <c r="J74" t="s">
        <v>4086</v>
      </c>
      <c r="K74" t="s">
        <v>4087</v>
      </c>
      <c r="L74">
        <v>128218</v>
      </c>
      <c r="M74">
        <v>4.0999999999999986E-3</v>
      </c>
      <c r="N74" t="s">
        <v>322</v>
      </c>
      <c r="O74" t="s">
        <v>4088</v>
      </c>
    </row>
    <row r="75" spans="1:15" x14ac:dyDescent="0.25">
      <c r="A75" t="s">
        <v>564</v>
      </c>
      <c r="B75" t="s">
        <v>28</v>
      </c>
      <c r="C75" t="s">
        <v>4089</v>
      </c>
      <c r="D75" t="s">
        <v>4090</v>
      </c>
      <c r="E75" t="s">
        <v>4091</v>
      </c>
      <c r="F75" t="s">
        <v>4092</v>
      </c>
      <c r="G75" t="s">
        <v>4093</v>
      </c>
      <c r="H75" t="s">
        <v>3642</v>
      </c>
      <c r="I75" t="s">
        <v>4094</v>
      </c>
      <c r="J75" t="s">
        <v>4095</v>
      </c>
      <c r="K75" t="s">
        <v>132</v>
      </c>
      <c r="L75">
        <v>119040</v>
      </c>
      <c r="M75">
        <v>4.5000000000000014E-3</v>
      </c>
      <c r="N75" t="s">
        <v>320</v>
      </c>
      <c r="O75" t="s">
        <v>4096</v>
      </c>
    </row>
    <row r="76" spans="1:15" x14ac:dyDescent="0.25">
      <c r="A76" t="s">
        <v>564</v>
      </c>
      <c r="B76" t="s">
        <v>28</v>
      </c>
      <c r="C76" t="s">
        <v>146</v>
      </c>
      <c r="D76" t="s">
        <v>3699</v>
      </c>
      <c r="E76" t="s">
        <v>4097</v>
      </c>
      <c r="F76" t="s">
        <v>4098</v>
      </c>
      <c r="G76" t="s">
        <v>4099</v>
      </c>
      <c r="H76" t="s">
        <v>3564</v>
      </c>
      <c r="I76" t="s">
        <v>4100</v>
      </c>
      <c r="J76" t="s">
        <v>4101</v>
      </c>
      <c r="K76" t="s">
        <v>4018</v>
      </c>
      <c r="L76">
        <v>111054</v>
      </c>
      <c r="M76">
        <v>1.2999999999999999E-3</v>
      </c>
      <c r="N76" t="s">
        <v>320</v>
      </c>
      <c r="O76" t="s">
        <v>4102</v>
      </c>
    </row>
    <row r="77" spans="1:15" x14ac:dyDescent="0.25">
      <c r="A77" t="s">
        <v>564</v>
      </c>
      <c r="B77" t="s">
        <v>28</v>
      </c>
      <c r="C77" t="s">
        <v>146</v>
      </c>
      <c r="D77" t="s">
        <v>3699</v>
      </c>
      <c r="E77" t="s">
        <v>4103</v>
      </c>
      <c r="F77" t="s">
        <v>4104</v>
      </c>
      <c r="G77" t="s">
        <v>4105</v>
      </c>
      <c r="I77" t="s">
        <v>4106</v>
      </c>
      <c r="J77" t="s">
        <v>4107</v>
      </c>
      <c r="K77" t="s">
        <v>4108</v>
      </c>
      <c r="L77">
        <v>108204</v>
      </c>
      <c r="M77">
        <v>1.49E-2</v>
      </c>
      <c r="N77" t="s">
        <v>320</v>
      </c>
      <c r="O77" t="s">
        <v>4109</v>
      </c>
    </row>
    <row r="78" spans="1:15" x14ac:dyDescent="0.25">
      <c r="A78" t="s">
        <v>564</v>
      </c>
      <c r="B78" t="s">
        <v>28</v>
      </c>
      <c r="C78" t="s">
        <v>4110</v>
      </c>
      <c r="D78" t="s">
        <v>4111</v>
      </c>
      <c r="E78" t="s">
        <v>4112</v>
      </c>
      <c r="F78" t="s">
        <v>4113</v>
      </c>
      <c r="G78" t="s">
        <v>4114</v>
      </c>
      <c r="H78" t="s">
        <v>3140</v>
      </c>
      <c r="I78" t="s">
        <v>4115</v>
      </c>
      <c r="J78" t="s">
        <v>4116</v>
      </c>
      <c r="K78" t="s">
        <v>132</v>
      </c>
      <c r="L78">
        <v>104630</v>
      </c>
      <c r="M78">
        <v>1.7500000000000002E-2</v>
      </c>
      <c r="N78" t="s">
        <v>320</v>
      </c>
      <c r="O78" t="s">
        <v>4117</v>
      </c>
    </row>
    <row r="79" spans="1:15" x14ac:dyDescent="0.25">
      <c r="A79" t="s">
        <v>564</v>
      </c>
      <c r="B79" t="s">
        <v>30</v>
      </c>
      <c r="C79" t="s">
        <v>391</v>
      </c>
      <c r="D79" t="s">
        <v>4118</v>
      </c>
      <c r="E79" t="s">
        <v>4119</v>
      </c>
      <c r="F79" t="s">
        <v>4120</v>
      </c>
      <c r="G79" t="s">
        <v>4121</v>
      </c>
      <c r="I79" t="s">
        <v>4122</v>
      </c>
      <c r="J79" t="s">
        <v>3141</v>
      </c>
      <c r="K79" t="s">
        <v>4123</v>
      </c>
      <c r="L79">
        <v>685167</v>
      </c>
      <c r="M79">
        <v>0.12809999999999999</v>
      </c>
      <c r="N79" t="s">
        <v>3517</v>
      </c>
      <c r="O79" t="s">
        <v>4124</v>
      </c>
    </row>
    <row r="80" spans="1:15" x14ac:dyDescent="0.25">
      <c r="A80" t="s">
        <v>564</v>
      </c>
      <c r="B80" t="s">
        <v>28</v>
      </c>
      <c r="C80" t="s">
        <v>4125</v>
      </c>
      <c r="D80" t="s">
        <v>4126</v>
      </c>
      <c r="E80" t="s">
        <v>4127</v>
      </c>
      <c r="F80" t="s">
        <v>4128</v>
      </c>
      <c r="G80" t="s">
        <v>4129</v>
      </c>
      <c r="H80" t="s">
        <v>3564</v>
      </c>
      <c r="I80" t="s">
        <v>4130</v>
      </c>
      <c r="J80" t="s">
        <v>4131</v>
      </c>
      <c r="K80" t="s">
        <v>4132</v>
      </c>
      <c r="L80">
        <v>1543414</v>
      </c>
      <c r="M80">
        <v>3.0000000000000001E-3</v>
      </c>
      <c r="N80" t="s">
        <v>320</v>
      </c>
      <c r="O80" t="s">
        <v>4133</v>
      </c>
    </row>
    <row r="81" spans="1:15" x14ac:dyDescent="0.25">
      <c r="A81" t="s">
        <v>564</v>
      </c>
      <c r="B81" t="s">
        <v>28</v>
      </c>
      <c r="C81" t="s">
        <v>4134</v>
      </c>
      <c r="D81" t="s">
        <v>4135</v>
      </c>
      <c r="E81" t="s">
        <v>4136</v>
      </c>
      <c r="F81" t="s">
        <v>4137</v>
      </c>
      <c r="G81" t="s">
        <v>4138</v>
      </c>
      <c r="I81" t="s">
        <v>4139</v>
      </c>
      <c r="J81" t="s">
        <v>3601</v>
      </c>
      <c r="K81" t="s">
        <v>4087</v>
      </c>
      <c r="L81">
        <v>931172</v>
      </c>
      <c r="M81">
        <v>8.3000000000000001E-3</v>
      </c>
      <c r="N81" t="s">
        <v>3517</v>
      </c>
      <c r="O81" t="s">
        <v>4140</v>
      </c>
    </row>
    <row r="82" spans="1:15" x14ac:dyDescent="0.25">
      <c r="A82" t="s">
        <v>564</v>
      </c>
      <c r="B82" t="s">
        <v>28</v>
      </c>
      <c r="C82" t="s">
        <v>3842</v>
      </c>
      <c r="D82" t="s">
        <v>3843</v>
      </c>
      <c r="E82" t="s">
        <v>4141</v>
      </c>
      <c r="F82" t="s">
        <v>4142</v>
      </c>
      <c r="G82" t="s">
        <v>4143</v>
      </c>
      <c r="I82" t="s">
        <v>4144</v>
      </c>
      <c r="J82" t="s">
        <v>3635</v>
      </c>
      <c r="K82" t="s">
        <v>4145</v>
      </c>
      <c r="L82">
        <v>587149</v>
      </c>
      <c r="M82">
        <v>2.4400000000000002E-2</v>
      </c>
      <c r="N82" t="s">
        <v>322</v>
      </c>
      <c r="O82" t="s">
        <v>4146</v>
      </c>
    </row>
    <row r="83" spans="1:15" x14ac:dyDescent="0.25">
      <c r="A83" t="s">
        <v>564</v>
      </c>
      <c r="B83" t="s">
        <v>28</v>
      </c>
      <c r="C83" t="s">
        <v>3824</v>
      </c>
      <c r="D83" t="s">
        <v>3825</v>
      </c>
      <c r="E83" t="s">
        <v>4147</v>
      </c>
      <c r="F83" t="s">
        <v>4148</v>
      </c>
      <c r="G83" t="s">
        <v>4149</v>
      </c>
      <c r="H83" t="s">
        <v>3140</v>
      </c>
      <c r="I83" t="s">
        <v>4150</v>
      </c>
      <c r="J83" t="s">
        <v>4151</v>
      </c>
      <c r="K83" t="s">
        <v>4152</v>
      </c>
      <c r="L83">
        <v>481054</v>
      </c>
      <c r="M83">
        <v>1.3899999999999999E-2</v>
      </c>
      <c r="N83" t="s">
        <v>322</v>
      </c>
      <c r="O83" t="s">
        <v>4153</v>
      </c>
    </row>
    <row r="84" spans="1:15" x14ac:dyDescent="0.25">
      <c r="A84" t="s">
        <v>564</v>
      </c>
      <c r="B84" t="s">
        <v>28</v>
      </c>
      <c r="C84" t="s">
        <v>4154</v>
      </c>
      <c r="D84" t="s">
        <v>4155</v>
      </c>
      <c r="E84" t="s">
        <v>4156</v>
      </c>
      <c r="F84" t="s">
        <v>4157</v>
      </c>
      <c r="G84" t="s">
        <v>4158</v>
      </c>
      <c r="H84" t="s">
        <v>3564</v>
      </c>
      <c r="I84" t="s">
        <v>4159</v>
      </c>
      <c r="J84" t="s">
        <v>3953</v>
      </c>
      <c r="K84" t="s">
        <v>4131</v>
      </c>
      <c r="L84">
        <v>396168</v>
      </c>
      <c r="M84">
        <v>8.0000000000000002E-3</v>
      </c>
      <c r="N84" t="s">
        <v>320</v>
      </c>
      <c r="O84" t="s">
        <v>4160</v>
      </c>
    </row>
    <row r="85" spans="1:15" x14ac:dyDescent="0.25">
      <c r="A85" t="s">
        <v>564</v>
      </c>
      <c r="B85" t="s">
        <v>28</v>
      </c>
      <c r="C85" t="s">
        <v>4161</v>
      </c>
      <c r="D85" t="s">
        <v>4162</v>
      </c>
      <c r="E85" t="s">
        <v>4163</v>
      </c>
      <c r="F85" t="s">
        <v>4164</v>
      </c>
      <c r="G85" t="s">
        <v>4165</v>
      </c>
      <c r="I85" t="s">
        <v>4166</v>
      </c>
      <c r="J85" t="s">
        <v>4167</v>
      </c>
      <c r="K85" t="s">
        <v>4168</v>
      </c>
      <c r="L85">
        <v>332213</v>
      </c>
      <c r="M85">
        <v>9.7000000000000003E-3</v>
      </c>
      <c r="N85" t="s">
        <v>322</v>
      </c>
      <c r="O85" t="s">
        <v>4169</v>
      </c>
    </row>
    <row r="86" spans="1:15" x14ac:dyDescent="0.25">
      <c r="A86" t="s">
        <v>564</v>
      </c>
      <c r="B86" t="s">
        <v>28</v>
      </c>
      <c r="C86" t="s">
        <v>3851</v>
      </c>
      <c r="D86" t="s">
        <v>3852</v>
      </c>
      <c r="E86" t="s">
        <v>4170</v>
      </c>
      <c r="F86" t="s">
        <v>4171</v>
      </c>
      <c r="G86" t="s">
        <v>4172</v>
      </c>
      <c r="I86" t="s">
        <v>4173</v>
      </c>
      <c r="J86" t="s">
        <v>4174</v>
      </c>
      <c r="K86" t="s">
        <v>4145</v>
      </c>
      <c r="L86">
        <v>284507</v>
      </c>
      <c r="M86">
        <v>1.3599999999999999E-2</v>
      </c>
      <c r="N86" t="s">
        <v>3577</v>
      </c>
      <c r="O86" t="s">
        <v>4175</v>
      </c>
    </row>
    <row r="87" spans="1:15" x14ac:dyDescent="0.25">
      <c r="A87" t="s">
        <v>564</v>
      </c>
      <c r="B87" t="s">
        <v>28</v>
      </c>
      <c r="C87" t="s">
        <v>4065</v>
      </c>
      <c r="D87" t="s">
        <v>4066</v>
      </c>
      <c r="E87" t="s">
        <v>4176</v>
      </c>
      <c r="F87" t="s">
        <v>4177</v>
      </c>
      <c r="G87" t="s">
        <v>4178</v>
      </c>
      <c r="I87" t="s">
        <v>4179</v>
      </c>
      <c r="J87" t="s">
        <v>4180</v>
      </c>
      <c r="K87" t="s">
        <v>3831</v>
      </c>
      <c r="L87">
        <v>243663</v>
      </c>
      <c r="M87">
        <v>9.8999999999999991E-3</v>
      </c>
      <c r="N87" t="s">
        <v>322</v>
      </c>
      <c r="O87" t="s">
        <v>4181</v>
      </c>
    </row>
    <row r="88" spans="1:15" x14ac:dyDescent="0.25">
      <c r="A88" t="s">
        <v>564</v>
      </c>
      <c r="B88" t="s">
        <v>28</v>
      </c>
      <c r="C88" t="s">
        <v>155</v>
      </c>
      <c r="D88" t="s">
        <v>3560</v>
      </c>
      <c r="E88" t="s">
        <v>4182</v>
      </c>
      <c r="F88" t="s">
        <v>4183</v>
      </c>
      <c r="G88" t="s">
        <v>4184</v>
      </c>
      <c r="I88" t="s">
        <v>4185</v>
      </c>
      <c r="J88" t="s">
        <v>4186</v>
      </c>
      <c r="K88" t="s">
        <v>4187</v>
      </c>
      <c r="L88">
        <v>211472</v>
      </c>
      <c r="M88">
        <v>2.2000000000000001E-3</v>
      </c>
      <c r="N88" t="s">
        <v>322</v>
      </c>
      <c r="O88" t="s">
        <v>4188</v>
      </c>
    </row>
    <row r="89" spans="1:15" x14ac:dyDescent="0.25">
      <c r="A89" t="s">
        <v>564</v>
      </c>
      <c r="B89" t="s">
        <v>28</v>
      </c>
      <c r="C89" t="s">
        <v>4189</v>
      </c>
      <c r="D89" t="s">
        <v>4190</v>
      </c>
      <c r="E89" t="s">
        <v>4191</v>
      </c>
      <c r="F89" t="s">
        <v>4192</v>
      </c>
      <c r="G89" t="s">
        <v>4193</v>
      </c>
      <c r="I89" t="s">
        <v>4194</v>
      </c>
      <c r="J89" t="s">
        <v>4195</v>
      </c>
      <c r="K89" t="s">
        <v>132</v>
      </c>
      <c r="L89">
        <v>191717</v>
      </c>
      <c r="M89">
        <v>1.4800000000000001E-2</v>
      </c>
      <c r="N89" t="s">
        <v>3517</v>
      </c>
      <c r="O89" t="s">
        <v>4196</v>
      </c>
    </row>
    <row r="90" spans="1:15" x14ac:dyDescent="0.25">
      <c r="A90" t="s">
        <v>564</v>
      </c>
      <c r="B90" t="s">
        <v>28</v>
      </c>
      <c r="C90" t="s">
        <v>146</v>
      </c>
      <c r="D90" t="s">
        <v>3699</v>
      </c>
      <c r="E90" t="s">
        <v>4197</v>
      </c>
      <c r="F90" t="s">
        <v>4198</v>
      </c>
      <c r="G90" t="s">
        <v>4199</v>
      </c>
      <c r="H90" t="s">
        <v>3564</v>
      </c>
      <c r="I90" t="s">
        <v>4200</v>
      </c>
      <c r="J90" t="s">
        <v>4201</v>
      </c>
      <c r="K90" t="s">
        <v>3601</v>
      </c>
      <c r="L90">
        <v>175728</v>
      </c>
      <c r="M90">
        <v>2.5000000000000001E-3</v>
      </c>
      <c r="N90" t="s">
        <v>320</v>
      </c>
      <c r="O90" t="s">
        <v>4202</v>
      </c>
    </row>
    <row r="91" spans="1:15" x14ac:dyDescent="0.25">
      <c r="A91" t="s">
        <v>564</v>
      </c>
      <c r="B91" t="s">
        <v>28</v>
      </c>
      <c r="C91" t="s">
        <v>4065</v>
      </c>
      <c r="D91" t="s">
        <v>4066</v>
      </c>
      <c r="E91" t="s">
        <v>4203</v>
      </c>
      <c r="F91" t="s">
        <v>4204</v>
      </c>
      <c r="G91" t="s">
        <v>4205</v>
      </c>
      <c r="I91" t="s">
        <v>4206</v>
      </c>
      <c r="J91" t="s">
        <v>4207</v>
      </c>
      <c r="K91" t="s">
        <v>4208</v>
      </c>
      <c r="L91">
        <v>165731</v>
      </c>
      <c r="M91">
        <v>1.5599999999999999E-2</v>
      </c>
      <c r="N91" t="s">
        <v>322</v>
      </c>
      <c r="O91" t="s">
        <v>4209</v>
      </c>
    </row>
    <row r="92" spans="1:15" x14ac:dyDescent="0.25">
      <c r="A92" t="s">
        <v>564</v>
      </c>
      <c r="B92" t="s">
        <v>28</v>
      </c>
      <c r="C92" t="s">
        <v>4210</v>
      </c>
      <c r="D92" t="s">
        <v>4211</v>
      </c>
      <c r="E92" t="s">
        <v>4212</v>
      </c>
      <c r="F92" t="s">
        <v>4213</v>
      </c>
      <c r="G92" t="s">
        <v>4214</v>
      </c>
      <c r="H92" t="s">
        <v>3140</v>
      </c>
      <c r="I92" t="s">
        <v>4215</v>
      </c>
      <c r="J92" t="s">
        <v>4216</v>
      </c>
      <c r="K92" t="s">
        <v>132</v>
      </c>
      <c r="L92">
        <v>155631</v>
      </c>
      <c r="M92">
        <v>0.115</v>
      </c>
      <c r="N92" t="s">
        <v>320</v>
      </c>
      <c r="O92" t="s">
        <v>4217</v>
      </c>
    </row>
    <row r="93" spans="1:15" x14ac:dyDescent="0.25">
      <c r="A93" t="s">
        <v>564</v>
      </c>
      <c r="B93" t="s">
        <v>28</v>
      </c>
      <c r="C93" t="s">
        <v>4218</v>
      </c>
      <c r="D93" t="s">
        <v>4219</v>
      </c>
      <c r="E93" t="s">
        <v>4220</v>
      </c>
      <c r="F93" t="s">
        <v>4221</v>
      </c>
      <c r="G93" t="s">
        <v>4222</v>
      </c>
      <c r="I93" t="s">
        <v>4223</v>
      </c>
      <c r="J93" t="s">
        <v>4224</v>
      </c>
      <c r="K93" t="s">
        <v>132</v>
      </c>
      <c r="L93">
        <v>140634</v>
      </c>
      <c r="M93">
        <v>1.29E-2</v>
      </c>
      <c r="N93" t="s">
        <v>322</v>
      </c>
      <c r="O93" t="s">
        <v>4225</v>
      </c>
    </row>
    <row r="94" spans="1:15" x14ac:dyDescent="0.25">
      <c r="A94" t="s">
        <v>564</v>
      </c>
      <c r="B94" t="s">
        <v>28</v>
      </c>
      <c r="C94" t="s">
        <v>4226</v>
      </c>
      <c r="D94" t="s">
        <v>4227</v>
      </c>
      <c r="E94" t="s">
        <v>4228</v>
      </c>
      <c r="F94" t="s">
        <v>4229</v>
      </c>
      <c r="G94" t="s">
        <v>4230</v>
      </c>
      <c r="H94" t="s">
        <v>3564</v>
      </c>
      <c r="I94" t="s">
        <v>4231</v>
      </c>
      <c r="J94" t="s">
        <v>4232</v>
      </c>
      <c r="K94" t="s">
        <v>4233</v>
      </c>
      <c r="L94">
        <v>135785</v>
      </c>
      <c r="M94">
        <v>9.4999999999999998E-3</v>
      </c>
      <c r="N94" t="s">
        <v>320</v>
      </c>
      <c r="O94" t="s">
        <v>4234</v>
      </c>
    </row>
    <row r="95" spans="1:15" x14ac:dyDescent="0.25">
      <c r="A95" t="s">
        <v>564</v>
      </c>
      <c r="B95" t="s">
        <v>28</v>
      </c>
      <c r="C95" t="s">
        <v>150</v>
      </c>
      <c r="D95" t="s">
        <v>3964</v>
      </c>
      <c r="E95" t="s">
        <v>1351</v>
      </c>
      <c r="F95" t="s">
        <v>1350</v>
      </c>
      <c r="G95" t="s">
        <v>4235</v>
      </c>
      <c r="H95" t="s">
        <v>3564</v>
      </c>
      <c r="I95" t="s">
        <v>4236</v>
      </c>
      <c r="J95" t="s">
        <v>4237</v>
      </c>
      <c r="K95" t="s">
        <v>4238</v>
      </c>
      <c r="L95">
        <v>128163</v>
      </c>
      <c r="M95">
        <v>2.1899999999999999E-2</v>
      </c>
      <c r="N95" t="s">
        <v>3577</v>
      </c>
      <c r="O95" t="s">
        <v>1352</v>
      </c>
    </row>
    <row r="96" spans="1:15" x14ac:dyDescent="0.25">
      <c r="A96" t="s">
        <v>564</v>
      </c>
      <c r="B96" t="s">
        <v>28</v>
      </c>
      <c r="C96" t="s">
        <v>4239</v>
      </c>
      <c r="D96" t="s">
        <v>4240</v>
      </c>
      <c r="E96" t="s">
        <v>4241</v>
      </c>
      <c r="F96" t="s">
        <v>4242</v>
      </c>
      <c r="G96" t="s">
        <v>4243</v>
      </c>
      <c r="H96" t="s">
        <v>3141</v>
      </c>
      <c r="I96" t="s">
        <v>4244</v>
      </c>
      <c r="J96" t="s">
        <v>4245</v>
      </c>
      <c r="K96" t="s">
        <v>132</v>
      </c>
      <c r="L96">
        <v>118838</v>
      </c>
      <c r="M96">
        <v>1.21E-2</v>
      </c>
      <c r="N96" t="s">
        <v>322</v>
      </c>
      <c r="O96" t="s">
        <v>4246</v>
      </c>
    </row>
    <row r="97" spans="1:15" x14ac:dyDescent="0.25">
      <c r="A97" t="s">
        <v>564</v>
      </c>
      <c r="B97" t="s">
        <v>28</v>
      </c>
      <c r="C97" t="s">
        <v>4247</v>
      </c>
      <c r="D97" t="s">
        <v>4248</v>
      </c>
      <c r="E97" t="s">
        <v>4249</v>
      </c>
      <c r="F97" t="s">
        <v>4250</v>
      </c>
      <c r="G97" t="s">
        <v>4251</v>
      </c>
      <c r="H97" t="s">
        <v>3564</v>
      </c>
      <c r="I97" t="s">
        <v>4252</v>
      </c>
      <c r="J97" t="s">
        <v>4253</v>
      </c>
      <c r="K97" t="s">
        <v>3541</v>
      </c>
      <c r="L97">
        <v>110688</v>
      </c>
      <c r="M97">
        <v>2.5999999999999999E-3</v>
      </c>
      <c r="N97" t="s">
        <v>320</v>
      </c>
      <c r="O97" t="s">
        <v>4254</v>
      </c>
    </row>
    <row r="98" spans="1:15" x14ac:dyDescent="0.25">
      <c r="A98" t="s">
        <v>564</v>
      </c>
      <c r="B98" t="s">
        <v>28</v>
      </c>
      <c r="C98" t="s">
        <v>3603</v>
      </c>
      <c r="D98" t="s">
        <v>3604</v>
      </c>
      <c r="E98" t="s">
        <v>4255</v>
      </c>
      <c r="F98" t="s">
        <v>4256</v>
      </c>
      <c r="G98" t="s">
        <v>4257</v>
      </c>
      <c r="H98" t="s">
        <v>3140</v>
      </c>
      <c r="I98" t="s">
        <v>4258</v>
      </c>
      <c r="J98" t="s">
        <v>4259</v>
      </c>
      <c r="K98" t="s">
        <v>132</v>
      </c>
      <c r="L98">
        <v>108159</v>
      </c>
      <c r="M98">
        <v>1.32E-2</v>
      </c>
      <c r="N98" t="s">
        <v>322</v>
      </c>
      <c r="O98" t="s">
        <v>4260</v>
      </c>
    </row>
    <row r="99" spans="1:15" x14ac:dyDescent="0.25">
      <c r="A99" t="s">
        <v>564</v>
      </c>
      <c r="B99" t="s">
        <v>28</v>
      </c>
      <c r="C99" t="s">
        <v>4261</v>
      </c>
      <c r="D99" t="s">
        <v>4262</v>
      </c>
      <c r="E99" t="s">
        <v>4263</v>
      </c>
      <c r="F99" t="s">
        <v>4264</v>
      </c>
      <c r="G99" t="s">
        <v>4265</v>
      </c>
      <c r="I99" t="s">
        <v>4266</v>
      </c>
      <c r="J99" t="s">
        <v>4267</v>
      </c>
      <c r="K99" t="s">
        <v>132</v>
      </c>
      <c r="L99">
        <v>104441</v>
      </c>
      <c r="M99">
        <v>1.72E-2</v>
      </c>
      <c r="N99" t="s">
        <v>320</v>
      </c>
      <c r="O99" t="s">
        <v>4268</v>
      </c>
    </row>
    <row r="100" spans="1:15" x14ac:dyDescent="0.25">
      <c r="A100" t="s">
        <v>564</v>
      </c>
      <c r="B100" t="s">
        <v>30</v>
      </c>
      <c r="C100" t="s">
        <v>392</v>
      </c>
      <c r="D100" t="s">
        <v>4269</v>
      </c>
      <c r="E100" t="s">
        <v>4270</v>
      </c>
      <c r="F100" t="s">
        <v>4271</v>
      </c>
      <c r="G100" t="s">
        <v>4272</v>
      </c>
      <c r="I100" t="s">
        <v>4273</v>
      </c>
      <c r="J100" t="s">
        <v>3142</v>
      </c>
      <c r="K100" t="s">
        <v>3594</v>
      </c>
      <c r="L100">
        <v>593691</v>
      </c>
      <c r="M100">
        <v>1.72E-2</v>
      </c>
      <c r="N100" t="s">
        <v>3517</v>
      </c>
      <c r="O100" t="s">
        <v>4274</v>
      </c>
    </row>
    <row r="101" spans="1:15" x14ac:dyDescent="0.25">
      <c r="A101" t="s">
        <v>564</v>
      </c>
      <c r="B101" t="s">
        <v>28</v>
      </c>
      <c r="C101" t="s">
        <v>146</v>
      </c>
      <c r="D101" t="s">
        <v>3699</v>
      </c>
      <c r="E101" t="s">
        <v>4275</v>
      </c>
      <c r="F101" t="s">
        <v>4276</v>
      </c>
      <c r="G101" t="s">
        <v>4277</v>
      </c>
      <c r="H101" t="s">
        <v>3564</v>
      </c>
      <c r="I101" t="s">
        <v>4278</v>
      </c>
      <c r="J101" t="s">
        <v>4279</v>
      </c>
      <c r="K101" t="s">
        <v>4280</v>
      </c>
      <c r="L101">
        <v>1449933</v>
      </c>
      <c r="M101">
        <v>2.5000000000000001E-3</v>
      </c>
      <c r="N101" t="s">
        <v>322</v>
      </c>
      <c r="O101" t="s">
        <v>4281</v>
      </c>
    </row>
    <row r="102" spans="1:15" x14ac:dyDescent="0.25">
      <c r="A102" t="s">
        <v>564</v>
      </c>
      <c r="B102" t="s">
        <v>28</v>
      </c>
      <c r="C102" t="s">
        <v>3579</v>
      </c>
      <c r="D102" t="s">
        <v>3580</v>
      </c>
      <c r="E102" t="s">
        <v>4282</v>
      </c>
      <c r="F102" t="s">
        <v>4283</v>
      </c>
      <c r="G102" t="s">
        <v>4284</v>
      </c>
      <c r="H102" t="s">
        <v>3564</v>
      </c>
      <c r="I102" t="s">
        <v>4285</v>
      </c>
      <c r="J102" t="s">
        <v>4286</v>
      </c>
      <c r="K102" t="s">
        <v>3143</v>
      </c>
      <c r="L102">
        <v>928626</v>
      </c>
      <c r="M102">
        <v>8.6E-3</v>
      </c>
      <c r="N102" t="s">
        <v>322</v>
      </c>
      <c r="O102" t="s">
        <v>4287</v>
      </c>
    </row>
    <row r="103" spans="1:15" x14ac:dyDescent="0.25">
      <c r="A103" t="s">
        <v>564</v>
      </c>
      <c r="B103" t="s">
        <v>28</v>
      </c>
      <c r="C103" t="s">
        <v>4288</v>
      </c>
      <c r="D103" t="s">
        <v>4289</v>
      </c>
      <c r="E103" t="s">
        <v>4290</v>
      </c>
      <c r="F103" t="s">
        <v>4291</v>
      </c>
      <c r="G103" t="s">
        <v>4292</v>
      </c>
      <c r="H103" t="s">
        <v>3564</v>
      </c>
      <c r="I103" t="s">
        <v>4293</v>
      </c>
      <c r="J103" t="s">
        <v>3873</v>
      </c>
      <c r="K103" t="s">
        <v>3142</v>
      </c>
      <c r="L103">
        <v>586159</v>
      </c>
      <c r="M103">
        <v>1.2200000000000001E-2</v>
      </c>
      <c r="N103" t="s">
        <v>322</v>
      </c>
      <c r="O103" t="s">
        <v>4294</v>
      </c>
    </row>
    <row r="104" spans="1:15" x14ac:dyDescent="0.25">
      <c r="A104" t="s">
        <v>564</v>
      </c>
      <c r="B104" t="s">
        <v>28</v>
      </c>
      <c r="C104" t="s">
        <v>3619</v>
      </c>
      <c r="D104" t="s">
        <v>3620</v>
      </c>
      <c r="E104" t="s">
        <v>4295</v>
      </c>
      <c r="F104" t="s">
        <v>4296</v>
      </c>
      <c r="G104" t="s">
        <v>4297</v>
      </c>
      <c r="I104" t="s">
        <v>4298</v>
      </c>
      <c r="J104" t="s">
        <v>4299</v>
      </c>
      <c r="K104" t="s">
        <v>4300</v>
      </c>
      <c r="L104">
        <v>464351</v>
      </c>
      <c r="M104">
        <v>1.4200000000000001E-2</v>
      </c>
      <c r="N104" t="s">
        <v>320</v>
      </c>
      <c r="O104" t="s">
        <v>4301</v>
      </c>
    </row>
    <row r="105" spans="1:15" x14ac:dyDescent="0.25">
      <c r="A105" t="s">
        <v>564</v>
      </c>
      <c r="B105" t="s">
        <v>28</v>
      </c>
      <c r="C105" t="s">
        <v>4302</v>
      </c>
      <c r="D105" t="s">
        <v>4303</v>
      </c>
      <c r="E105" t="s">
        <v>4304</v>
      </c>
      <c r="F105" t="s">
        <v>3863</v>
      </c>
      <c r="G105" t="s">
        <v>4305</v>
      </c>
      <c r="I105" t="s">
        <v>4306</v>
      </c>
      <c r="J105" t="s">
        <v>4307</v>
      </c>
      <c r="K105" t="s">
        <v>3680</v>
      </c>
      <c r="L105">
        <v>395972</v>
      </c>
      <c r="M105">
        <v>3.3999999999999998E-3</v>
      </c>
      <c r="N105" t="s">
        <v>320</v>
      </c>
      <c r="O105" t="s">
        <v>4308</v>
      </c>
    </row>
    <row r="106" spans="1:15" x14ac:dyDescent="0.25">
      <c r="A106" t="s">
        <v>564</v>
      </c>
      <c r="B106" t="s">
        <v>28</v>
      </c>
      <c r="C106" t="s">
        <v>4065</v>
      </c>
      <c r="D106" t="s">
        <v>4066</v>
      </c>
      <c r="E106" t="s">
        <v>4309</v>
      </c>
      <c r="F106" t="s">
        <v>4310</v>
      </c>
      <c r="G106" t="s">
        <v>4311</v>
      </c>
      <c r="H106" t="s">
        <v>3140</v>
      </c>
      <c r="I106" t="s">
        <v>4312</v>
      </c>
      <c r="J106" t="s">
        <v>3534</v>
      </c>
      <c r="K106" t="s">
        <v>4313</v>
      </c>
      <c r="L106">
        <v>328140</v>
      </c>
      <c r="M106">
        <v>1.1299999999999999E-2</v>
      </c>
      <c r="N106" t="s">
        <v>322</v>
      </c>
      <c r="O106" t="s">
        <v>4314</v>
      </c>
    </row>
    <row r="107" spans="1:15" x14ac:dyDescent="0.25">
      <c r="A107" t="s">
        <v>564</v>
      </c>
      <c r="B107" t="s">
        <v>28</v>
      </c>
      <c r="C107" t="s">
        <v>4315</v>
      </c>
      <c r="D107" t="s">
        <v>4316</v>
      </c>
      <c r="E107" t="s">
        <v>4317</v>
      </c>
      <c r="F107" t="s">
        <v>4318</v>
      </c>
      <c r="G107" t="s">
        <v>4319</v>
      </c>
      <c r="I107" t="s">
        <v>4320</v>
      </c>
      <c r="J107" t="s">
        <v>4321</v>
      </c>
      <c r="K107" t="s">
        <v>3140</v>
      </c>
      <c r="L107">
        <v>280576</v>
      </c>
      <c r="M107">
        <v>1.7000000000000001E-2</v>
      </c>
      <c r="N107" t="s">
        <v>3577</v>
      </c>
      <c r="O107" t="s">
        <v>4322</v>
      </c>
    </row>
    <row r="108" spans="1:15" x14ac:dyDescent="0.25">
      <c r="A108" t="s">
        <v>564</v>
      </c>
      <c r="B108" t="s">
        <v>28</v>
      </c>
      <c r="C108" t="s">
        <v>147</v>
      </c>
      <c r="D108" t="s">
        <v>3652</v>
      </c>
      <c r="E108" t="s">
        <v>4323</v>
      </c>
      <c r="F108" t="s">
        <v>4324</v>
      </c>
      <c r="G108" t="s">
        <v>4325</v>
      </c>
      <c r="I108" t="s">
        <v>4326</v>
      </c>
      <c r="J108" t="s">
        <v>4327</v>
      </c>
      <c r="K108" t="s">
        <v>4328</v>
      </c>
      <c r="L108">
        <v>243566</v>
      </c>
      <c r="M108">
        <v>8.3999999999999995E-3</v>
      </c>
      <c r="N108" t="s">
        <v>320</v>
      </c>
      <c r="O108" t="s">
        <v>4329</v>
      </c>
    </row>
    <row r="109" spans="1:15" x14ac:dyDescent="0.25">
      <c r="A109" t="s">
        <v>564</v>
      </c>
      <c r="B109" t="s">
        <v>28</v>
      </c>
      <c r="C109" t="s">
        <v>3932</v>
      </c>
      <c r="D109" t="s">
        <v>3933</v>
      </c>
      <c r="E109" t="s">
        <v>4330</v>
      </c>
      <c r="F109" t="s">
        <v>4331</v>
      </c>
      <c r="G109" t="s">
        <v>4332</v>
      </c>
      <c r="H109" t="s">
        <v>3564</v>
      </c>
      <c r="I109" t="s">
        <v>4333</v>
      </c>
      <c r="J109" t="s">
        <v>4334</v>
      </c>
      <c r="K109" t="s">
        <v>4335</v>
      </c>
      <c r="L109">
        <v>211249</v>
      </c>
      <c r="M109">
        <v>1.2200000000000001E-2</v>
      </c>
      <c r="N109" t="s">
        <v>320</v>
      </c>
      <c r="O109" t="s">
        <v>4336</v>
      </c>
    </row>
    <row r="110" spans="1:15" x14ac:dyDescent="0.25">
      <c r="A110" t="s">
        <v>564</v>
      </c>
      <c r="B110" t="s">
        <v>28</v>
      </c>
      <c r="C110" t="s">
        <v>3673</v>
      </c>
      <c r="D110" t="s">
        <v>3674</v>
      </c>
      <c r="E110" t="s">
        <v>4337</v>
      </c>
      <c r="F110" t="s">
        <v>4338</v>
      </c>
      <c r="G110" t="s">
        <v>4339</v>
      </c>
      <c r="H110" t="s">
        <v>3140</v>
      </c>
      <c r="I110" t="s">
        <v>4340</v>
      </c>
      <c r="J110" t="s">
        <v>4341</v>
      </c>
      <c r="K110" t="s">
        <v>132</v>
      </c>
      <c r="L110">
        <v>190649</v>
      </c>
      <c r="M110">
        <v>4.1999999999999997E-3</v>
      </c>
      <c r="N110" t="s">
        <v>320</v>
      </c>
      <c r="O110" t="s">
        <v>4342</v>
      </c>
    </row>
    <row r="111" spans="1:15" x14ac:dyDescent="0.25">
      <c r="A111" t="s">
        <v>564</v>
      </c>
      <c r="B111" t="s">
        <v>28</v>
      </c>
      <c r="C111" t="s">
        <v>4343</v>
      </c>
      <c r="D111" t="s">
        <v>4344</v>
      </c>
      <c r="E111" t="s">
        <v>4345</v>
      </c>
      <c r="F111" t="s">
        <v>4346</v>
      </c>
      <c r="G111" t="s">
        <v>4347</v>
      </c>
      <c r="I111" t="s">
        <v>4348</v>
      </c>
      <c r="J111" t="s">
        <v>4349</v>
      </c>
      <c r="K111" t="s">
        <v>4350</v>
      </c>
      <c r="L111">
        <v>175695</v>
      </c>
      <c r="M111">
        <v>1.0200000000000001E-2</v>
      </c>
      <c r="N111" t="s">
        <v>322</v>
      </c>
      <c r="O111" t="s">
        <v>4351</v>
      </c>
    </row>
    <row r="112" spans="1:15" x14ac:dyDescent="0.25">
      <c r="A112" t="s">
        <v>564</v>
      </c>
      <c r="B112" t="s">
        <v>28</v>
      </c>
      <c r="C112" t="s">
        <v>4352</v>
      </c>
      <c r="D112" t="s">
        <v>4353</v>
      </c>
      <c r="E112" t="s">
        <v>4354</v>
      </c>
      <c r="F112" t="s">
        <v>4355</v>
      </c>
      <c r="G112" t="s">
        <v>4356</v>
      </c>
      <c r="I112" t="s">
        <v>4357</v>
      </c>
      <c r="J112" t="s">
        <v>4358</v>
      </c>
      <c r="K112" t="s">
        <v>3907</v>
      </c>
      <c r="L112">
        <v>164891</v>
      </c>
      <c r="M112">
        <v>3.0000000000000001E-3</v>
      </c>
      <c r="N112" t="s">
        <v>322</v>
      </c>
      <c r="O112" t="s">
        <v>4359</v>
      </c>
    </row>
    <row r="113" spans="1:15" x14ac:dyDescent="0.25">
      <c r="A113" t="s">
        <v>564</v>
      </c>
      <c r="B113" t="s">
        <v>28</v>
      </c>
      <c r="C113" t="s">
        <v>150</v>
      </c>
      <c r="D113" t="s">
        <v>3964</v>
      </c>
      <c r="E113" t="s">
        <v>1338</v>
      </c>
      <c r="F113" t="s">
        <v>1337</v>
      </c>
      <c r="G113" t="s">
        <v>4360</v>
      </c>
      <c r="H113" t="s">
        <v>3564</v>
      </c>
      <c r="I113" t="s">
        <v>4361</v>
      </c>
      <c r="J113" t="s">
        <v>4362</v>
      </c>
      <c r="K113" t="s">
        <v>3534</v>
      </c>
      <c r="L113">
        <v>152941</v>
      </c>
      <c r="M113">
        <v>7.1999999999999998E-3</v>
      </c>
      <c r="N113" t="s">
        <v>3577</v>
      </c>
      <c r="O113" t="s">
        <v>1339</v>
      </c>
    </row>
    <row r="114" spans="1:15" x14ac:dyDescent="0.25">
      <c r="A114" t="s">
        <v>564</v>
      </c>
      <c r="B114" t="s">
        <v>28</v>
      </c>
      <c r="C114" t="s">
        <v>4363</v>
      </c>
      <c r="D114" t="s">
        <v>4364</v>
      </c>
      <c r="E114" t="s">
        <v>4365</v>
      </c>
      <c r="F114" t="s">
        <v>4366</v>
      </c>
      <c r="G114" t="s">
        <v>4367</v>
      </c>
      <c r="H114" t="s">
        <v>3564</v>
      </c>
      <c r="I114" t="s">
        <v>4368</v>
      </c>
      <c r="J114" t="s">
        <v>4369</v>
      </c>
      <c r="K114" t="s">
        <v>4370</v>
      </c>
      <c r="L114">
        <v>140086</v>
      </c>
      <c r="M114">
        <v>2.0199999999999999E-2</v>
      </c>
      <c r="N114" t="s">
        <v>320</v>
      </c>
      <c r="O114" t="s">
        <v>4371</v>
      </c>
    </row>
    <row r="115" spans="1:15" x14ac:dyDescent="0.25">
      <c r="A115" t="s">
        <v>564</v>
      </c>
      <c r="B115" t="s">
        <v>28</v>
      </c>
      <c r="C115" t="s">
        <v>3619</v>
      </c>
      <c r="D115" t="s">
        <v>3620</v>
      </c>
      <c r="E115" t="s">
        <v>4372</v>
      </c>
      <c r="F115" t="s">
        <v>4373</v>
      </c>
      <c r="G115" t="s">
        <v>4374</v>
      </c>
      <c r="I115" t="s">
        <v>4375</v>
      </c>
      <c r="J115" t="s">
        <v>4376</v>
      </c>
      <c r="K115" t="s">
        <v>4377</v>
      </c>
      <c r="L115">
        <v>135147</v>
      </c>
      <c r="M115">
        <v>2E-3</v>
      </c>
      <c r="N115" t="s">
        <v>320</v>
      </c>
      <c r="O115" t="s">
        <v>4378</v>
      </c>
    </row>
    <row r="116" spans="1:15" x14ac:dyDescent="0.25">
      <c r="A116" t="s">
        <v>564</v>
      </c>
      <c r="B116" t="s">
        <v>28</v>
      </c>
      <c r="C116" t="s">
        <v>3715</v>
      </c>
      <c r="D116" t="s">
        <v>3716</v>
      </c>
      <c r="E116" t="s">
        <v>4379</v>
      </c>
      <c r="F116" t="s">
        <v>4380</v>
      </c>
      <c r="G116" t="s">
        <v>4381</v>
      </c>
      <c r="I116" t="s">
        <v>4382</v>
      </c>
      <c r="J116" t="s">
        <v>4383</v>
      </c>
      <c r="K116" t="s">
        <v>4384</v>
      </c>
      <c r="L116">
        <v>127694</v>
      </c>
      <c r="M116">
        <v>6.3E-3</v>
      </c>
      <c r="N116" t="s">
        <v>322</v>
      </c>
      <c r="O116" t="s">
        <v>4385</v>
      </c>
    </row>
    <row r="117" spans="1:15" x14ac:dyDescent="0.25">
      <c r="A117" t="s">
        <v>564</v>
      </c>
      <c r="B117" t="s">
        <v>28</v>
      </c>
      <c r="C117" t="s">
        <v>4386</v>
      </c>
      <c r="D117" t="s">
        <v>4387</v>
      </c>
      <c r="E117" t="s">
        <v>4388</v>
      </c>
      <c r="F117" t="s">
        <v>4389</v>
      </c>
      <c r="G117" t="s">
        <v>4390</v>
      </c>
      <c r="H117" t="s">
        <v>3564</v>
      </c>
      <c r="I117" t="s">
        <v>4391</v>
      </c>
      <c r="J117" t="s">
        <v>4392</v>
      </c>
      <c r="K117" t="s">
        <v>3830</v>
      </c>
      <c r="L117">
        <v>118627</v>
      </c>
      <c r="M117">
        <v>8.0000000000000002E-3</v>
      </c>
      <c r="N117" t="s">
        <v>320</v>
      </c>
      <c r="O117" t="s">
        <v>4393</v>
      </c>
    </row>
    <row r="118" spans="1:15" x14ac:dyDescent="0.25">
      <c r="A118" t="s">
        <v>564</v>
      </c>
      <c r="B118" t="s">
        <v>28</v>
      </c>
      <c r="C118" t="s">
        <v>4394</v>
      </c>
      <c r="D118" t="s">
        <v>4395</v>
      </c>
      <c r="E118" t="s">
        <v>4396</v>
      </c>
      <c r="F118" t="s">
        <v>4397</v>
      </c>
      <c r="G118" t="s">
        <v>4398</v>
      </c>
      <c r="I118" t="s">
        <v>4399</v>
      </c>
      <c r="J118" t="s">
        <v>4400</v>
      </c>
      <c r="K118" t="s">
        <v>132</v>
      </c>
      <c r="L118">
        <v>110385</v>
      </c>
      <c r="M118">
        <v>2.58E-2</v>
      </c>
      <c r="N118" t="s">
        <v>320</v>
      </c>
      <c r="O118" t="s">
        <v>4401</v>
      </c>
    </row>
    <row r="119" spans="1:15" x14ac:dyDescent="0.25">
      <c r="A119" t="s">
        <v>564</v>
      </c>
      <c r="B119" t="s">
        <v>28</v>
      </c>
      <c r="C119" t="s">
        <v>150</v>
      </c>
      <c r="D119" t="s">
        <v>3964</v>
      </c>
      <c r="E119" t="s">
        <v>1362</v>
      </c>
      <c r="F119" t="s">
        <v>1361</v>
      </c>
      <c r="G119" t="s">
        <v>4402</v>
      </c>
      <c r="H119" t="s">
        <v>3564</v>
      </c>
      <c r="I119" t="s">
        <v>4403</v>
      </c>
      <c r="J119" t="s">
        <v>4404</v>
      </c>
      <c r="K119" t="s">
        <v>3872</v>
      </c>
      <c r="L119">
        <v>107808</v>
      </c>
      <c r="M119">
        <v>1.29E-2</v>
      </c>
      <c r="N119" t="s">
        <v>3577</v>
      </c>
      <c r="O119" t="s">
        <v>1363</v>
      </c>
    </row>
    <row r="120" spans="1:15" x14ac:dyDescent="0.25">
      <c r="A120" t="s">
        <v>564</v>
      </c>
      <c r="B120" t="s">
        <v>28</v>
      </c>
      <c r="C120" t="s">
        <v>4405</v>
      </c>
      <c r="D120" t="s">
        <v>4406</v>
      </c>
      <c r="E120" t="s">
        <v>4407</v>
      </c>
      <c r="F120" t="s">
        <v>4408</v>
      </c>
      <c r="G120" t="s">
        <v>4409</v>
      </c>
      <c r="I120" t="s">
        <v>4410</v>
      </c>
      <c r="J120" t="s">
        <v>4411</v>
      </c>
      <c r="K120" t="s">
        <v>3657</v>
      </c>
      <c r="L120">
        <v>104338</v>
      </c>
      <c r="M120">
        <v>8.6999999999999994E-3</v>
      </c>
      <c r="N120" t="s">
        <v>322</v>
      </c>
      <c r="O120" t="s">
        <v>4412</v>
      </c>
    </row>
    <row r="121" spans="1:15" x14ac:dyDescent="0.25">
      <c r="A121" t="s">
        <v>564</v>
      </c>
      <c r="B121" t="s">
        <v>30</v>
      </c>
      <c r="C121" t="s">
        <v>150</v>
      </c>
      <c r="D121" t="s">
        <v>3964</v>
      </c>
      <c r="E121" t="s">
        <v>1831</v>
      </c>
      <c r="F121" t="s">
        <v>1830</v>
      </c>
      <c r="G121" t="s">
        <v>4413</v>
      </c>
      <c r="H121" t="s">
        <v>3564</v>
      </c>
      <c r="I121" t="s">
        <v>4414</v>
      </c>
      <c r="J121" t="s">
        <v>3143</v>
      </c>
      <c r="K121" t="s">
        <v>3142</v>
      </c>
      <c r="L121">
        <v>575081</v>
      </c>
      <c r="M121">
        <v>2.0199999999999999E-2</v>
      </c>
      <c r="N121" t="s">
        <v>3517</v>
      </c>
      <c r="O121" t="s">
        <v>1832</v>
      </c>
    </row>
    <row r="122" spans="1:15" x14ac:dyDescent="0.25">
      <c r="A122" t="s">
        <v>564</v>
      </c>
      <c r="B122" t="s">
        <v>30</v>
      </c>
      <c r="C122" t="s">
        <v>4415</v>
      </c>
      <c r="D122" t="s">
        <v>4416</v>
      </c>
      <c r="E122" t="s">
        <v>4417</v>
      </c>
      <c r="F122" t="s">
        <v>4418</v>
      </c>
      <c r="G122" t="s">
        <v>4419</v>
      </c>
      <c r="I122" t="s">
        <v>4420</v>
      </c>
      <c r="J122" t="s">
        <v>4131</v>
      </c>
      <c r="K122" t="s">
        <v>3808</v>
      </c>
      <c r="L122">
        <v>279760</v>
      </c>
      <c r="M122">
        <v>0.23719999999999999</v>
      </c>
      <c r="N122" t="s">
        <v>3517</v>
      </c>
      <c r="O122" t="s">
        <v>4421</v>
      </c>
    </row>
    <row r="123" spans="1:15" x14ac:dyDescent="0.25">
      <c r="A123" t="s">
        <v>564</v>
      </c>
      <c r="B123" t="s">
        <v>28</v>
      </c>
      <c r="C123" t="s">
        <v>148</v>
      </c>
      <c r="D123" t="s">
        <v>3612</v>
      </c>
      <c r="E123" t="s">
        <v>4422</v>
      </c>
      <c r="F123" t="s">
        <v>4423</v>
      </c>
      <c r="G123" t="s">
        <v>4424</v>
      </c>
      <c r="H123" t="s">
        <v>3564</v>
      </c>
      <c r="I123" t="s">
        <v>4425</v>
      </c>
      <c r="J123" t="s">
        <v>3140</v>
      </c>
      <c r="L123">
        <v>4563251</v>
      </c>
      <c r="M123">
        <v>4.6999999999999993E-3</v>
      </c>
      <c r="N123" t="s">
        <v>320</v>
      </c>
      <c r="O123" t="s">
        <v>4426</v>
      </c>
    </row>
    <row r="124" spans="1:15" x14ac:dyDescent="0.25">
      <c r="A124" t="s">
        <v>564</v>
      </c>
      <c r="B124" t="s">
        <v>28</v>
      </c>
      <c r="C124" t="s">
        <v>154</v>
      </c>
      <c r="D124" t="s">
        <v>3644</v>
      </c>
      <c r="E124" t="s">
        <v>4427</v>
      </c>
      <c r="F124" t="s">
        <v>4428</v>
      </c>
      <c r="G124" t="s">
        <v>4429</v>
      </c>
      <c r="I124" t="s">
        <v>4430</v>
      </c>
      <c r="J124" t="s">
        <v>4003</v>
      </c>
      <c r="K124" t="s">
        <v>3763</v>
      </c>
      <c r="L124">
        <v>1381132</v>
      </c>
      <c r="M124">
        <v>1.9800000000000002E-2</v>
      </c>
      <c r="N124" t="s">
        <v>320</v>
      </c>
      <c r="O124" t="s">
        <v>4431</v>
      </c>
    </row>
    <row r="125" spans="1:15" x14ac:dyDescent="0.25">
      <c r="A125" t="s">
        <v>564</v>
      </c>
      <c r="B125" t="s">
        <v>28</v>
      </c>
      <c r="C125" t="s">
        <v>146</v>
      </c>
      <c r="D125" t="s">
        <v>3699</v>
      </c>
      <c r="E125" t="s">
        <v>4432</v>
      </c>
      <c r="F125" t="s">
        <v>4433</v>
      </c>
      <c r="G125" t="s">
        <v>4434</v>
      </c>
      <c r="H125" t="s">
        <v>3564</v>
      </c>
      <c r="I125" t="s">
        <v>4435</v>
      </c>
      <c r="J125" t="s">
        <v>4436</v>
      </c>
      <c r="K125" t="s">
        <v>3642</v>
      </c>
      <c r="L125">
        <v>883077</v>
      </c>
      <c r="M125">
        <v>7.000000000000001E-4</v>
      </c>
      <c r="N125" t="s">
        <v>320</v>
      </c>
      <c r="O125" t="s">
        <v>4437</v>
      </c>
    </row>
    <row r="126" spans="1:15" x14ac:dyDescent="0.25">
      <c r="A126" t="s">
        <v>564</v>
      </c>
      <c r="B126" t="s">
        <v>28</v>
      </c>
      <c r="C126" t="s">
        <v>4438</v>
      </c>
      <c r="D126" t="s">
        <v>4439</v>
      </c>
      <c r="E126" t="s">
        <v>4440</v>
      </c>
      <c r="F126" t="s">
        <v>4441</v>
      </c>
      <c r="G126" t="s">
        <v>4442</v>
      </c>
      <c r="I126" t="s">
        <v>4443</v>
      </c>
      <c r="J126" t="s">
        <v>4444</v>
      </c>
      <c r="K126" t="s">
        <v>4445</v>
      </c>
      <c r="L126">
        <v>578243</v>
      </c>
      <c r="M126">
        <v>1.11E-2</v>
      </c>
      <c r="N126" t="s">
        <v>320</v>
      </c>
      <c r="O126" t="s">
        <v>4446</v>
      </c>
    </row>
    <row r="127" spans="1:15" x14ac:dyDescent="0.25">
      <c r="A127" t="s">
        <v>564</v>
      </c>
      <c r="B127" t="s">
        <v>28</v>
      </c>
      <c r="C127" t="s">
        <v>3980</v>
      </c>
      <c r="D127" t="s">
        <v>3981</v>
      </c>
      <c r="E127" t="s">
        <v>4447</v>
      </c>
      <c r="F127" t="s">
        <v>4448</v>
      </c>
      <c r="G127" t="s">
        <v>4449</v>
      </c>
      <c r="I127" t="s">
        <v>4450</v>
      </c>
      <c r="J127" t="s">
        <v>3786</v>
      </c>
      <c r="K127" t="s">
        <v>4451</v>
      </c>
      <c r="L127">
        <v>458370</v>
      </c>
      <c r="M127">
        <v>1.26E-2</v>
      </c>
      <c r="N127" t="s">
        <v>322</v>
      </c>
      <c r="O127" t="s">
        <v>4452</v>
      </c>
    </row>
    <row r="128" spans="1:15" x14ac:dyDescent="0.25">
      <c r="A128" t="s">
        <v>564</v>
      </c>
      <c r="B128" t="s">
        <v>28</v>
      </c>
      <c r="C128" t="s">
        <v>4453</v>
      </c>
      <c r="D128" t="s">
        <v>4454</v>
      </c>
      <c r="E128" t="s">
        <v>4455</v>
      </c>
      <c r="F128" t="s">
        <v>4456</v>
      </c>
      <c r="G128" t="s">
        <v>4457</v>
      </c>
      <c r="I128" t="s">
        <v>4458</v>
      </c>
      <c r="J128" t="s">
        <v>4459</v>
      </c>
      <c r="K128" t="s">
        <v>3564</v>
      </c>
      <c r="L128">
        <v>385217</v>
      </c>
      <c r="M128">
        <v>7.3000000000000001E-3</v>
      </c>
      <c r="N128" t="s">
        <v>320</v>
      </c>
      <c r="O128" t="s">
        <v>4460</v>
      </c>
    </row>
    <row r="129" spans="1:15" x14ac:dyDescent="0.25">
      <c r="A129" t="s">
        <v>564</v>
      </c>
      <c r="B129" t="s">
        <v>28</v>
      </c>
      <c r="C129" t="s">
        <v>4461</v>
      </c>
      <c r="D129" t="s">
        <v>4462</v>
      </c>
      <c r="E129" t="s">
        <v>4463</v>
      </c>
      <c r="F129" t="s">
        <v>4464</v>
      </c>
      <c r="G129" t="s">
        <v>4465</v>
      </c>
      <c r="H129" t="s">
        <v>3564</v>
      </c>
      <c r="I129" t="s">
        <v>4466</v>
      </c>
      <c r="J129" t="s">
        <v>4467</v>
      </c>
      <c r="K129" t="s">
        <v>4335</v>
      </c>
      <c r="L129">
        <v>327188</v>
      </c>
      <c r="M129">
        <v>4.5000000000000014E-3</v>
      </c>
      <c r="N129" t="s">
        <v>3577</v>
      </c>
      <c r="O129" t="s">
        <v>4468</v>
      </c>
    </row>
    <row r="130" spans="1:15" x14ac:dyDescent="0.25">
      <c r="A130" t="s">
        <v>564</v>
      </c>
      <c r="B130" t="s">
        <v>28</v>
      </c>
      <c r="C130" t="s">
        <v>152</v>
      </c>
      <c r="D130" t="s">
        <v>4469</v>
      </c>
      <c r="E130" t="s">
        <v>4470</v>
      </c>
      <c r="F130" t="s">
        <v>4471</v>
      </c>
      <c r="G130" t="s">
        <v>4472</v>
      </c>
      <c r="H130" t="s">
        <v>3564</v>
      </c>
      <c r="I130" t="s">
        <v>4473</v>
      </c>
      <c r="J130" t="s">
        <v>4474</v>
      </c>
      <c r="K130" t="s">
        <v>3617</v>
      </c>
      <c r="L130">
        <v>276474</v>
      </c>
      <c r="M130">
        <v>2.5000000000000001E-3</v>
      </c>
      <c r="N130" t="s">
        <v>320</v>
      </c>
      <c r="O130" t="s">
        <v>4475</v>
      </c>
    </row>
    <row r="131" spans="1:15" x14ac:dyDescent="0.25">
      <c r="A131" t="s">
        <v>564</v>
      </c>
      <c r="B131" t="s">
        <v>28</v>
      </c>
      <c r="C131" t="s">
        <v>4476</v>
      </c>
      <c r="D131" t="s">
        <v>4477</v>
      </c>
      <c r="E131" t="s">
        <v>4478</v>
      </c>
      <c r="F131" t="s">
        <v>4479</v>
      </c>
      <c r="G131" t="s">
        <v>4480</v>
      </c>
      <c r="I131" t="s">
        <v>4481</v>
      </c>
      <c r="J131" t="s">
        <v>4482</v>
      </c>
      <c r="K131" t="s">
        <v>4483</v>
      </c>
      <c r="L131">
        <v>239835</v>
      </c>
      <c r="M131">
        <v>1.55E-2</v>
      </c>
      <c r="N131" t="s">
        <v>322</v>
      </c>
      <c r="O131" t="s">
        <v>4484</v>
      </c>
    </row>
    <row r="132" spans="1:15" x14ac:dyDescent="0.25">
      <c r="A132" t="s">
        <v>564</v>
      </c>
      <c r="B132" t="s">
        <v>28</v>
      </c>
      <c r="C132" t="s">
        <v>3842</v>
      </c>
      <c r="D132" t="s">
        <v>3843</v>
      </c>
      <c r="E132" t="s">
        <v>4485</v>
      </c>
      <c r="F132" t="s">
        <v>4486</v>
      </c>
      <c r="G132" t="s">
        <v>4487</v>
      </c>
      <c r="I132" t="s">
        <v>4488</v>
      </c>
      <c r="J132" t="s">
        <v>4489</v>
      </c>
      <c r="K132" t="s">
        <v>4279</v>
      </c>
      <c r="L132">
        <v>209499</v>
      </c>
      <c r="M132">
        <v>1.47E-2</v>
      </c>
      <c r="N132" t="s">
        <v>320</v>
      </c>
      <c r="O132" t="s">
        <v>4490</v>
      </c>
    </row>
    <row r="133" spans="1:15" x14ac:dyDescent="0.25">
      <c r="A133" t="s">
        <v>564</v>
      </c>
      <c r="B133" t="s">
        <v>28</v>
      </c>
      <c r="C133" t="s">
        <v>4491</v>
      </c>
      <c r="D133" t="s">
        <v>4492</v>
      </c>
      <c r="E133" t="s">
        <v>4493</v>
      </c>
      <c r="F133" t="s">
        <v>4137</v>
      </c>
      <c r="G133" t="s">
        <v>4494</v>
      </c>
      <c r="H133" t="s">
        <v>3564</v>
      </c>
      <c r="I133" t="s">
        <v>4495</v>
      </c>
      <c r="J133" t="s">
        <v>4496</v>
      </c>
      <c r="K133" t="s">
        <v>3593</v>
      </c>
      <c r="L133">
        <v>187364</v>
      </c>
      <c r="M133">
        <v>7.6E-3</v>
      </c>
      <c r="N133" t="s">
        <v>3517</v>
      </c>
      <c r="O133" t="s">
        <v>4497</v>
      </c>
    </row>
    <row r="134" spans="1:15" x14ac:dyDescent="0.25">
      <c r="A134" t="s">
        <v>564</v>
      </c>
      <c r="B134" t="s">
        <v>28</v>
      </c>
      <c r="C134" t="s">
        <v>4498</v>
      </c>
      <c r="D134" t="s">
        <v>4499</v>
      </c>
      <c r="E134" t="s">
        <v>4500</v>
      </c>
      <c r="F134" t="s">
        <v>4501</v>
      </c>
      <c r="G134" t="s">
        <v>4502</v>
      </c>
      <c r="I134" t="s">
        <v>4503</v>
      </c>
      <c r="J134" t="s">
        <v>4504</v>
      </c>
      <c r="K134" t="s">
        <v>4505</v>
      </c>
      <c r="L134">
        <v>173621</v>
      </c>
      <c r="M134">
        <v>1.6299999999999999E-2</v>
      </c>
      <c r="N134" t="s">
        <v>320</v>
      </c>
      <c r="O134" t="s">
        <v>4506</v>
      </c>
    </row>
    <row r="135" spans="1:15" x14ac:dyDescent="0.25">
      <c r="A135" t="s">
        <v>564</v>
      </c>
      <c r="B135" t="s">
        <v>28</v>
      </c>
      <c r="C135" t="s">
        <v>4507</v>
      </c>
      <c r="D135" t="s">
        <v>4508</v>
      </c>
      <c r="E135" t="s">
        <v>4509</v>
      </c>
      <c r="F135" t="s">
        <v>4510</v>
      </c>
      <c r="G135" t="s">
        <v>4511</v>
      </c>
      <c r="I135" t="s">
        <v>4512</v>
      </c>
      <c r="J135" t="s">
        <v>4513</v>
      </c>
      <c r="K135" t="s">
        <v>4514</v>
      </c>
      <c r="L135">
        <v>164349</v>
      </c>
      <c r="M135">
        <v>1.26E-2</v>
      </c>
      <c r="N135" t="s">
        <v>322</v>
      </c>
      <c r="O135" t="s">
        <v>4515</v>
      </c>
    </row>
    <row r="136" spans="1:15" x14ac:dyDescent="0.25">
      <c r="A136" t="s">
        <v>564</v>
      </c>
      <c r="B136" t="s">
        <v>28</v>
      </c>
      <c r="C136" t="s">
        <v>4516</v>
      </c>
      <c r="D136" t="s">
        <v>4517</v>
      </c>
      <c r="E136" t="s">
        <v>4518</v>
      </c>
      <c r="F136" t="s">
        <v>4519</v>
      </c>
      <c r="G136" t="s">
        <v>4520</v>
      </c>
      <c r="I136" t="s">
        <v>4521</v>
      </c>
      <c r="J136" t="s">
        <v>4522</v>
      </c>
      <c r="K136" t="s">
        <v>4523</v>
      </c>
      <c r="L136">
        <v>149959</v>
      </c>
      <c r="M136">
        <v>3.3E-3</v>
      </c>
      <c r="N136" t="s">
        <v>320</v>
      </c>
      <c r="O136" t="s">
        <v>4524</v>
      </c>
    </row>
    <row r="137" spans="1:15" x14ac:dyDescent="0.25">
      <c r="A137" t="s">
        <v>564</v>
      </c>
      <c r="B137" t="s">
        <v>28</v>
      </c>
      <c r="C137" t="s">
        <v>150</v>
      </c>
      <c r="D137" t="s">
        <v>3964</v>
      </c>
      <c r="E137" t="s">
        <v>1345</v>
      </c>
      <c r="F137" t="s">
        <v>1344</v>
      </c>
      <c r="G137" t="s">
        <v>4525</v>
      </c>
      <c r="H137" t="s">
        <v>3564</v>
      </c>
      <c r="I137" t="s">
        <v>4526</v>
      </c>
      <c r="J137" t="s">
        <v>4527</v>
      </c>
      <c r="K137" t="s">
        <v>4528</v>
      </c>
      <c r="L137">
        <v>139849</v>
      </c>
      <c r="M137">
        <v>2.3999999999999998E-3</v>
      </c>
      <c r="N137" t="s">
        <v>3577</v>
      </c>
      <c r="O137" t="s">
        <v>1346</v>
      </c>
    </row>
    <row r="138" spans="1:15" x14ac:dyDescent="0.25">
      <c r="A138" t="s">
        <v>564</v>
      </c>
      <c r="B138" t="s">
        <v>28</v>
      </c>
      <c r="C138" t="s">
        <v>349</v>
      </c>
      <c r="D138" t="s">
        <v>4529</v>
      </c>
      <c r="E138" t="s">
        <v>4530</v>
      </c>
      <c r="F138" t="s">
        <v>4531</v>
      </c>
      <c r="G138" t="s">
        <v>4532</v>
      </c>
      <c r="I138" t="s">
        <v>4533</v>
      </c>
      <c r="J138" t="s">
        <v>4534</v>
      </c>
      <c r="K138" t="s">
        <v>4535</v>
      </c>
      <c r="L138">
        <v>134885</v>
      </c>
      <c r="M138">
        <v>9.4999999999999998E-3</v>
      </c>
      <c r="N138" t="s">
        <v>3577</v>
      </c>
      <c r="O138" t="s">
        <v>4536</v>
      </c>
    </row>
    <row r="139" spans="1:15" x14ac:dyDescent="0.25">
      <c r="A139" t="s">
        <v>564</v>
      </c>
      <c r="B139" t="s">
        <v>28</v>
      </c>
      <c r="C139" t="s">
        <v>3980</v>
      </c>
      <c r="D139" t="s">
        <v>3981</v>
      </c>
      <c r="E139" t="s">
        <v>4537</v>
      </c>
      <c r="F139" t="s">
        <v>4538</v>
      </c>
      <c r="G139" t="s">
        <v>4539</v>
      </c>
      <c r="I139" t="s">
        <v>4540</v>
      </c>
      <c r="J139" t="s">
        <v>4541</v>
      </c>
      <c r="K139" t="s">
        <v>4542</v>
      </c>
      <c r="L139">
        <v>127231</v>
      </c>
      <c r="M139">
        <v>5.3E-3</v>
      </c>
      <c r="N139" t="s">
        <v>320</v>
      </c>
      <c r="O139" t="s">
        <v>4543</v>
      </c>
    </row>
    <row r="140" spans="1:15" x14ac:dyDescent="0.25">
      <c r="A140" t="s">
        <v>564</v>
      </c>
      <c r="B140" t="s">
        <v>28</v>
      </c>
      <c r="C140" t="s">
        <v>4544</v>
      </c>
      <c r="D140" t="s">
        <v>4545</v>
      </c>
      <c r="E140" t="s">
        <v>4546</v>
      </c>
      <c r="F140" t="s">
        <v>4547</v>
      </c>
      <c r="G140" t="s">
        <v>4548</v>
      </c>
      <c r="I140" t="s">
        <v>4549</v>
      </c>
      <c r="J140" t="s">
        <v>4550</v>
      </c>
      <c r="K140" t="s">
        <v>132</v>
      </c>
      <c r="L140">
        <v>118107</v>
      </c>
      <c r="M140">
        <v>3.2300000000000002E-2</v>
      </c>
      <c r="N140" t="s">
        <v>322</v>
      </c>
      <c r="O140" t="s">
        <v>4551</v>
      </c>
    </row>
    <row r="141" spans="1:15" x14ac:dyDescent="0.25">
      <c r="A141" t="s">
        <v>564</v>
      </c>
      <c r="B141" t="s">
        <v>28</v>
      </c>
      <c r="C141" t="s">
        <v>150</v>
      </c>
      <c r="D141" t="s">
        <v>3964</v>
      </c>
      <c r="E141" t="s">
        <v>1356</v>
      </c>
      <c r="F141" t="s">
        <v>1355</v>
      </c>
      <c r="G141" t="s">
        <v>4552</v>
      </c>
      <c r="H141" t="s">
        <v>4444</v>
      </c>
      <c r="I141" t="s">
        <v>4553</v>
      </c>
      <c r="J141" t="s">
        <v>4554</v>
      </c>
      <c r="K141" t="s">
        <v>132</v>
      </c>
      <c r="L141">
        <v>110180</v>
      </c>
      <c r="M141">
        <v>3.4099999999999998E-2</v>
      </c>
      <c r="N141" t="s">
        <v>3577</v>
      </c>
      <c r="O141" t="s">
        <v>1357</v>
      </c>
    </row>
    <row r="142" spans="1:15" x14ac:dyDescent="0.25">
      <c r="A142" t="s">
        <v>564</v>
      </c>
      <c r="B142" t="s">
        <v>28</v>
      </c>
      <c r="C142" t="s">
        <v>3579</v>
      </c>
      <c r="D142" t="s">
        <v>3580</v>
      </c>
      <c r="E142" t="s">
        <v>4555</v>
      </c>
      <c r="F142" t="s">
        <v>4556</v>
      </c>
      <c r="G142" t="s">
        <v>4557</v>
      </c>
      <c r="I142" t="s">
        <v>4558</v>
      </c>
      <c r="J142" t="s">
        <v>4559</v>
      </c>
      <c r="K142" t="s">
        <v>4436</v>
      </c>
      <c r="L142">
        <v>107517</v>
      </c>
      <c r="M142">
        <v>1.35E-2</v>
      </c>
      <c r="N142" t="s">
        <v>320</v>
      </c>
      <c r="O142" t="s">
        <v>4560</v>
      </c>
    </row>
    <row r="143" spans="1:15" x14ac:dyDescent="0.25">
      <c r="A143" t="s">
        <v>564</v>
      </c>
      <c r="B143" t="s">
        <v>28</v>
      </c>
      <c r="C143" t="s">
        <v>146</v>
      </c>
      <c r="D143" t="s">
        <v>3699</v>
      </c>
      <c r="E143" t="s">
        <v>4561</v>
      </c>
      <c r="F143" t="s">
        <v>4562</v>
      </c>
      <c r="G143" t="s">
        <v>4563</v>
      </c>
      <c r="I143" t="s">
        <v>4564</v>
      </c>
      <c r="J143" t="s">
        <v>4565</v>
      </c>
      <c r="K143" t="s">
        <v>3601</v>
      </c>
      <c r="L143">
        <v>104200</v>
      </c>
      <c r="M143">
        <v>1.6500000000000001E-2</v>
      </c>
      <c r="N143" t="s">
        <v>320</v>
      </c>
      <c r="O143" t="s">
        <v>4566</v>
      </c>
    </row>
    <row r="144" spans="1:15" x14ac:dyDescent="0.25">
      <c r="A144" t="s">
        <v>564</v>
      </c>
      <c r="B144" t="s">
        <v>30</v>
      </c>
      <c r="C144" t="s">
        <v>391</v>
      </c>
      <c r="D144" t="s">
        <v>4118</v>
      </c>
      <c r="E144" t="s">
        <v>4567</v>
      </c>
      <c r="F144" t="s">
        <v>4568</v>
      </c>
      <c r="G144" t="s">
        <v>4569</v>
      </c>
      <c r="I144" t="s">
        <v>4570</v>
      </c>
      <c r="J144" t="s">
        <v>3144</v>
      </c>
      <c r="K144" t="s">
        <v>3808</v>
      </c>
      <c r="L144">
        <v>535242</v>
      </c>
      <c r="M144">
        <v>6.9400000000000003E-2</v>
      </c>
      <c r="N144" t="s">
        <v>3517</v>
      </c>
      <c r="O144" t="s">
        <v>4571</v>
      </c>
    </row>
    <row r="145" spans="1:15" x14ac:dyDescent="0.25">
      <c r="A145" t="s">
        <v>564</v>
      </c>
      <c r="B145" t="s">
        <v>28</v>
      </c>
      <c r="C145" t="s">
        <v>146</v>
      </c>
      <c r="D145" t="s">
        <v>3699</v>
      </c>
      <c r="E145" t="s">
        <v>4572</v>
      </c>
      <c r="F145" t="s">
        <v>4573</v>
      </c>
      <c r="G145" t="s">
        <v>4574</v>
      </c>
      <c r="H145" t="s">
        <v>3564</v>
      </c>
      <c r="I145" t="s">
        <v>4575</v>
      </c>
      <c r="J145" t="s">
        <v>3141</v>
      </c>
      <c r="L145">
        <v>4268930</v>
      </c>
      <c r="M145">
        <v>6.1000000000000004E-3</v>
      </c>
      <c r="N145" t="s">
        <v>322</v>
      </c>
      <c r="O145" t="s">
        <v>4576</v>
      </c>
    </row>
    <row r="146" spans="1:15" x14ac:dyDescent="0.25">
      <c r="A146" t="s">
        <v>564</v>
      </c>
      <c r="B146" t="s">
        <v>28</v>
      </c>
      <c r="C146" t="s">
        <v>147</v>
      </c>
      <c r="D146" t="s">
        <v>3652</v>
      </c>
      <c r="E146" t="s">
        <v>4577</v>
      </c>
      <c r="F146" t="s">
        <v>4578</v>
      </c>
      <c r="G146" t="s">
        <v>4579</v>
      </c>
      <c r="H146" t="s">
        <v>3564</v>
      </c>
      <c r="I146" t="s">
        <v>4580</v>
      </c>
      <c r="J146" t="s">
        <v>4581</v>
      </c>
      <c r="K146" t="s">
        <v>3567</v>
      </c>
      <c r="L146">
        <v>1364340</v>
      </c>
      <c r="M146">
        <v>7.9000000000000008E-3</v>
      </c>
      <c r="N146" t="s">
        <v>320</v>
      </c>
      <c r="O146" t="s">
        <v>4582</v>
      </c>
    </row>
    <row r="147" spans="1:15" x14ac:dyDescent="0.25">
      <c r="A147" t="s">
        <v>564</v>
      </c>
      <c r="B147" t="s">
        <v>28</v>
      </c>
      <c r="C147" t="s">
        <v>146</v>
      </c>
      <c r="D147" t="s">
        <v>3699</v>
      </c>
      <c r="E147" t="s">
        <v>4583</v>
      </c>
      <c r="F147" t="s">
        <v>4584</v>
      </c>
      <c r="G147" t="s">
        <v>4585</v>
      </c>
      <c r="H147" t="s">
        <v>3564</v>
      </c>
      <c r="I147" t="s">
        <v>4586</v>
      </c>
      <c r="J147" t="s">
        <v>4587</v>
      </c>
      <c r="K147" t="s">
        <v>3671</v>
      </c>
      <c r="L147">
        <v>837806</v>
      </c>
      <c r="M147">
        <v>2.0999999999999999E-3</v>
      </c>
      <c r="N147" t="s">
        <v>320</v>
      </c>
      <c r="O147" t="s">
        <v>4588</v>
      </c>
    </row>
    <row r="148" spans="1:15" x14ac:dyDescent="0.25">
      <c r="A148" t="s">
        <v>564</v>
      </c>
      <c r="B148" t="s">
        <v>28</v>
      </c>
      <c r="C148" t="s">
        <v>146</v>
      </c>
      <c r="D148" t="s">
        <v>3699</v>
      </c>
      <c r="E148" t="s">
        <v>4589</v>
      </c>
      <c r="F148" t="s">
        <v>4590</v>
      </c>
      <c r="G148" t="s">
        <v>4591</v>
      </c>
      <c r="H148" t="s">
        <v>3564</v>
      </c>
      <c r="I148" t="s">
        <v>4592</v>
      </c>
      <c r="J148" t="s">
        <v>4593</v>
      </c>
      <c r="K148" t="s">
        <v>4594</v>
      </c>
      <c r="L148">
        <v>556763</v>
      </c>
      <c r="M148">
        <v>2.0999999999999999E-3</v>
      </c>
      <c r="N148" t="s">
        <v>322</v>
      </c>
      <c r="O148" t="s">
        <v>4595</v>
      </c>
    </row>
    <row r="149" spans="1:15" x14ac:dyDescent="0.25">
      <c r="A149" t="s">
        <v>564</v>
      </c>
      <c r="B149" t="s">
        <v>28</v>
      </c>
      <c r="C149" t="s">
        <v>4596</v>
      </c>
      <c r="D149" t="s">
        <v>4597</v>
      </c>
      <c r="E149" t="s">
        <v>4598</v>
      </c>
      <c r="F149" t="s">
        <v>4599</v>
      </c>
      <c r="G149" t="s">
        <v>4600</v>
      </c>
      <c r="I149" t="s">
        <v>4601</v>
      </c>
      <c r="J149" t="s">
        <v>4602</v>
      </c>
      <c r="K149" t="s">
        <v>4078</v>
      </c>
      <c r="L149">
        <v>449427</v>
      </c>
      <c r="M149">
        <v>5.1999999999999998E-3</v>
      </c>
      <c r="N149" t="s">
        <v>320</v>
      </c>
      <c r="O149" t="s">
        <v>4603</v>
      </c>
    </row>
    <row r="150" spans="1:15" x14ac:dyDescent="0.25">
      <c r="A150" t="s">
        <v>564</v>
      </c>
      <c r="B150" t="s">
        <v>28</v>
      </c>
      <c r="C150" t="s">
        <v>152</v>
      </c>
      <c r="D150" t="s">
        <v>4469</v>
      </c>
      <c r="E150" t="s">
        <v>4604</v>
      </c>
      <c r="F150" t="s">
        <v>4605</v>
      </c>
      <c r="G150" t="s">
        <v>4606</v>
      </c>
      <c r="H150" t="s">
        <v>3564</v>
      </c>
      <c r="I150" t="s">
        <v>4607</v>
      </c>
      <c r="J150" t="s">
        <v>4608</v>
      </c>
      <c r="K150" t="s">
        <v>4535</v>
      </c>
      <c r="L150">
        <v>383850</v>
      </c>
      <c r="M150">
        <v>2.7000000000000001E-3</v>
      </c>
      <c r="N150" t="s">
        <v>322</v>
      </c>
      <c r="O150" t="s">
        <v>4609</v>
      </c>
    </row>
    <row r="151" spans="1:15" x14ac:dyDescent="0.25">
      <c r="A151" t="s">
        <v>564</v>
      </c>
      <c r="B151" t="s">
        <v>28</v>
      </c>
      <c r="C151" t="s">
        <v>4247</v>
      </c>
      <c r="D151" t="s">
        <v>4248</v>
      </c>
      <c r="E151" t="s">
        <v>4610</v>
      </c>
      <c r="F151" t="s">
        <v>4611</v>
      </c>
      <c r="G151" t="s">
        <v>4612</v>
      </c>
      <c r="I151" t="s">
        <v>4613</v>
      </c>
      <c r="J151" t="s">
        <v>4614</v>
      </c>
      <c r="K151" t="s">
        <v>3995</v>
      </c>
      <c r="L151">
        <v>318511</v>
      </c>
      <c r="M151">
        <v>1.04E-2</v>
      </c>
      <c r="N151" t="s">
        <v>320</v>
      </c>
      <c r="O151" t="s">
        <v>4615</v>
      </c>
    </row>
    <row r="152" spans="1:15" x14ac:dyDescent="0.25">
      <c r="A152" t="s">
        <v>564</v>
      </c>
      <c r="B152" t="s">
        <v>28</v>
      </c>
      <c r="C152" t="s">
        <v>150</v>
      </c>
      <c r="D152" t="s">
        <v>3964</v>
      </c>
      <c r="E152" t="s">
        <v>1314</v>
      </c>
      <c r="F152" t="s">
        <v>1313</v>
      </c>
      <c r="G152" t="s">
        <v>4616</v>
      </c>
      <c r="H152" t="s">
        <v>3564</v>
      </c>
      <c r="I152" t="s">
        <v>4617</v>
      </c>
      <c r="J152" t="s">
        <v>4618</v>
      </c>
      <c r="K152" t="s">
        <v>4619</v>
      </c>
      <c r="L152">
        <v>273553</v>
      </c>
      <c r="M152">
        <v>8.199999999999999E-3</v>
      </c>
      <c r="N152" t="s">
        <v>3577</v>
      </c>
      <c r="O152" t="s">
        <v>1315</v>
      </c>
    </row>
    <row r="153" spans="1:15" x14ac:dyDescent="0.25">
      <c r="A153" t="s">
        <v>564</v>
      </c>
      <c r="B153" t="s">
        <v>28</v>
      </c>
      <c r="C153" t="s">
        <v>4021</v>
      </c>
      <c r="D153" t="s">
        <v>4022</v>
      </c>
      <c r="E153" t="s">
        <v>4620</v>
      </c>
      <c r="F153" t="s">
        <v>4621</v>
      </c>
      <c r="G153" t="s">
        <v>4622</v>
      </c>
      <c r="H153" t="s">
        <v>3564</v>
      </c>
      <c r="I153" t="s">
        <v>4623</v>
      </c>
      <c r="J153" t="s">
        <v>4624</v>
      </c>
      <c r="K153" t="s">
        <v>3617</v>
      </c>
      <c r="L153">
        <v>239168</v>
      </c>
      <c r="M153">
        <v>2.3300000000000001E-2</v>
      </c>
      <c r="N153" t="s">
        <v>320</v>
      </c>
      <c r="O153" t="s">
        <v>4625</v>
      </c>
    </row>
    <row r="154" spans="1:15" x14ac:dyDescent="0.25">
      <c r="A154" t="s">
        <v>564</v>
      </c>
      <c r="B154" t="s">
        <v>28</v>
      </c>
      <c r="C154" t="s">
        <v>349</v>
      </c>
      <c r="D154" t="s">
        <v>4529</v>
      </c>
      <c r="E154" t="s">
        <v>4626</v>
      </c>
      <c r="F154" t="s">
        <v>4627</v>
      </c>
      <c r="G154" t="s">
        <v>4628</v>
      </c>
      <c r="I154" t="s">
        <v>4629</v>
      </c>
      <c r="J154" t="s">
        <v>4630</v>
      </c>
      <c r="K154" t="s">
        <v>4445</v>
      </c>
      <c r="L154">
        <v>208834</v>
      </c>
      <c r="M154">
        <v>1.29E-2</v>
      </c>
      <c r="N154" t="s">
        <v>3577</v>
      </c>
      <c r="O154" t="s">
        <v>4631</v>
      </c>
    </row>
    <row r="155" spans="1:15" x14ac:dyDescent="0.25">
      <c r="A155" t="s">
        <v>564</v>
      </c>
      <c r="B155" t="s">
        <v>28</v>
      </c>
      <c r="C155" t="s">
        <v>4288</v>
      </c>
      <c r="D155" t="s">
        <v>4289</v>
      </c>
      <c r="E155" t="s">
        <v>4632</v>
      </c>
      <c r="F155" t="s">
        <v>4633</v>
      </c>
      <c r="G155" t="s">
        <v>4634</v>
      </c>
      <c r="H155" t="s">
        <v>3564</v>
      </c>
      <c r="I155" t="s">
        <v>4635</v>
      </c>
      <c r="J155" t="s">
        <v>3930</v>
      </c>
      <c r="K155" t="s">
        <v>3857</v>
      </c>
      <c r="L155">
        <v>186520</v>
      </c>
      <c r="M155">
        <v>5.3E-3</v>
      </c>
      <c r="N155" t="s">
        <v>322</v>
      </c>
      <c r="O155" t="s">
        <v>4636</v>
      </c>
    </row>
    <row r="156" spans="1:15" x14ac:dyDescent="0.25">
      <c r="A156" t="s">
        <v>564</v>
      </c>
      <c r="B156" t="s">
        <v>28</v>
      </c>
      <c r="C156" t="s">
        <v>150</v>
      </c>
      <c r="D156" t="s">
        <v>3964</v>
      </c>
      <c r="E156" t="s">
        <v>1332</v>
      </c>
      <c r="F156" t="s">
        <v>1331</v>
      </c>
      <c r="G156" t="s">
        <v>4637</v>
      </c>
      <c r="I156" t="s">
        <v>4638</v>
      </c>
      <c r="J156" t="s">
        <v>4639</v>
      </c>
      <c r="K156" t="s">
        <v>4581</v>
      </c>
      <c r="L156">
        <v>171815</v>
      </c>
      <c r="M156">
        <v>3.8E-3</v>
      </c>
      <c r="N156" t="s">
        <v>3577</v>
      </c>
      <c r="O156" t="s">
        <v>1333</v>
      </c>
    </row>
    <row r="157" spans="1:15" x14ac:dyDescent="0.25">
      <c r="A157" t="s">
        <v>564</v>
      </c>
      <c r="B157" t="s">
        <v>28</v>
      </c>
      <c r="C157" t="s">
        <v>4640</v>
      </c>
      <c r="D157" t="s">
        <v>4641</v>
      </c>
      <c r="E157" t="s">
        <v>4642</v>
      </c>
      <c r="F157" t="s">
        <v>4643</v>
      </c>
      <c r="G157" t="s">
        <v>4644</v>
      </c>
      <c r="I157" t="s">
        <v>4645</v>
      </c>
      <c r="J157" t="s">
        <v>4646</v>
      </c>
      <c r="K157" t="s">
        <v>132</v>
      </c>
      <c r="L157">
        <v>162215</v>
      </c>
      <c r="M157">
        <v>6.9999999999999993E-3</v>
      </c>
      <c r="N157" t="s">
        <v>322</v>
      </c>
      <c r="O157" t="s">
        <v>4647</v>
      </c>
    </row>
    <row r="158" spans="1:15" x14ac:dyDescent="0.25">
      <c r="A158" t="s">
        <v>564</v>
      </c>
      <c r="B158" t="s">
        <v>28</v>
      </c>
      <c r="C158" t="s">
        <v>4648</v>
      </c>
      <c r="D158" t="s">
        <v>4649</v>
      </c>
      <c r="E158" t="s">
        <v>4650</v>
      </c>
      <c r="F158" t="s">
        <v>4651</v>
      </c>
      <c r="G158" t="s">
        <v>4652</v>
      </c>
      <c r="H158" t="s">
        <v>3140</v>
      </c>
      <c r="I158" t="s">
        <v>4653</v>
      </c>
      <c r="J158" t="s">
        <v>4654</v>
      </c>
      <c r="K158" t="s">
        <v>132</v>
      </c>
      <c r="L158">
        <v>148877</v>
      </c>
      <c r="M158">
        <v>3.0999999999999999E-3</v>
      </c>
      <c r="N158" t="s">
        <v>322</v>
      </c>
      <c r="O158" t="s">
        <v>4655</v>
      </c>
    </row>
    <row r="159" spans="1:15" x14ac:dyDescent="0.25">
      <c r="A159" t="s">
        <v>564</v>
      </c>
      <c r="B159" t="s">
        <v>28</v>
      </c>
      <c r="C159" t="s">
        <v>4656</v>
      </c>
      <c r="D159" t="s">
        <v>4657</v>
      </c>
      <c r="E159" t="s">
        <v>4658</v>
      </c>
      <c r="F159" t="s">
        <v>4659</v>
      </c>
      <c r="G159" t="s">
        <v>4660</v>
      </c>
      <c r="I159" t="s">
        <v>4661</v>
      </c>
      <c r="J159" t="s">
        <v>4662</v>
      </c>
      <c r="K159" t="s">
        <v>3831</v>
      </c>
      <c r="L159">
        <v>139712</v>
      </c>
      <c r="M159">
        <v>6.4000000000000003E-3</v>
      </c>
      <c r="N159" t="s">
        <v>322</v>
      </c>
      <c r="O159" t="s">
        <v>4663</v>
      </c>
    </row>
    <row r="160" spans="1:15" x14ac:dyDescent="0.25">
      <c r="A160" t="s">
        <v>564</v>
      </c>
      <c r="B160" t="s">
        <v>28</v>
      </c>
      <c r="C160" t="s">
        <v>349</v>
      </c>
      <c r="D160" t="s">
        <v>4529</v>
      </c>
      <c r="E160" t="s">
        <v>4664</v>
      </c>
      <c r="F160" t="s">
        <v>4665</v>
      </c>
      <c r="G160" t="s">
        <v>4666</v>
      </c>
      <c r="I160" t="s">
        <v>4667</v>
      </c>
      <c r="J160" t="s">
        <v>4668</v>
      </c>
      <c r="K160" t="s">
        <v>132</v>
      </c>
      <c r="L160">
        <v>134829</v>
      </c>
      <c r="M160">
        <v>1.23E-2</v>
      </c>
      <c r="N160" t="s">
        <v>3577</v>
      </c>
      <c r="O160" t="s">
        <v>4669</v>
      </c>
    </row>
    <row r="161" spans="1:15" x14ac:dyDescent="0.25">
      <c r="A161" t="s">
        <v>564</v>
      </c>
      <c r="B161" t="s">
        <v>28</v>
      </c>
      <c r="C161" t="s">
        <v>4670</v>
      </c>
      <c r="D161" t="s">
        <v>4671</v>
      </c>
      <c r="E161" t="s">
        <v>4672</v>
      </c>
      <c r="F161" t="s">
        <v>4673</v>
      </c>
      <c r="G161" t="s">
        <v>4674</v>
      </c>
      <c r="I161" t="s">
        <v>4675</v>
      </c>
      <c r="J161" t="s">
        <v>4676</v>
      </c>
      <c r="K161" t="s">
        <v>3807</v>
      </c>
      <c r="L161">
        <v>125647</v>
      </c>
      <c r="M161">
        <v>1.0999999999999999E-2</v>
      </c>
      <c r="N161" t="s">
        <v>320</v>
      </c>
      <c r="O161" t="s">
        <v>4677</v>
      </c>
    </row>
    <row r="162" spans="1:15" x14ac:dyDescent="0.25">
      <c r="A162" t="s">
        <v>564</v>
      </c>
      <c r="B162" t="s">
        <v>28</v>
      </c>
      <c r="C162" t="s">
        <v>4678</v>
      </c>
      <c r="D162" t="s">
        <v>4679</v>
      </c>
      <c r="E162" t="s">
        <v>4680</v>
      </c>
      <c r="F162" t="s">
        <v>4681</v>
      </c>
      <c r="G162" t="s">
        <v>4682</v>
      </c>
      <c r="I162" t="s">
        <v>4683</v>
      </c>
      <c r="J162" t="s">
        <v>4684</v>
      </c>
      <c r="K162" t="s">
        <v>4685</v>
      </c>
      <c r="L162">
        <v>117549</v>
      </c>
      <c r="M162">
        <v>9.5999999999999992E-3</v>
      </c>
      <c r="N162" t="s">
        <v>322</v>
      </c>
      <c r="O162" t="s">
        <v>4686</v>
      </c>
    </row>
    <row r="163" spans="1:15" x14ac:dyDescent="0.25">
      <c r="A163" t="s">
        <v>564</v>
      </c>
      <c r="B163" t="s">
        <v>28</v>
      </c>
      <c r="C163" t="s">
        <v>3891</v>
      </c>
      <c r="D163" t="s">
        <v>3892</v>
      </c>
      <c r="E163" t="s">
        <v>4687</v>
      </c>
      <c r="F163" t="s">
        <v>4688</v>
      </c>
      <c r="G163" t="s">
        <v>4689</v>
      </c>
      <c r="I163" t="s">
        <v>4690</v>
      </c>
      <c r="J163" t="s">
        <v>4691</v>
      </c>
      <c r="K163" t="s">
        <v>132</v>
      </c>
      <c r="L163">
        <v>109631</v>
      </c>
      <c r="M163">
        <v>1.1900000000000001E-2</v>
      </c>
      <c r="N163" t="s">
        <v>3577</v>
      </c>
      <c r="O163" t="s">
        <v>4692</v>
      </c>
    </row>
    <row r="164" spans="1:15" x14ac:dyDescent="0.25">
      <c r="A164" t="s">
        <v>564</v>
      </c>
      <c r="B164" t="s">
        <v>28</v>
      </c>
      <c r="C164" t="s">
        <v>4693</v>
      </c>
      <c r="D164" t="s">
        <v>4694</v>
      </c>
      <c r="E164" t="s">
        <v>4695</v>
      </c>
      <c r="F164" t="s">
        <v>4696</v>
      </c>
      <c r="G164" t="s">
        <v>4697</v>
      </c>
      <c r="I164" t="s">
        <v>4698</v>
      </c>
      <c r="J164" t="s">
        <v>4699</v>
      </c>
      <c r="K164" t="s">
        <v>3141</v>
      </c>
      <c r="L164">
        <v>107233</v>
      </c>
      <c r="M164">
        <v>6.3E-3</v>
      </c>
      <c r="N164" t="s">
        <v>322</v>
      </c>
      <c r="O164" t="s">
        <v>4700</v>
      </c>
    </row>
    <row r="165" spans="1:15" x14ac:dyDescent="0.25">
      <c r="A165" t="s">
        <v>564</v>
      </c>
      <c r="B165" t="s">
        <v>28</v>
      </c>
      <c r="C165" t="s">
        <v>4065</v>
      </c>
      <c r="D165" t="s">
        <v>4066</v>
      </c>
      <c r="E165" t="s">
        <v>4701</v>
      </c>
      <c r="F165" t="s">
        <v>4702</v>
      </c>
      <c r="G165" t="s">
        <v>4703</v>
      </c>
      <c r="H165" t="s">
        <v>3140</v>
      </c>
      <c r="I165" t="s">
        <v>4704</v>
      </c>
      <c r="J165" t="s">
        <v>4705</v>
      </c>
      <c r="K165" t="s">
        <v>132</v>
      </c>
      <c r="L165">
        <v>102164</v>
      </c>
      <c r="M165">
        <v>4.7999999999999996E-3</v>
      </c>
      <c r="N165" t="s">
        <v>320</v>
      </c>
      <c r="O165" t="s">
        <v>4706</v>
      </c>
    </row>
    <row r="166" spans="1:15" x14ac:dyDescent="0.25">
      <c r="A166" t="s">
        <v>564</v>
      </c>
      <c r="B166" t="s">
        <v>30</v>
      </c>
      <c r="C166" t="s">
        <v>4707</v>
      </c>
      <c r="D166" t="s">
        <v>4708</v>
      </c>
      <c r="E166" t="s">
        <v>4709</v>
      </c>
      <c r="F166" t="s">
        <v>4710</v>
      </c>
      <c r="G166" t="s">
        <v>4711</v>
      </c>
      <c r="I166" t="s">
        <v>4712</v>
      </c>
      <c r="J166" t="s">
        <v>3152</v>
      </c>
      <c r="K166" t="s">
        <v>4542</v>
      </c>
      <c r="L166">
        <v>502007</v>
      </c>
      <c r="M166">
        <v>0.13239999999999999</v>
      </c>
      <c r="N166" t="s">
        <v>3517</v>
      </c>
      <c r="O166" t="s">
        <v>4713</v>
      </c>
    </row>
    <row r="167" spans="1:15" x14ac:dyDescent="0.25">
      <c r="A167" t="s">
        <v>564</v>
      </c>
      <c r="B167" t="s">
        <v>28</v>
      </c>
      <c r="C167" t="s">
        <v>146</v>
      </c>
      <c r="D167" t="s">
        <v>3699</v>
      </c>
      <c r="E167" t="s">
        <v>4714</v>
      </c>
      <c r="F167" t="s">
        <v>4715</v>
      </c>
      <c r="G167" t="s">
        <v>4716</v>
      </c>
      <c r="H167" t="s">
        <v>3564</v>
      </c>
      <c r="I167" t="s">
        <v>4717</v>
      </c>
      <c r="J167" t="s">
        <v>3142</v>
      </c>
      <c r="K167" t="s">
        <v>4718</v>
      </c>
      <c r="L167">
        <v>2854262</v>
      </c>
      <c r="M167">
        <v>4.4000000000000003E-3</v>
      </c>
      <c r="N167" t="s">
        <v>320</v>
      </c>
      <c r="O167" t="s">
        <v>4719</v>
      </c>
    </row>
    <row r="168" spans="1:15" x14ac:dyDescent="0.25">
      <c r="A168" t="s">
        <v>564</v>
      </c>
      <c r="B168" t="s">
        <v>28</v>
      </c>
      <c r="C168" t="s">
        <v>154</v>
      </c>
      <c r="D168" t="s">
        <v>3644</v>
      </c>
      <c r="E168" t="s">
        <v>4720</v>
      </c>
      <c r="F168" t="s">
        <v>4229</v>
      </c>
      <c r="G168" t="s">
        <v>4721</v>
      </c>
      <c r="H168" t="s">
        <v>3564</v>
      </c>
      <c r="I168" t="s">
        <v>4722</v>
      </c>
      <c r="J168" t="s">
        <v>4723</v>
      </c>
      <c r="K168" t="s">
        <v>3140</v>
      </c>
      <c r="L168">
        <v>1260276</v>
      </c>
      <c r="M168">
        <v>3.3999999999999998E-3</v>
      </c>
      <c r="N168" t="s">
        <v>320</v>
      </c>
      <c r="O168" t="s">
        <v>4724</v>
      </c>
    </row>
    <row r="169" spans="1:15" x14ac:dyDescent="0.25">
      <c r="A169" t="s">
        <v>564</v>
      </c>
      <c r="B169" t="s">
        <v>28</v>
      </c>
      <c r="C169" t="s">
        <v>4725</v>
      </c>
      <c r="D169" t="s">
        <v>4726</v>
      </c>
      <c r="E169" t="s">
        <v>4727</v>
      </c>
      <c r="F169" t="s">
        <v>4728</v>
      </c>
      <c r="G169" t="s">
        <v>4729</v>
      </c>
      <c r="I169" t="s">
        <v>4730</v>
      </c>
      <c r="J169" t="s">
        <v>3802</v>
      </c>
      <c r="K169" t="s">
        <v>4542</v>
      </c>
      <c r="L169">
        <v>835172</v>
      </c>
      <c r="M169">
        <v>1.2500000000000001E-2</v>
      </c>
      <c r="N169" t="s">
        <v>322</v>
      </c>
      <c r="O169" t="s">
        <v>4731</v>
      </c>
    </row>
    <row r="170" spans="1:15" x14ac:dyDescent="0.25">
      <c r="A170" t="s">
        <v>564</v>
      </c>
      <c r="B170" t="s">
        <v>28</v>
      </c>
      <c r="C170" t="s">
        <v>155</v>
      </c>
      <c r="D170" t="s">
        <v>3560</v>
      </c>
      <c r="E170" t="s">
        <v>4732</v>
      </c>
      <c r="F170" t="s">
        <v>4733</v>
      </c>
      <c r="G170" t="s">
        <v>4734</v>
      </c>
      <c r="H170" t="s">
        <v>3564</v>
      </c>
      <c r="I170" t="s">
        <v>4735</v>
      </c>
      <c r="J170" t="s">
        <v>4736</v>
      </c>
      <c r="K170" t="s">
        <v>4581</v>
      </c>
      <c r="L170">
        <v>556640</v>
      </c>
      <c r="M170">
        <v>0.01</v>
      </c>
      <c r="N170" t="s">
        <v>322</v>
      </c>
      <c r="O170" t="s">
        <v>4737</v>
      </c>
    </row>
    <row r="171" spans="1:15" x14ac:dyDescent="0.25">
      <c r="A171" t="s">
        <v>564</v>
      </c>
      <c r="B171" t="s">
        <v>28</v>
      </c>
      <c r="C171" t="s">
        <v>4738</v>
      </c>
      <c r="D171" t="s">
        <v>4739</v>
      </c>
      <c r="E171" t="s">
        <v>4740</v>
      </c>
      <c r="F171" t="s">
        <v>4741</v>
      </c>
      <c r="G171" t="s">
        <v>4742</v>
      </c>
      <c r="I171" t="s">
        <v>4743</v>
      </c>
      <c r="J171" t="s">
        <v>4744</v>
      </c>
      <c r="K171" t="s">
        <v>3576</v>
      </c>
      <c r="L171">
        <v>446293</v>
      </c>
      <c r="M171">
        <v>3.0300000000000001E-2</v>
      </c>
      <c r="N171" t="s">
        <v>320</v>
      </c>
      <c r="O171" t="s">
        <v>4745</v>
      </c>
    </row>
    <row r="172" spans="1:15" x14ac:dyDescent="0.25">
      <c r="A172" t="s">
        <v>564</v>
      </c>
      <c r="B172" t="s">
        <v>28</v>
      </c>
      <c r="C172" t="s">
        <v>4746</v>
      </c>
      <c r="D172" t="s">
        <v>4747</v>
      </c>
      <c r="E172" t="s">
        <v>4748</v>
      </c>
      <c r="F172" t="s">
        <v>3676</v>
      </c>
      <c r="G172" t="s">
        <v>4749</v>
      </c>
      <c r="I172" t="s">
        <v>4750</v>
      </c>
      <c r="J172" t="s">
        <v>4751</v>
      </c>
      <c r="K172" t="s">
        <v>4752</v>
      </c>
      <c r="L172">
        <v>383524</v>
      </c>
      <c r="M172">
        <v>2.1100000000000001E-2</v>
      </c>
      <c r="N172" t="s">
        <v>3517</v>
      </c>
      <c r="O172" t="s">
        <v>4753</v>
      </c>
    </row>
    <row r="173" spans="1:15" x14ac:dyDescent="0.25">
      <c r="A173" t="s">
        <v>564</v>
      </c>
      <c r="B173" t="s">
        <v>28</v>
      </c>
      <c r="C173" t="s">
        <v>152</v>
      </c>
      <c r="D173" t="s">
        <v>4469</v>
      </c>
      <c r="E173" t="s">
        <v>4754</v>
      </c>
      <c r="F173" t="s">
        <v>4755</v>
      </c>
      <c r="G173" t="s">
        <v>4756</v>
      </c>
      <c r="H173" t="s">
        <v>3564</v>
      </c>
      <c r="I173" t="s">
        <v>4757</v>
      </c>
      <c r="J173" t="s">
        <v>3745</v>
      </c>
      <c r="K173" t="s">
        <v>4758</v>
      </c>
      <c r="L173">
        <v>312635</v>
      </c>
      <c r="M173">
        <v>2.3999999999999998E-3</v>
      </c>
      <c r="N173" t="s">
        <v>320</v>
      </c>
      <c r="O173" t="s">
        <v>4759</v>
      </c>
    </row>
    <row r="174" spans="1:15" x14ac:dyDescent="0.25">
      <c r="A174" t="s">
        <v>564</v>
      </c>
      <c r="B174" t="s">
        <v>28</v>
      </c>
      <c r="C174" t="s">
        <v>4760</v>
      </c>
      <c r="D174" t="s">
        <v>4761</v>
      </c>
      <c r="E174" t="s">
        <v>4762</v>
      </c>
      <c r="F174" t="s">
        <v>4763</v>
      </c>
      <c r="G174" t="s">
        <v>4764</v>
      </c>
      <c r="I174" t="s">
        <v>4765</v>
      </c>
      <c r="J174" t="s">
        <v>4766</v>
      </c>
      <c r="K174" t="s">
        <v>4767</v>
      </c>
      <c r="L174">
        <v>272899</v>
      </c>
      <c r="M174">
        <v>9.0000000000000011E-3</v>
      </c>
      <c r="N174" t="s">
        <v>3517</v>
      </c>
      <c r="O174" t="s">
        <v>4768</v>
      </c>
    </row>
    <row r="175" spans="1:15" x14ac:dyDescent="0.25">
      <c r="A175" t="s">
        <v>564</v>
      </c>
      <c r="B175" t="s">
        <v>28</v>
      </c>
      <c r="C175" t="s">
        <v>153</v>
      </c>
      <c r="D175" t="s">
        <v>4769</v>
      </c>
      <c r="E175" t="s">
        <v>4770</v>
      </c>
      <c r="F175" t="s">
        <v>4771</v>
      </c>
      <c r="G175" t="s">
        <v>4772</v>
      </c>
      <c r="I175" t="s">
        <v>4773</v>
      </c>
      <c r="J175" t="s">
        <v>4774</v>
      </c>
      <c r="K175" t="s">
        <v>3973</v>
      </c>
      <c r="L175">
        <v>238206</v>
      </c>
      <c r="M175">
        <v>7.1999999999999998E-3</v>
      </c>
      <c r="N175" t="s">
        <v>320</v>
      </c>
      <c r="O175" t="s">
        <v>4775</v>
      </c>
    </row>
    <row r="176" spans="1:15" x14ac:dyDescent="0.25">
      <c r="A176" t="s">
        <v>564</v>
      </c>
      <c r="B176" t="s">
        <v>28</v>
      </c>
      <c r="C176" t="s">
        <v>4776</v>
      </c>
      <c r="D176" t="s">
        <v>4777</v>
      </c>
      <c r="E176" t="s">
        <v>4778</v>
      </c>
      <c r="F176" t="s">
        <v>4779</v>
      </c>
      <c r="G176" t="s">
        <v>4780</v>
      </c>
      <c r="I176" t="s">
        <v>4781</v>
      </c>
      <c r="J176" t="s">
        <v>4782</v>
      </c>
      <c r="K176" t="s">
        <v>4783</v>
      </c>
      <c r="L176">
        <v>208328</v>
      </c>
      <c r="M176">
        <v>0.2132</v>
      </c>
      <c r="N176" t="s">
        <v>320</v>
      </c>
      <c r="O176" t="s">
        <v>4784</v>
      </c>
    </row>
    <row r="177" spans="1:15" x14ac:dyDescent="0.25">
      <c r="A177" t="s">
        <v>564</v>
      </c>
      <c r="B177" t="s">
        <v>28</v>
      </c>
      <c r="C177" t="s">
        <v>4785</v>
      </c>
      <c r="D177" t="s">
        <v>4786</v>
      </c>
      <c r="E177" t="s">
        <v>4787</v>
      </c>
      <c r="F177" t="s">
        <v>4788</v>
      </c>
      <c r="G177" t="s">
        <v>4789</v>
      </c>
      <c r="I177" t="s">
        <v>4790</v>
      </c>
      <c r="J177" t="s">
        <v>4791</v>
      </c>
      <c r="K177" t="s">
        <v>4055</v>
      </c>
      <c r="L177">
        <v>184453</v>
      </c>
      <c r="M177">
        <v>1.38E-2</v>
      </c>
      <c r="N177" t="s">
        <v>320</v>
      </c>
      <c r="O177" t="s">
        <v>4792</v>
      </c>
    </row>
    <row r="178" spans="1:15" x14ac:dyDescent="0.25">
      <c r="A178" t="s">
        <v>564</v>
      </c>
      <c r="B178" t="s">
        <v>28</v>
      </c>
      <c r="C178" t="s">
        <v>153</v>
      </c>
      <c r="D178" t="s">
        <v>4769</v>
      </c>
      <c r="E178" t="s">
        <v>4793</v>
      </c>
      <c r="F178" t="s">
        <v>4794</v>
      </c>
      <c r="G178" t="s">
        <v>4795</v>
      </c>
      <c r="I178" t="s">
        <v>4796</v>
      </c>
      <c r="J178" t="s">
        <v>4797</v>
      </c>
      <c r="K178" t="s">
        <v>3680</v>
      </c>
      <c r="L178">
        <v>171547</v>
      </c>
      <c r="M178">
        <v>8.6E-3</v>
      </c>
      <c r="N178" t="s">
        <v>320</v>
      </c>
      <c r="O178" t="s">
        <v>4798</v>
      </c>
    </row>
    <row r="179" spans="1:15" x14ac:dyDescent="0.25">
      <c r="A179" t="s">
        <v>564</v>
      </c>
      <c r="B179" t="s">
        <v>28</v>
      </c>
      <c r="C179" t="s">
        <v>152</v>
      </c>
      <c r="D179" t="s">
        <v>4469</v>
      </c>
      <c r="E179" t="s">
        <v>4799</v>
      </c>
      <c r="F179" t="s">
        <v>4800</v>
      </c>
      <c r="G179" t="s">
        <v>4801</v>
      </c>
      <c r="I179" t="s">
        <v>4802</v>
      </c>
      <c r="J179" t="s">
        <v>4803</v>
      </c>
      <c r="K179" t="s">
        <v>4804</v>
      </c>
      <c r="L179">
        <v>160944</v>
      </c>
      <c r="M179">
        <v>5.5000000000000014E-3</v>
      </c>
      <c r="N179" t="s">
        <v>322</v>
      </c>
      <c r="O179" t="s">
        <v>4805</v>
      </c>
    </row>
    <row r="180" spans="1:15" x14ac:dyDescent="0.25">
      <c r="A180" t="s">
        <v>564</v>
      </c>
      <c r="B180" t="s">
        <v>28</v>
      </c>
      <c r="C180" t="s">
        <v>149</v>
      </c>
      <c r="D180" t="s">
        <v>4806</v>
      </c>
      <c r="E180" t="s">
        <v>4807</v>
      </c>
      <c r="F180" t="s">
        <v>4808</v>
      </c>
      <c r="G180" t="s">
        <v>4809</v>
      </c>
      <c r="H180" t="s">
        <v>3564</v>
      </c>
      <c r="I180" t="s">
        <v>4810</v>
      </c>
      <c r="J180" t="s">
        <v>4811</v>
      </c>
      <c r="K180" t="s">
        <v>4812</v>
      </c>
      <c r="L180">
        <v>148499</v>
      </c>
      <c r="M180">
        <v>1.3299999999999999E-2</v>
      </c>
      <c r="N180" t="s">
        <v>322</v>
      </c>
      <c r="O180" t="s">
        <v>4813</v>
      </c>
    </row>
    <row r="181" spans="1:15" x14ac:dyDescent="0.25">
      <c r="A181" t="s">
        <v>564</v>
      </c>
      <c r="B181" t="s">
        <v>28</v>
      </c>
      <c r="C181" t="s">
        <v>4415</v>
      </c>
      <c r="D181" t="s">
        <v>4416</v>
      </c>
      <c r="E181" t="s">
        <v>4814</v>
      </c>
      <c r="F181" t="s">
        <v>4815</v>
      </c>
      <c r="G181" t="s">
        <v>4816</v>
      </c>
      <c r="I181" t="s">
        <v>4817</v>
      </c>
      <c r="J181" t="s">
        <v>4818</v>
      </c>
      <c r="K181" t="s">
        <v>3831</v>
      </c>
      <c r="L181">
        <v>139244</v>
      </c>
      <c r="M181">
        <v>1.7299999999999999E-2</v>
      </c>
      <c r="N181" t="s">
        <v>3577</v>
      </c>
      <c r="O181" t="s">
        <v>4819</v>
      </c>
    </row>
    <row r="182" spans="1:15" x14ac:dyDescent="0.25">
      <c r="A182" t="s">
        <v>564</v>
      </c>
      <c r="B182" t="s">
        <v>28</v>
      </c>
      <c r="C182" t="s">
        <v>146</v>
      </c>
      <c r="D182" t="s">
        <v>3699</v>
      </c>
      <c r="E182" t="s">
        <v>4820</v>
      </c>
      <c r="F182" t="s">
        <v>4821</v>
      </c>
      <c r="G182" t="s">
        <v>4822</v>
      </c>
      <c r="H182" t="s">
        <v>3564</v>
      </c>
      <c r="I182" t="s">
        <v>4823</v>
      </c>
      <c r="J182" t="s">
        <v>4824</v>
      </c>
      <c r="K182" t="s">
        <v>3151</v>
      </c>
      <c r="L182">
        <v>134312</v>
      </c>
      <c r="M182">
        <v>8.9999999999999998E-4</v>
      </c>
      <c r="N182" t="s">
        <v>322</v>
      </c>
      <c r="O182" t="s">
        <v>4825</v>
      </c>
    </row>
    <row r="183" spans="1:15" x14ac:dyDescent="0.25">
      <c r="A183" t="s">
        <v>564</v>
      </c>
      <c r="B183" t="s">
        <v>28</v>
      </c>
      <c r="C183" t="s">
        <v>3955</v>
      </c>
      <c r="D183" t="s">
        <v>3956</v>
      </c>
      <c r="E183" t="s">
        <v>4826</v>
      </c>
      <c r="F183" t="s">
        <v>4827</v>
      </c>
      <c r="G183" t="s">
        <v>4828</v>
      </c>
      <c r="H183" t="s">
        <v>3140</v>
      </c>
      <c r="I183" t="s">
        <v>4829</v>
      </c>
      <c r="J183" t="s">
        <v>4830</v>
      </c>
      <c r="K183" t="s">
        <v>132</v>
      </c>
      <c r="L183">
        <v>125519</v>
      </c>
      <c r="M183">
        <v>2.4299999999999999E-2</v>
      </c>
      <c r="N183" t="s">
        <v>3517</v>
      </c>
      <c r="O183" t="s">
        <v>4831</v>
      </c>
    </row>
    <row r="184" spans="1:15" x14ac:dyDescent="0.25">
      <c r="A184" t="s">
        <v>564</v>
      </c>
      <c r="B184" t="s">
        <v>28</v>
      </c>
      <c r="C184" t="s">
        <v>4832</v>
      </c>
      <c r="D184" t="s">
        <v>4833</v>
      </c>
      <c r="E184" t="s">
        <v>4834</v>
      </c>
      <c r="F184" t="s">
        <v>4835</v>
      </c>
      <c r="G184" t="s">
        <v>4836</v>
      </c>
      <c r="I184" t="s">
        <v>4837</v>
      </c>
      <c r="J184" t="s">
        <v>4838</v>
      </c>
      <c r="K184" t="s">
        <v>132</v>
      </c>
      <c r="L184">
        <v>117208</v>
      </c>
      <c r="M184">
        <v>3.8999999999999998E-3</v>
      </c>
      <c r="N184" t="s">
        <v>320</v>
      </c>
      <c r="O184" t="s">
        <v>4839</v>
      </c>
    </row>
    <row r="185" spans="1:15" x14ac:dyDescent="0.25">
      <c r="A185" t="s">
        <v>564</v>
      </c>
      <c r="B185" t="s">
        <v>28</v>
      </c>
      <c r="C185" t="s">
        <v>4840</v>
      </c>
      <c r="D185" t="s">
        <v>4841</v>
      </c>
      <c r="E185" t="s">
        <v>4842</v>
      </c>
      <c r="F185" t="s">
        <v>4843</v>
      </c>
      <c r="G185" t="s">
        <v>4844</v>
      </c>
      <c r="H185" t="s">
        <v>3564</v>
      </c>
      <c r="I185" t="s">
        <v>4845</v>
      </c>
      <c r="J185" t="s">
        <v>4846</v>
      </c>
      <c r="K185" t="s">
        <v>4602</v>
      </c>
      <c r="L185">
        <v>108980</v>
      </c>
      <c r="M185">
        <v>2.3999999999999998E-3</v>
      </c>
      <c r="N185" t="s">
        <v>322</v>
      </c>
      <c r="O185" t="s">
        <v>4847</v>
      </c>
    </row>
    <row r="186" spans="1:15" x14ac:dyDescent="0.25">
      <c r="A186" t="s">
        <v>564</v>
      </c>
      <c r="B186" t="s">
        <v>28</v>
      </c>
      <c r="C186" t="s">
        <v>3932</v>
      </c>
      <c r="D186" t="s">
        <v>3933</v>
      </c>
      <c r="E186" t="s">
        <v>4848</v>
      </c>
      <c r="F186" t="s">
        <v>4849</v>
      </c>
      <c r="G186" t="s">
        <v>4850</v>
      </c>
      <c r="I186" t="s">
        <v>4851</v>
      </c>
      <c r="J186" t="s">
        <v>4852</v>
      </c>
      <c r="K186" t="s">
        <v>132</v>
      </c>
      <c r="L186">
        <v>107210</v>
      </c>
      <c r="M186">
        <v>8.1000000000000013E-3</v>
      </c>
      <c r="N186" t="s">
        <v>3517</v>
      </c>
      <c r="O186" t="s">
        <v>4853</v>
      </c>
    </row>
    <row r="187" spans="1:15" x14ac:dyDescent="0.25">
      <c r="A187" t="s">
        <v>564</v>
      </c>
      <c r="B187" t="s">
        <v>28</v>
      </c>
      <c r="C187" t="s">
        <v>4854</v>
      </c>
      <c r="D187" t="s">
        <v>4855</v>
      </c>
      <c r="E187" t="s">
        <v>4856</v>
      </c>
      <c r="F187" t="s">
        <v>4857</v>
      </c>
      <c r="G187" t="s">
        <v>4858</v>
      </c>
      <c r="I187" t="s">
        <v>4859</v>
      </c>
      <c r="J187" t="s">
        <v>4860</v>
      </c>
      <c r="K187" t="s">
        <v>132</v>
      </c>
      <c r="L187">
        <v>102017</v>
      </c>
      <c r="M187">
        <v>1.1299999999999999E-2</v>
      </c>
      <c r="N187" t="s">
        <v>320</v>
      </c>
      <c r="O187" t="s">
        <v>4861</v>
      </c>
    </row>
    <row r="188" spans="1:15" x14ac:dyDescent="0.25">
      <c r="A188" t="s">
        <v>564</v>
      </c>
      <c r="B188" t="s">
        <v>30</v>
      </c>
      <c r="C188" t="s">
        <v>150</v>
      </c>
      <c r="D188" t="s">
        <v>3964</v>
      </c>
      <c r="E188" t="s">
        <v>1835</v>
      </c>
      <c r="F188" t="s">
        <v>1834</v>
      </c>
      <c r="G188" t="s">
        <v>4862</v>
      </c>
      <c r="H188" t="s">
        <v>3564</v>
      </c>
      <c r="I188" t="s">
        <v>4863</v>
      </c>
      <c r="J188" t="s">
        <v>4280</v>
      </c>
      <c r="K188" t="s">
        <v>3594</v>
      </c>
      <c r="L188">
        <v>446023</v>
      </c>
      <c r="M188">
        <v>1.49E-2</v>
      </c>
      <c r="N188" t="s">
        <v>3517</v>
      </c>
      <c r="O188" t="s">
        <v>1836</v>
      </c>
    </row>
    <row r="189" spans="1:15" x14ac:dyDescent="0.25">
      <c r="A189" t="s">
        <v>564</v>
      </c>
      <c r="B189" t="s">
        <v>28</v>
      </c>
      <c r="C189" t="s">
        <v>147</v>
      </c>
      <c r="D189" t="s">
        <v>3652</v>
      </c>
      <c r="E189" t="s">
        <v>4864</v>
      </c>
      <c r="F189" t="s">
        <v>4865</v>
      </c>
      <c r="G189" t="s">
        <v>4866</v>
      </c>
      <c r="H189" t="s">
        <v>3564</v>
      </c>
      <c r="I189" t="s">
        <v>4867</v>
      </c>
      <c r="J189" t="s">
        <v>3143</v>
      </c>
      <c r="L189">
        <v>2630605</v>
      </c>
      <c r="M189">
        <v>1.9E-3</v>
      </c>
      <c r="N189" t="s">
        <v>320</v>
      </c>
      <c r="O189" t="s">
        <v>4868</v>
      </c>
    </row>
    <row r="190" spans="1:15" x14ac:dyDescent="0.25">
      <c r="A190" t="s">
        <v>564</v>
      </c>
      <c r="B190" t="s">
        <v>28</v>
      </c>
      <c r="C190" t="s">
        <v>4089</v>
      </c>
      <c r="D190" t="s">
        <v>4090</v>
      </c>
      <c r="E190" t="s">
        <v>4869</v>
      </c>
      <c r="F190" t="s">
        <v>4870</v>
      </c>
      <c r="G190" t="s">
        <v>4871</v>
      </c>
      <c r="I190" t="s">
        <v>4872</v>
      </c>
      <c r="J190" t="s">
        <v>4535</v>
      </c>
      <c r="K190" t="s">
        <v>4384</v>
      </c>
      <c r="L190">
        <v>1221606</v>
      </c>
      <c r="M190">
        <v>1.21E-2</v>
      </c>
      <c r="N190" t="s">
        <v>322</v>
      </c>
      <c r="O190" t="s">
        <v>4873</v>
      </c>
    </row>
    <row r="191" spans="1:15" x14ac:dyDescent="0.25">
      <c r="A191" t="s">
        <v>564</v>
      </c>
      <c r="B191" t="s">
        <v>28</v>
      </c>
      <c r="C191" t="s">
        <v>146</v>
      </c>
      <c r="D191" t="s">
        <v>3699</v>
      </c>
      <c r="E191" t="s">
        <v>4874</v>
      </c>
      <c r="F191" t="s">
        <v>4875</v>
      </c>
      <c r="G191" t="s">
        <v>4876</v>
      </c>
      <c r="H191" t="s">
        <v>3564</v>
      </c>
      <c r="I191" t="s">
        <v>4877</v>
      </c>
      <c r="J191" t="s">
        <v>4010</v>
      </c>
      <c r="K191" t="s">
        <v>4003</v>
      </c>
      <c r="L191">
        <v>796972</v>
      </c>
      <c r="M191">
        <v>2.2000000000000001E-3</v>
      </c>
      <c r="N191" t="s">
        <v>320</v>
      </c>
      <c r="O191" t="s">
        <v>4878</v>
      </c>
    </row>
    <row r="192" spans="1:15" x14ac:dyDescent="0.25">
      <c r="A192" t="s">
        <v>564</v>
      </c>
      <c r="B192" t="s">
        <v>28</v>
      </c>
      <c r="C192" t="s">
        <v>4879</v>
      </c>
      <c r="D192" t="s">
        <v>4880</v>
      </c>
      <c r="E192" t="s">
        <v>4881</v>
      </c>
      <c r="F192" t="s">
        <v>4882</v>
      </c>
      <c r="G192" t="s">
        <v>4883</v>
      </c>
      <c r="I192" t="s">
        <v>4884</v>
      </c>
      <c r="J192" t="s">
        <v>4885</v>
      </c>
      <c r="K192" t="s">
        <v>4384</v>
      </c>
      <c r="L192">
        <v>549165</v>
      </c>
      <c r="M192">
        <v>8.6E-3</v>
      </c>
      <c r="N192" t="s">
        <v>322</v>
      </c>
      <c r="O192" t="s">
        <v>4886</v>
      </c>
    </row>
    <row r="193" spans="1:15" x14ac:dyDescent="0.25">
      <c r="A193" t="s">
        <v>564</v>
      </c>
      <c r="B193" t="s">
        <v>28</v>
      </c>
      <c r="C193" t="s">
        <v>150</v>
      </c>
      <c r="D193" t="s">
        <v>3964</v>
      </c>
      <c r="E193" t="s">
        <v>1301</v>
      </c>
      <c r="F193" t="s">
        <v>1300</v>
      </c>
      <c r="G193" t="s">
        <v>4887</v>
      </c>
      <c r="I193" t="s">
        <v>4888</v>
      </c>
      <c r="J193" t="s">
        <v>4889</v>
      </c>
      <c r="K193" t="s">
        <v>3973</v>
      </c>
      <c r="L193">
        <v>434946</v>
      </c>
      <c r="M193">
        <v>1.01E-2</v>
      </c>
      <c r="N193" t="s">
        <v>3577</v>
      </c>
      <c r="O193" t="s">
        <v>1302</v>
      </c>
    </row>
    <row r="194" spans="1:15" x14ac:dyDescent="0.25">
      <c r="A194" t="s">
        <v>564</v>
      </c>
      <c r="B194" t="s">
        <v>28</v>
      </c>
      <c r="C194" t="s">
        <v>4890</v>
      </c>
      <c r="D194" t="s">
        <v>4891</v>
      </c>
      <c r="E194" t="s">
        <v>4892</v>
      </c>
      <c r="F194" t="s">
        <v>4893</v>
      </c>
      <c r="G194" t="s">
        <v>4894</v>
      </c>
      <c r="I194" t="s">
        <v>4895</v>
      </c>
      <c r="J194" t="s">
        <v>4896</v>
      </c>
      <c r="K194" t="s">
        <v>4897</v>
      </c>
      <c r="L194">
        <v>383426</v>
      </c>
      <c r="M194">
        <v>1.8100000000000002E-2</v>
      </c>
      <c r="N194" t="s">
        <v>322</v>
      </c>
      <c r="O194" t="s">
        <v>4898</v>
      </c>
    </row>
    <row r="195" spans="1:15" x14ac:dyDescent="0.25">
      <c r="A195" t="s">
        <v>564</v>
      </c>
      <c r="B195" t="s">
        <v>28</v>
      </c>
      <c r="C195" t="s">
        <v>4899</v>
      </c>
      <c r="D195" t="s">
        <v>4900</v>
      </c>
      <c r="E195" t="s">
        <v>4901</v>
      </c>
      <c r="F195" t="s">
        <v>4741</v>
      </c>
      <c r="G195" t="s">
        <v>4902</v>
      </c>
      <c r="I195" t="s">
        <v>4903</v>
      </c>
      <c r="J195" t="s">
        <v>3541</v>
      </c>
      <c r="K195" t="s">
        <v>4300</v>
      </c>
      <c r="L195">
        <v>305854</v>
      </c>
      <c r="M195">
        <v>4.1900000000000007E-2</v>
      </c>
      <c r="N195" t="s">
        <v>320</v>
      </c>
      <c r="O195" t="s">
        <v>4904</v>
      </c>
    </row>
    <row r="196" spans="1:15" x14ac:dyDescent="0.25">
      <c r="A196" t="s">
        <v>564</v>
      </c>
      <c r="B196" t="s">
        <v>28</v>
      </c>
      <c r="C196" t="s">
        <v>147</v>
      </c>
      <c r="D196" t="s">
        <v>3652</v>
      </c>
      <c r="E196" t="s">
        <v>4905</v>
      </c>
      <c r="F196" t="s">
        <v>4906</v>
      </c>
      <c r="G196" t="s">
        <v>4907</v>
      </c>
      <c r="I196" t="s">
        <v>4908</v>
      </c>
      <c r="J196" t="s">
        <v>4909</v>
      </c>
      <c r="K196" t="s">
        <v>132</v>
      </c>
      <c r="L196">
        <v>272264</v>
      </c>
      <c r="M196">
        <v>3.5000000000000001E-3</v>
      </c>
      <c r="N196" t="s">
        <v>320</v>
      </c>
      <c r="O196" t="s">
        <v>4910</v>
      </c>
    </row>
    <row r="197" spans="1:15" x14ac:dyDescent="0.25">
      <c r="A197" t="s">
        <v>564</v>
      </c>
      <c r="B197" t="s">
        <v>28</v>
      </c>
      <c r="C197" t="s">
        <v>4911</v>
      </c>
      <c r="D197" t="s">
        <v>4912</v>
      </c>
      <c r="E197" t="s">
        <v>4913</v>
      </c>
      <c r="F197" t="s">
        <v>4914</v>
      </c>
      <c r="G197" t="s">
        <v>4915</v>
      </c>
      <c r="I197" t="s">
        <v>4916</v>
      </c>
      <c r="J197" t="s">
        <v>4917</v>
      </c>
      <c r="K197" t="s">
        <v>4918</v>
      </c>
      <c r="L197">
        <v>237771</v>
      </c>
      <c r="M197">
        <v>8.5000000000000006E-3</v>
      </c>
      <c r="N197" t="s">
        <v>320</v>
      </c>
      <c r="O197" t="s">
        <v>4919</v>
      </c>
    </row>
    <row r="198" spans="1:15" x14ac:dyDescent="0.25">
      <c r="A198" t="s">
        <v>564</v>
      </c>
      <c r="B198" t="s">
        <v>28</v>
      </c>
      <c r="C198" t="s">
        <v>4516</v>
      </c>
      <c r="D198" t="s">
        <v>4517</v>
      </c>
      <c r="E198" t="s">
        <v>4920</v>
      </c>
      <c r="F198" t="s">
        <v>4921</v>
      </c>
      <c r="G198" t="s">
        <v>4922</v>
      </c>
      <c r="I198" t="s">
        <v>4923</v>
      </c>
      <c r="J198" t="s">
        <v>4924</v>
      </c>
      <c r="K198" t="s">
        <v>4925</v>
      </c>
      <c r="L198">
        <v>204665</v>
      </c>
      <c r="M198">
        <v>8.5000000000000006E-3</v>
      </c>
      <c r="N198" t="s">
        <v>320</v>
      </c>
      <c r="O198" t="s">
        <v>4926</v>
      </c>
    </row>
    <row r="199" spans="1:15" x14ac:dyDescent="0.25">
      <c r="A199" t="s">
        <v>564</v>
      </c>
      <c r="B199" t="s">
        <v>28</v>
      </c>
      <c r="C199" t="s">
        <v>150</v>
      </c>
      <c r="D199" t="s">
        <v>3964</v>
      </c>
      <c r="E199" t="s">
        <v>1327</v>
      </c>
      <c r="F199" t="s">
        <v>1326</v>
      </c>
      <c r="G199" t="s">
        <v>4927</v>
      </c>
      <c r="H199" t="s">
        <v>3564</v>
      </c>
      <c r="I199" t="s">
        <v>4928</v>
      </c>
      <c r="J199" t="s">
        <v>4929</v>
      </c>
      <c r="K199" t="s">
        <v>3670</v>
      </c>
      <c r="L199">
        <v>184176</v>
      </c>
      <c r="M199">
        <v>4.1999999999999997E-3</v>
      </c>
      <c r="N199" t="s">
        <v>3577</v>
      </c>
      <c r="O199" t="s">
        <v>1328</v>
      </c>
    </row>
    <row r="200" spans="1:15" x14ac:dyDescent="0.25">
      <c r="A200" t="s">
        <v>564</v>
      </c>
      <c r="B200" t="s">
        <v>28</v>
      </c>
      <c r="C200" t="s">
        <v>3932</v>
      </c>
      <c r="D200" t="s">
        <v>3933</v>
      </c>
      <c r="E200" t="s">
        <v>4930</v>
      </c>
      <c r="F200" t="s">
        <v>4931</v>
      </c>
      <c r="G200" t="s">
        <v>4932</v>
      </c>
      <c r="I200" t="s">
        <v>4933</v>
      </c>
      <c r="J200" t="s">
        <v>4934</v>
      </c>
      <c r="K200" t="s">
        <v>132</v>
      </c>
      <c r="L200">
        <v>171087</v>
      </c>
      <c r="M200">
        <v>3.4000000000000002E-2</v>
      </c>
      <c r="N200" t="s">
        <v>320</v>
      </c>
      <c r="O200" t="s">
        <v>4935</v>
      </c>
    </row>
    <row r="201" spans="1:15" x14ac:dyDescent="0.25">
      <c r="A201" t="s">
        <v>564</v>
      </c>
      <c r="B201" t="s">
        <v>28</v>
      </c>
      <c r="C201" t="s">
        <v>4936</v>
      </c>
      <c r="D201" t="s">
        <v>4937</v>
      </c>
      <c r="E201" t="s">
        <v>4938</v>
      </c>
      <c r="F201" t="s">
        <v>4939</v>
      </c>
      <c r="G201" t="s">
        <v>4940</v>
      </c>
      <c r="H201" t="s">
        <v>3140</v>
      </c>
      <c r="I201" t="s">
        <v>4941</v>
      </c>
      <c r="J201" t="s">
        <v>4942</v>
      </c>
      <c r="K201" t="s">
        <v>132</v>
      </c>
      <c r="L201">
        <v>160646</v>
      </c>
      <c r="M201">
        <v>1.12E-2</v>
      </c>
      <c r="N201" t="s">
        <v>322</v>
      </c>
      <c r="O201" t="s">
        <v>4943</v>
      </c>
    </row>
    <row r="202" spans="1:15" x14ac:dyDescent="0.25">
      <c r="A202" t="s">
        <v>564</v>
      </c>
      <c r="B202" t="s">
        <v>28</v>
      </c>
      <c r="C202" t="s">
        <v>4507</v>
      </c>
      <c r="D202" t="s">
        <v>4508</v>
      </c>
      <c r="E202" t="s">
        <v>4944</v>
      </c>
      <c r="F202" t="s">
        <v>4945</v>
      </c>
      <c r="G202" t="s">
        <v>4946</v>
      </c>
      <c r="I202" t="s">
        <v>4947</v>
      </c>
      <c r="J202" t="s">
        <v>4948</v>
      </c>
      <c r="K202" t="s">
        <v>4949</v>
      </c>
      <c r="L202">
        <v>146899</v>
      </c>
      <c r="M202">
        <v>1.35E-2</v>
      </c>
      <c r="N202" t="s">
        <v>322</v>
      </c>
      <c r="O202" t="s">
        <v>4950</v>
      </c>
    </row>
    <row r="203" spans="1:15" x14ac:dyDescent="0.25">
      <c r="A203" t="s">
        <v>564</v>
      </c>
      <c r="B203" t="s">
        <v>28</v>
      </c>
      <c r="C203" t="s">
        <v>4854</v>
      </c>
      <c r="D203" t="s">
        <v>4855</v>
      </c>
      <c r="E203" t="s">
        <v>4951</v>
      </c>
      <c r="F203" t="s">
        <v>4952</v>
      </c>
      <c r="G203" t="s">
        <v>4953</v>
      </c>
      <c r="I203" t="s">
        <v>4954</v>
      </c>
      <c r="J203" t="s">
        <v>4955</v>
      </c>
      <c r="K203" t="s">
        <v>132</v>
      </c>
      <c r="L203">
        <v>138999</v>
      </c>
      <c r="M203">
        <v>6.7000000000000002E-3</v>
      </c>
      <c r="N203" t="s">
        <v>320</v>
      </c>
      <c r="O203" t="s">
        <v>4956</v>
      </c>
    </row>
    <row r="204" spans="1:15" x14ac:dyDescent="0.25">
      <c r="A204" t="s">
        <v>564</v>
      </c>
      <c r="B204" t="s">
        <v>28</v>
      </c>
      <c r="C204" t="s">
        <v>148</v>
      </c>
      <c r="D204" t="s">
        <v>3612</v>
      </c>
      <c r="E204" t="s">
        <v>4957</v>
      </c>
      <c r="F204" t="s">
        <v>4958</v>
      </c>
      <c r="G204" t="s">
        <v>4959</v>
      </c>
      <c r="H204" t="s">
        <v>3564</v>
      </c>
      <c r="I204" t="s">
        <v>4960</v>
      </c>
      <c r="J204" t="s">
        <v>4961</v>
      </c>
      <c r="K204" t="s">
        <v>4962</v>
      </c>
      <c r="L204">
        <v>134085</v>
      </c>
      <c r="M204">
        <v>6.6E-3</v>
      </c>
      <c r="N204" t="s">
        <v>320</v>
      </c>
      <c r="O204" t="s">
        <v>4963</v>
      </c>
    </row>
    <row r="205" spans="1:15" x14ac:dyDescent="0.25">
      <c r="A205" t="s">
        <v>564</v>
      </c>
      <c r="B205" t="s">
        <v>28</v>
      </c>
      <c r="C205" t="s">
        <v>4964</v>
      </c>
      <c r="D205" t="s">
        <v>4965</v>
      </c>
      <c r="E205" t="s">
        <v>4966</v>
      </c>
      <c r="F205" t="s">
        <v>4967</v>
      </c>
      <c r="G205" t="s">
        <v>4968</v>
      </c>
      <c r="H205" t="s">
        <v>3140</v>
      </c>
      <c r="I205" t="s">
        <v>4969</v>
      </c>
      <c r="J205" t="s">
        <v>4970</v>
      </c>
      <c r="K205" t="s">
        <v>132</v>
      </c>
      <c r="L205">
        <v>124799</v>
      </c>
      <c r="M205">
        <v>8.199999999999999E-3</v>
      </c>
      <c r="N205" t="s">
        <v>322</v>
      </c>
      <c r="O205" t="s">
        <v>4971</v>
      </c>
    </row>
    <row r="206" spans="1:15" x14ac:dyDescent="0.25">
      <c r="A206" t="s">
        <v>564</v>
      </c>
      <c r="B206" t="s">
        <v>28</v>
      </c>
      <c r="C206" t="s">
        <v>4972</v>
      </c>
      <c r="D206" t="s">
        <v>4973</v>
      </c>
      <c r="E206" t="s">
        <v>4974</v>
      </c>
      <c r="F206" t="s">
        <v>4975</v>
      </c>
      <c r="G206" t="s">
        <v>4976</v>
      </c>
      <c r="I206" t="s">
        <v>4977</v>
      </c>
      <c r="J206" t="s">
        <v>4978</v>
      </c>
      <c r="K206" t="s">
        <v>132</v>
      </c>
      <c r="L206">
        <v>117100</v>
      </c>
      <c r="M206">
        <v>3.3300000000000003E-2</v>
      </c>
      <c r="N206" t="s">
        <v>322</v>
      </c>
      <c r="O206" t="s">
        <v>4979</v>
      </c>
    </row>
    <row r="207" spans="1:15" x14ac:dyDescent="0.25">
      <c r="A207" t="s">
        <v>564</v>
      </c>
      <c r="B207" t="s">
        <v>28</v>
      </c>
      <c r="C207" t="s">
        <v>3579</v>
      </c>
      <c r="D207" t="s">
        <v>3580</v>
      </c>
      <c r="E207" t="s">
        <v>4980</v>
      </c>
      <c r="F207" t="s">
        <v>4981</v>
      </c>
      <c r="G207" t="s">
        <v>4982</v>
      </c>
      <c r="H207" t="s">
        <v>3564</v>
      </c>
      <c r="I207" t="s">
        <v>4983</v>
      </c>
      <c r="J207" t="s">
        <v>4984</v>
      </c>
      <c r="K207" t="s">
        <v>4985</v>
      </c>
      <c r="L207">
        <v>108903</v>
      </c>
      <c r="M207">
        <v>4.3E-3</v>
      </c>
      <c r="N207" t="s">
        <v>320</v>
      </c>
      <c r="O207" t="s">
        <v>4986</v>
      </c>
    </row>
    <row r="208" spans="1:15" x14ac:dyDescent="0.25">
      <c r="A208" t="s">
        <v>564</v>
      </c>
      <c r="B208" t="s">
        <v>28</v>
      </c>
      <c r="C208" t="s">
        <v>4987</v>
      </c>
      <c r="D208" t="s">
        <v>4988</v>
      </c>
      <c r="E208" t="s">
        <v>4989</v>
      </c>
      <c r="F208" t="s">
        <v>4428</v>
      </c>
      <c r="G208" t="s">
        <v>4990</v>
      </c>
      <c r="H208" t="s">
        <v>3140</v>
      </c>
      <c r="I208" t="s">
        <v>4991</v>
      </c>
      <c r="J208" t="s">
        <v>4992</v>
      </c>
      <c r="K208" t="s">
        <v>132</v>
      </c>
      <c r="L208">
        <v>107187</v>
      </c>
      <c r="M208">
        <v>7.1999999999999998E-3</v>
      </c>
      <c r="N208" t="s">
        <v>320</v>
      </c>
      <c r="O208" t="s">
        <v>4993</v>
      </c>
    </row>
    <row r="209" spans="1:15" x14ac:dyDescent="0.25">
      <c r="A209" t="s">
        <v>564</v>
      </c>
      <c r="B209" t="s">
        <v>28</v>
      </c>
      <c r="C209" t="s">
        <v>4994</v>
      </c>
      <c r="D209" t="s">
        <v>4995</v>
      </c>
      <c r="E209" t="s">
        <v>4996</v>
      </c>
      <c r="F209" t="s">
        <v>4997</v>
      </c>
      <c r="G209" t="s">
        <v>4998</v>
      </c>
      <c r="I209" t="s">
        <v>4999</v>
      </c>
      <c r="J209" t="s">
        <v>3558</v>
      </c>
      <c r="K209" t="s">
        <v>3649</v>
      </c>
      <c r="L209">
        <v>101540</v>
      </c>
      <c r="M209">
        <v>1.89E-2</v>
      </c>
      <c r="N209" t="s">
        <v>320</v>
      </c>
      <c r="O209" t="s">
        <v>5000</v>
      </c>
    </row>
    <row r="210" spans="1:15" x14ac:dyDescent="0.25">
      <c r="A210" t="s">
        <v>564</v>
      </c>
      <c r="B210" t="s">
        <v>30</v>
      </c>
      <c r="C210" t="s">
        <v>391</v>
      </c>
      <c r="D210" t="s">
        <v>4118</v>
      </c>
      <c r="E210" t="s">
        <v>5001</v>
      </c>
      <c r="F210" t="s">
        <v>5002</v>
      </c>
      <c r="G210" t="s">
        <v>5003</v>
      </c>
      <c r="H210" t="s">
        <v>3564</v>
      </c>
      <c r="I210" t="s">
        <v>5004</v>
      </c>
      <c r="J210" t="s">
        <v>3657</v>
      </c>
      <c r="K210" t="s">
        <v>3142</v>
      </c>
      <c r="L210">
        <v>425469</v>
      </c>
      <c r="M210">
        <v>6.8400000000000002E-2</v>
      </c>
      <c r="N210" t="s">
        <v>3517</v>
      </c>
      <c r="O210" t="s">
        <v>5005</v>
      </c>
    </row>
    <row r="211" spans="1:15" x14ac:dyDescent="0.25">
      <c r="A211" t="s">
        <v>564</v>
      </c>
      <c r="B211" t="s">
        <v>28</v>
      </c>
      <c r="C211" t="s">
        <v>147</v>
      </c>
      <c r="D211" t="s">
        <v>3652</v>
      </c>
      <c r="E211" t="s">
        <v>5006</v>
      </c>
      <c r="F211" t="s">
        <v>5007</v>
      </c>
      <c r="G211" t="s">
        <v>5008</v>
      </c>
      <c r="H211" t="s">
        <v>3564</v>
      </c>
      <c r="I211" t="s">
        <v>5009</v>
      </c>
      <c r="J211" t="s">
        <v>3144</v>
      </c>
      <c r="K211" t="s">
        <v>3141</v>
      </c>
      <c r="L211">
        <v>2455079</v>
      </c>
      <c r="M211">
        <v>2.3999999999999998E-3</v>
      </c>
      <c r="N211" t="s">
        <v>320</v>
      </c>
      <c r="O211" t="s">
        <v>5010</v>
      </c>
    </row>
    <row r="212" spans="1:15" x14ac:dyDescent="0.25">
      <c r="A212" t="s">
        <v>564</v>
      </c>
      <c r="B212" t="s">
        <v>28</v>
      </c>
      <c r="C212" t="s">
        <v>152</v>
      </c>
      <c r="D212" t="s">
        <v>4469</v>
      </c>
      <c r="E212" t="s">
        <v>5011</v>
      </c>
      <c r="F212" t="s">
        <v>5012</v>
      </c>
      <c r="G212" t="s">
        <v>5013</v>
      </c>
      <c r="H212" t="s">
        <v>3564</v>
      </c>
      <c r="I212" t="s">
        <v>5014</v>
      </c>
      <c r="J212" t="s">
        <v>4685</v>
      </c>
      <c r="K212" t="s">
        <v>3152</v>
      </c>
      <c r="L212">
        <v>1216797</v>
      </c>
      <c r="M212">
        <v>4.0999999999999986E-3</v>
      </c>
      <c r="N212" t="s">
        <v>3517</v>
      </c>
      <c r="O212" t="s">
        <v>5015</v>
      </c>
    </row>
    <row r="213" spans="1:15" x14ac:dyDescent="0.25">
      <c r="A213" t="s">
        <v>564</v>
      </c>
      <c r="B213" t="s">
        <v>28</v>
      </c>
      <c r="C213" t="s">
        <v>3842</v>
      </c>
      <c r="D213" t="s">
        <v>3843</v>
      </c>
      <c r="E213" t="s">
        <v>5016</v>
      </c>
      <c r="F213" t="s">
        <v>5017</v>
      </c>
      <c r="G213" t="s">
        <v>5018</v>
      </c>
      <c r="I213" t="s">
        <v>5019</v>
      </c>
      <c r="J213" t="s">
        <v>5020</v>
      </c>
      <c r="K213" t="s">
        <v>4804</v>
      </c>
      <c r="L213">
        <v>794970</v>
      </c>
      <c r="M213">
        <v>2.3099999999999999E-2</v>
      </c>
      <c r="N213" t="s">
        <v>3517</v>
      </c>
      <c r="O213" t="s">
        <v>5021</v>
      </c>
    </row>
    <row r="214" spans="1:15" x14ac:dyDescent="0.25">
      <c r="A214" t="s">
        <v>564</v>
      </c>
      <c r="B214" t="s">
        <v>28</v>
      </c>
      <c r="C214" t="s">
        <v>5022</v>
      </c>
      <c r="D214" t="s">
        <v>5023</v>
      </c>
      <c r="E214" t="s">
        <v>5024</v>
      </c>
      <c r="F214" t="s">
        <v>5025</v>
      </c>
      <c r="G214" t="s">
        <v>5026</v>
      </c>
      <c r="H214" t="s">
        <v>3140</v>
      </c>
      <c r="I214" t="s">
        <v>5027</v>
      </c>
      <c r="J214" t="s">
        <v>4370</v>
      </c>
      <c r="K214" t="s">
        <v>5028</v>
      </c>
      <c r="L214">
        <v>545877</v>
      </c>
      <c r="M214">
        <v>9.0000000000000011E-3</v>
      </c>
      <c r="N214" t="s">
        <v>320</v>
      </c>
      <c r="O214" t="s">
        <v>5029</v>
      </c>
    </row>
    <row r="215" spans="1:15" x14ac:dyDescent="0.25">
      <c r="A215" t="s">
        <v>564</v>
      </c>
      <c r="B215" t="s">
        <v>28</v>
      </c>
      <c r="C215" t="s">
        <v>4936</v>
      </c>
      <c r="D215" t="s">
        <v>4937</v>
      </c>
      <c r="E215" t="s">
        <v>5030</v>
      </c>
      <c r="F215" t="s">
        <v>5031</v>
      </c>
      <c r="G215" t="s">
        <v>5032</v>
      </c>
      <c r="I215" t="s">
        <v>5033</v>
      </c>
      <c r="J215" t="s">
        <v>5034</v>
      </c>
      <c r="K215" t="s">
        <v>5035</v>
      </c>
      <c r="L215">
        <v>432416</v>
      </c>
      <c r="M215">
        <v>7.7000000000000002E-3</v>
      </c>
      <c r="N215" t="s">
        <v>322</v>
      </c>
      <c r="O215" t="s">
        <v>5036</v>
      </c>
    </row>
    <row r="216" spans="1:15" x14ac:dyDescent="0.25">
      <c r="A216" t="s">
        <v>564</v>
      </c>
      <c r="B216" t="s">
        <v>28</v>
      </c>
      <c r="C216" t="s">
        <v>5037</v>
      </c>
      <c r="D216" t="s">
        <v>5038</v>
      </c>
      <c r="E216" t="s">
        <v>5039</v>
      </c>
      <c r="F216" t="s">
        <v>5040</v>
      </c>
      <c r="G216" t="s">
        <v>5041</v>
      </c>
      <c r="I216" t="s">
        <v>5042</v>
      </c>
      <c r="J216" t="s">
        <v>4962</v>
      </c>
      <c r="K216" t="s">
        <v>5043</v>
      </c>
      <c r="L216">
        <v>373083</v>
      </c>
      <c r="M216">
        <v>3.2899999999999999E-2</v>
      </c>
      <c r="N216" t="s">
        <v>320</v>
      </c>
      <c r="O216" t="s">
        <v>5044</v>
      </c>
    </row>
    <row r="217" spans="1:15" x14ac:dyDescent="0.25">
      <c r="A217" t="s">
        <v>564</v>
      </c>
      <c r="B217" t="s">
        <v>28</v>
      </c>
      <c r="C217" t="s">
        <v>4707</v>
      </c>
      <c r="D217" t="s">
        <v>4708</v>
      </c>
      <c r="E217" t="s">
        <v>5045</v>
      </c>
      <c r="F217" t="s">
        <v>5046</v>
      </c>
      <c r="G217" t="s">
        <v>5047</v>
      </c>
      <c r="H217" t="s">
        <v>3140</v>
      </c>
      <c r="I217" t="s">
        <v>5048</v>
      </c>
      <c r="J217" t="s">
        <v>5049</v>
      </c>
      <c r="K217" t="s">
        <v>132</v>
      </c>
      <c r="L217">
        <v>304445</v>
      </c>
      <c r="M217">
        <v>2.76E-2</v>
      </c>
      <c r="N217" t="s">
        <v>3577</v>
      </c>
      <c r="O217" t="s">
        <v>5050</v>
      </c>
    </row>
    <row r="218" spans="1:15" x14ac:dyDescent="0.25">
      <c r="A218" t="s">
        <v>564</v>
      </c>
      <c r="B218" t="s">
        <v>28</v>
      </c>
      <c r="C218" t="s">
        <v>146</v>
      </c>
      <c r="D218" t="s">
        <v>3699</v>
      </c>
      <c r="E218" t="s">
        <v>5051</v>
      </c>
      <c r="F218" t="s">
        <v>5052</v>
      </c>
      <c r="G218" t="s">
        <v>5053</v>
      </c>
      <c r="H218" t="s">
        <v>3564</v>
      </c>
      <c r="I218" t="s">
        <v>5054</v>
      </c>
      <c r="J218" t="s">
        <v>4812</v>
      </c>
      <c r="K218" t="s">
        <v>3601</v>
      </c>
      <c r="L218">
        <v>262307</v>
      </c>
      <c r="M218">
        <v>4.5000000000000014E-3</v>
      </c>
      <c r="N218" t="s">
        <v>320</v>
      </c>
      <c r="O218" t="s">
        <v>5055</v>
      </c>
    </row>
    <row r="219" spans="1:15" x14ac:dyDescent="0.25">
      <c r="A219" t="s">
        <v>564</v>
      </c>
      <c r="B219" t="s">
        <v>28</v>
      </c>
      <c r="C219" t="s">
        <v>4352</v>
      </c>
      <c r="D219" t="s">
        <v>4353</v>
      </c>
      <c r="E219" t="s">
        <v>5056</v>
      </c>
      <c r="F219" t="s">
        <v>5057</v>
      </c>
      <c r="G219" t="s">
        <v>5058</v>
      </c>
      <c r="I219" t="s">
        <v>5059</v>
      </c>
      <c r="J219" t="s">
        <v>5060</v>
      </c>
      <c r="K219" t="s">
        <v>3907</v>
      </c>
      <c r="L219">
        <v>236751</v>
      </c>
      <c r="M219">
        <v>5.0000000000000001E-3</v>
      </c>
      <c r="N219" t="s">
        <v>322</v>
      </c>
      <c r="O219" t="s">
        <v>5061</v>
      </c>
    </row>
    <row r="220" spans="1:15" x14ac:dyDescent="0.25">
      <c r="A220" t="s">
        <v>564</v>
      </c>
      <c r="B220" t="s">
        <v>28</v>
      </c>
      <c r="C220" t="s">
        <v>5062</v>
      </c>
      <c r="D220" t="s">
        <v>5063</v>
      </c>
      <c r="E220" t="s">
        <v>5064</v>
      </c>
      <c r="F220" t="s">
        <v>5065</v>
      </c>
      <c r="G220" t="s">
        <v>5066</v>
      </c>
      <c r="I220" t="s">
        <v>5067</v>
      </c>
      <c r="J220" t="s">
        <v>5068</v>
      </c>
      <c r="K220" t="s">
        <v>3840</v>
      </c>
      <c r="L220">
        <v>203535</v>
      </c>
      <c r="M220">
        <v>1.21E-2</v>
      </c>
      <c r="N220" t="s">
        <v>322</v>
      </c>
      <c r="O220" t="s">
        <v>5069</v>
      </c>
    </row>
    <row r="221" spans="1:15" x14ac:dyDescent="0.25">
      <c r="A221" t="s">
        <v>564</v>
      </c>
      <c r="B221" t="s">
        <v>28</v>
      </c>
      <c r="C221" t="s">
        <v>5070</v>
      </c>
      <c r="D221" t="s">
        <v>5071</v>
      </c>
      <c r="E221" t="s">
        <v>5072</v>
      </c>
      <c r="F221" t="s">
        <v>5073</v>
      </c>
      <c r="G221" t="s">
        <v>5074</v>
      </c>
      <c r="H221" t="s">
        <v>3564</v>
      </c>
      <c r="I221" t="s">
        <v>5075</v>
      </c>
      <c r="J221" t="s">
        <v>5076</v>
      </c>
      <c r="K221" t="s">
        <v>4896</v>
      </c>
      <c r="L221">
        <v>183897</v>
      </c>
      <c r="M221">
        <v>1.8E-3</v>
      </c>
      <c r="N221" t="s">
        <v>320</v>
      </c>
      <c r="O221" t="s">
        <v>5077</v>
      </c>
    </row>
    <row r="222" spans="1:15" x14ac:dyDescent="0.25">
      <c r="A222" t="s">
        <v>564</v>
      </c>
      <c r="B222" t="s">
        <v>28</v>
      </c>
      <c r="C222" t="s">
        <v>146</v>
      </c>
      <c r="D222" t="s">
        <v>3699</v>
      </c>
      <c r="E222" t="s">
        <v>5078</v>
      </c>
      <c r="F222" t="s">
        <v>5079</v>
      </c>
      <c r="G222" t="s">
        <v>5080</v>
      </c>
      <c r="H222" t="s">
        <v>3564</v>
      </c>
      <c r="I222" t="s">
        <v>5081</v>
      </c>
      <c r="J222" t="s">
        <v>5082</v>
      </c>
      <c r="K222" t="s">
        <v>5083</v>
      </c>
      <c r="L222">
        <v>170897</v>
      </c>
      <c r="M222">
        <v>6.1999999999999998E-3</v>
      </c>
      <c r="N222" t="s">
        <v>322</v>
      </c>
      <c r="O222" t="s">
        <v>5084</v>
      </c>
    </row>
    <row r="223" spans="1:15" x14ac:dyDescent="0.25">
      <c r="A223" t="s">
        <v>564</v>
      </c>
      <c r="B223" t="s">
        <v>28</v>
      </c>
      <c r="C223" t="s">
        <v>5085</v>
      </c>
      <c r="D223" t="s">
        <v>5086</v>
      </c>
      <c r="E223" t="s">
        <v>5087</v>
      </c>
      <c r="F223" t="s">
        <v>5088</v>
      </c>
      <c r="G223" t="s">
        <v>5089</v>
      </c>
      <c r="I223" t="s">
        <v>5090</v>
      </c>
      <c r="J223" t="s">
        <v>5091</v>
      </c>
      <c r="K223" t="s">
        <v>5092</v>
      </c>
      <c r="L223">
        <v>160591</v>
      </c>
      <c r="M223">
        <v>2.2000000000000001E-3</v>
      </c>
      <c r="N223" t="s">
        <v>320</v>
      </c>
      <c r="O223" t="s">
        <v>5093</v>
      </c>
    </row>
    <row r="224" spans="1:15" x14ac:dyDescent="0.25">
      <c r="A224" t="s">
        <v>564</v>
      </c>
      <c r="B224" t="s">
        <v>28</v>
      </c>
      <c r="C224" t="s">
        <v>4352</v>
      </c>
      <c r="D224" t="s">
        <v>4353</v>
      </c>
      <c r="E224" t="s">
        <v>5094</v>
      </c>
      <c r="F224" t="s">
        <v>5095</v>
      </c>
      <c r="G224" t="s">
        <v>5096</v>
      </c>
      <c r="I224" t="s">
        <v>5097</v>
      </c>
      <c r="J224" t="s">
        <v>5098</v>
      </c>
      <c r="K224" t="s">
        <v>132</v>
      </c>
      <c r="L224">
        <v>146623</v>
      </c>
      <c r="M224">
        <v>2.8999999999999998E-3</v>
      </c>
      <c r="N224" t="s">
        <v>320</v>
      </c>
      <c r="O224" t="s">
        <v>5099</v>
      </c>
    </row>
    <row r="225" spans="1:15" x14ac:dyDescent="0.25">
      <c r="A225" t="s">
        <v>564</v>
      </c>
      <c r="B225" t="s">
        <v>28</v>
      </c>
      <c r="C225" t="s">
        <v>3932</v>
      </c>
      <c r="D225" t="s">
        <v>3933</v>
      </c>
      <c r="E225" t="s">
        <v>5100</v>
      </c>
      <c r="F225" t="s">
        <v>5101</v>
      </c>
      <c r="G225" t="s">
        <v>5102</v>
      </c>
      <c r="I225" t="s">
        <v>5103</v>
      </c>
      <c r="J225" t="s">
        <v>5104</v>
      </c>
      <c r="K225" t="s">
        <v>5105</v>
      </c>
      <c r="L225">
        <v>138859</v>
      </c>
      <c r="M225">
        <v>8.199999999999999E-3</v>
      </c>
      <c r="N225" t="s">
        <v>322</v>
      </c>
      <c r="O225" t="s">
        <v>5106</v>
      </c>
    </row>
    <row r="226" spans="1:15" x14ac:dyDescent="0.25">
      <c r="A226" t="s">
        <v>564</v>
      </c>
      <c r="B226" t="s">
        <v>28</v>
      </c>
      <c r="C226" t="s">
        <v>4080</v>
      </c>
      <c r="D226" t="s">
        <v>4081</v>
      </c>
      <c r="E226" t="s">
        <v>5107</v>
      </c>
      <c r="F226" t="s">
        <v>5108</v>
      </c>
      <c r="G226" t="s">
        <v>5109</v>
      </c>
      <c r="H226" t="s">
        <v>3564</v>
      </c>
      <c r="I226" t="s">
        <v>5110</v>
      </c>
      <c r="J226" t="s">
        <v>5111</v>
      </c>
      <c r="K226" t="s">
        <v>4619</v>
      </c>
      <c r="L226">
        <v>131889</v>
      </c>
      <c r="M226">
        <v>3.5999999999999999E-3</v>
      </c>
      <c r="N226" t="s">
        <v>322</v>
      </c>
      <c r="O226" t="s">
        <v>5112</v>
      </c>
    </row>
    <row r="227" spans="1:15" x14ac:dyDescent="0.25">
      <c r="A227" t="s">
        <v>564</v>
      </c>
      <c r="B227" t="s">
        <v>28</v>
      </c>
      <c r="C227" t="s">
        <v>5113</v>
      </c>
      <c r="D227" t="s">
        <v>5114</v>
      </c>
      <c r="E227" t="s">
        <v>5115</v>
      </c>
      <c r="F227" t="s">
        <v>5116</v>
      </c>
      <c r="G227" t="s">
        <v>5117</v>
      </c>
      <c r="H227" t="s">
        <v>4436</v>
      </c>
      <c r="I227" t="s">
        <v>5118</v>
      </c>
      <c r="J227" t="s">
        <v>5119</v>
      </c>
      <c r="K227" t="s">
        <v>132</v>
      </c>
      <c r="L227">
        <v>123539</v>
      </c>
      <c r="M227">
        <v>2.8E-3</v>
      </c>
      <c r="N227" t="s">
        <v>320</v>
      </c>
      <c r="O227" t="s">
        <v>5120</v>
      </c>
    </row>
    <row r="228" spans="1:15" x14ac:dyDescent="0.25">
      <c r="A228" t="s">
        <v>564</v>
      </c>
      <c r="B228" t="s">
        <v>28</v>
      </c>
      <c r="C228" t="s">
        <v>149</v>
      </c>
      <c r="D228" t="s">
        <v>4806</v>
      </c>
      <c r="E228" t="s">
        <v>5121</v>
      </c>
      <c r="F228" t="s">
        <v>5122</v>
      </c>
      <c r="G228" t="s">
        <v>5123</v>
      </c>
      <c r="H228" t="s">
        <v>3564</v>
      </c>
      <c r="I228" t="s">
        <v>5124</v>
      </c>
      <c r="J228" t="s">
        <v>5125</v>
      </c>
      <c r="K228" t="s">
        <v>4341</v>
      </c>
      <c r="L228">
        <v>116495</v>
      </c>
      <c r="M228">
        <v>1.0800000000000001E-2</v>
      </c>
      <c r="N228" t="s">
        <v>322</v>
      </c>
      <c r="O228" t="s">
        <v>5126</v>
      </c>
    </row>
    <row r="229" spans="1:15" x14ac:dyDescent="0.25">
      <c r="A229" t="s">
        <v>564</v>
      </c>
      <c r="B229" t="s">
        <v>28</v>
      </c>
      <c r="C229" t="s">
        <v>4648</v>
      </c>
      <c r="D229" t="s">
        <v>4649</v>
      </c>
      <c r="E229" t="s">
        <v>5127</v>
      </c>
      <c r="F229" t="s">
        <v>5128</v>
      </c>
      <c r="G229" t="s">
        <v>5129</v>
      </c>
      <c r="I229" t="s">
        <v>5130</v>
      </c>
      <c r="J229" t="s">
        <v>3550</v>
      </c>
      <c r="K229" t="s">
        <v>3526</v>
      </c>
      <c r="L229">
        <v>108877</v>
      </c>
      <c r="M229">
        <v>7.4000000000000003E-3</v>
      </c>
      <c r="N229" t="s">
        <v>320</v>
      </c>
      <c r="O229" t="s">
        <v>5131</v>
      </c>
    </row>
    <row r="230" spans="1:15" x14ac:dyDescent="0.25">
      <c r="A230" t="s">
        <v>564</v>
      </c>
      <c r="B230" t="s">
        <v>28</v>
      </c>
      <c r="C230" t="s">
        <v>5062</v>
      </c>
      <c r="D230" t="s">
        <v>5063</v>
      </c>
      <c r="E230" t="s">
        <v>5132</v>
      </c>
      <c r="F230" t="s">
        <v>5133</v>
      </c>
      <c r="G230" t="s">
        <v>5134</v>
      </c>
      <c r="H230" t="s">
        <v>3671</v>
      </c>
      <c r="I230" t="s">
        <v>5135</v>
      </c>
      <c r="J230" t="s">
        <v>5136</v>
      </c>
      <c r="K230" t="s">
        <v>132</v>
      </c>
      <c r="L230">
        <v>106790</v>
      </c>
      <c r="M230">
        <v>6.3E-3</v>
      </c>
      <c r="N230" t="s">
        <v>322</v>
      </c>
      <c r="O230" t="s">
        <v>5137</v>
      </c>
    </row>
    <row r="231" spans="1:15" x14ac:dyDescent="0.25">
      <c r="A231" t="s">
        <v>564</v>
      </c>
      <c r="B231" t="s">
        <v>28</v>
      </c>
      <c r="C231" t="s">
        <v>5138</v>
      </c>
      <c r="D231" t="s">
        <v>5139</v>
      </c>
      <c r="E231" t="s">
        <v>5140</v>
      </c>
      <c r="F231" t="s">
        <v>5141</v>
      </c>
      <c r="G231" t="s">
        <v>5142</v>
      </c>
      <c r="I231" t="s">
        <v>5143</v>
      </c>
      <c r="J231" t="s">
        <v>5144</v>
      </c>
      <c r="K231" t="s">
        <v>132</v>
      </c>
      <c r="L231">
        <v>101066</v>
      </c>
      <c r="M231">
        <v>6.1999999999999998E-3</v>
      </c>
      <c r="N231" t="s">
        <v>320</v>
      </c>
      <c r="O231" t="s">
        <v>5145</v>
      </c>
    </row>
    <row r="232" spans="1:15" x14ac:dyDescent="0.25">
      <c r="A232" t="s">
        <v>564</v>
      </c>
      <c r="B232" t="s">
        <v>30</v>
      </c>
      <c r="C232" t="s">
        <v>5146</v>
      </c>
      <c r="D232" t="s">
        <v>5147</v>
      </c>
      <c r="E232" t="s">
        <v>5148</v>
      </c>
      <c r="F232" t="s">
        <v>5149</v>
      </c>
      <c r="G232" t="s">
        <v>5150</v>
      </c>
      <c r="I232" t="s">
        <v>5151</v>
      </c>
      <c r="J232" t="s">
        <v>5152</v>
      </c>
      <c r="K232" t="s">
        <v>4542</v>
      </c>
      <c r="L232">
        <v>383875</v>
      </c>
      <c r="M232">
        <v>0.1598</v>
      </c>
      <c r="N232" t="s">
        <v>3517</v>
      </c>
      <c r="O232" t="s">
        <v>5153</v>
      </c>
    </row>
    <row r="233" spans="1:15" x14ac:dyDescent="0.25">
      <c r="A233" t="s">
        <v>564</v>
      </c>
      <c r="B233" t="s">
        <v>28</v>
      </c>
      <c r="C233" t="s">
        <v>146</v>
      </c>
      <c r="D233" t="s">
        <v>3699</v>
      </c>
      <c r="E233" t="s">
        <v>5154</v>
      </c>
      <c r="F233" t="s">
        <v>5155</v>
      </c>
      <c r="G233" t="s">
        <v>5156</v>
      </c>
      <c r="H233" t="s">
        <v>3564</v>
      </c>
      <c r="I233" t="s">
        <v>5157</v>
      </c>
      <c r="J233" t="s">
        <v>3152</v>
      </c>
      <c r="L233">
        <v>2289457</v>
      </c>
      <c r="M233">
        <v>7.1999999999999998E-3</v>
      </c>
      <c r="N233" t="s">
        <v>322</v>
      </c>
      <c r="O233" t="s">
        <v>5158</v>
      </c>
    </row>
    <row r="234" spans="1:15" x14ac:dyDescent="0.25">
      <c r="A234" t="s">
        <v>564</v>
      </c>
      <c r="B234" t="s">
        <v>28</v>
      </c>
      <c r="C234" t="s">
        <v>4678</v>
      </c>
      <c r="D234" t="s">
        <v>4679</v>
      </c>
      <c r="E234" t="s">
        <v>5159</v>
      </c>
      <c r="F234" t="s">
        <v>5160</v>
      </c>
      <c r="G234" t="s">
        <v>5161</v>
      </c>
      <c r="I234" t="s">
        <v>5162</v>
      </c>
      <c r="J234" t="s">
        <v>5163</v>
      </c>
      <c r="K234" t="s">
        <v>4123</v>
      </c>
      <c r="L234">
        <v>1191982</v>
      </c>
      <c r="M234">
        <v>9.0000000000000011E-3</v>
      </c>
      <c r="N234" t="s">
        <v>322</v>
      </c>
      <c r="O234" t="s">
        <v>5164</v>
      </c>
    </row>
    <row r="235" spans="1:15" x14ac:dyDescent="0.25">
      <c r="A235" t="s">
        <v>564</v>
      </c>
      <c r="B235" t="s">
        <v>28</v>
      </c>
      <c r="C235" t="s">
        <v>149</v>
      </c>
      <c r="D235" t="s">
        <v>4806</v>
      </c>
      <c r="E235" t="s">
        <v>5165</v>
      </c>
      <c r="F235" t="s">
        <v>5166</v>
      </c>
      <c r="G235" t="s">
        <v>5167</v>
      </c>
      <c r="H235" t="s">
        <v>3564</v>
      </c>
      <c r="I235" t="s">
        <v>5168</v>
      </c>
      <c r="J235" t="s">
        <v>4594</v>
      </c>
      <c r="K235" t="s">
        <v>5169</v>
      </c>
      <c r="L235">
        <v>784917</v>
      </c>
      <c r="M235">
        <v>2.2000000000000001E-3</v>
      </c>
      <c r="N235" t="s">
        <v>322</v>
      </c>
      <c r="O235" t="s">
        <v>5170</v>
      </c>
    </row>
    <row r="236" spans="1:15" x14ac:dyDescent="0.25">
      <c r="A236" t="s">
        <v>564</v>
      </c>
      <c r="B236" t="s">
        <v>28</v>
      </c>
      <c r="C236" t="s">
        <v>5171</v>
      </c>
      <c r="D236" t="s">
        <v>5172</v>
      </c>
      <c r="E236" t="s">
        <v>5173</v>
      </c>
      <c r="F236" t="s">
        <v>5174</v>
      </c>
      <c r="G236" t="s">
        <v>5175</v>
      </c>
      <c r="I236" t="s">
        <v>5176</v>
      </c>
      <c r="J236" t="s">
        <v>5177</v>
      </c>
      <c r="K236" t="s">
        <v>3535</v>
      </c>
      <c r="L236">
        <v>534398</v>
      </c>
      <c r="M236">
        <v>2.8199999999999999E-2</v>
      </c>
      <c r="N236" t="s">
        <v>320</v>
      </c>
      <c r="O236" t="s">
        <v>5178</v>
      </c>
    </row>
    <row r="237" spans="1:15" x14ac:dyDescent="0.25">
      <c r="A237" t="s">
        <v>564</v>
      </c>
      <c r="B237" t="s">
        <v>28</v>
      </c>
      <c r="C237" t="s">
        <v>4134</v>
      </c>
      <c r="D237" t="s">
        <v>4135</v>
      </c>
      <c r="E237" t="s">
        <v>5179</v>
      </c>
      <c r="F237" t="s">
        <v>5180</v>
      </c>
      <c r="G237" t="s">
        <v>5181</v>
      </c>
      <c r="H237" t="s">
        <v>3140</v>
      </c>
      <c r="I237" t="s">
        <v>5182</v>
      </c>
      <c r="J237" t="s">
        <v>5183</v>
      </c>
      <c r="K237" t="s">
        <v>5184</v>
      </c>
      <c r="L237">
        <v>431054</v>
      </c>
      <c r="M237">
        <v>6.3E-3</v>
      </c>
      <c r="N237" t="s">
        <v>3517</v>
      </c>
      <c r="O237" t="s">
        <v>5185</v>
      </c>
    </row>
    <row r="238" spans="1:15" x14ac:dyDescent="0.25">
      <c r="A238" t="s">
        <v>564</v>
      </c>
      <c r="B238" t="s">
        <v>28</v>
      </c>
      <c r="C238" t="s">
        <v>4154</v>
      </c>
      <c r="D238" t="s">
        <v>4155</v>
      </c>
      <c r="E238" t="s">
        <v>5186</v>
      </c>
      <c r="F238" t="s">
        <v>5187</v>
      </c>
      <c r="G238" t="s">
        <v>5188</v>
      </c>
      <c r="I238" t="s">
        <v>5189</v>
      </c>
      <c r="J238" t="s">
        <v>5190</v>
      </c>
      <c r="K238" t="s">
        <v>3657</v>
      </c>
      <c r="L238">
        <v>371430</v>
      </c>
      <c r="M238">
        <v>4.7999999999999996E-3</v>
      </c>
      <c r="N238" t="s">
        <v>320</v>
      </c>
      <c r="O238" t="s">
        <v>5191</v>
      </c>
    </row>
    <row r="239" spans="1:15" x14ac:dyDescent="0.25">
      <c r="A239" t="s">
        <v>564</v>
      </c>
      <c r="B239" t="s">
        <v>28</v>
      </c>
      <c r="C239" t="s">
        <v>5192</v>
      </c>
      <c r="D239" t="s">
        <v>5193</v>
      </c>
      <c r="E239" t="s">
        <v>5194</v>
      </c>
      <c r="F239" t="s">
        <v>5195</v>
      </c>
      <c r="G239" t="s">
        <v>5196</v>
      </c>
      <c r="I239" t="s">
        <v>5197</v>
      </c>
      <c r="J239" t="s">
        <v>5198</v>
      </c>
      <c r="K239" t="s">
        <v>3664</v>
      </c>
      <c r="L239">
        <v>304427</v>
      </c>
      <c r="M239">
        <v>9.7000000000000003E-3</v>
      </c>
      <c r="N239" t="s">
        <v>320</v>
      </c>
      <c r="O239" t="s">
        <v>5199</v>
      </c>
    </row>
    <row r="240" spans="1:15" x14ac:dyDescent="0.25">
      <c r="A240" t="s">
        <v>564</v>
      </c>
      <c r="B240" t="s">
        <v>28</v>
      </c>
      <c r="C240" t="s">
        <v>149</v>
      </c>
      <c r="D240" t="s">
        <v>4806</v>
      </c>
      <c r="E240" t="s">
        <v>5200</v>
      </c>
      <c r="F240" t="s">
        <v>5201</v>
      </c>
      <c r="G240" t="s">
        <v>5202</v>
      </c>
      <c r="I240" t="s">
        <v>5203</v>
      </c>
      <c r="J240" t="s">
        <v>5204</v>
      </c>
      <c r="K240" t="s">
        <v>5205</v>
      </c>
      <c r="L240">
        <v>257089</v>
      </c>
      <c r="M240">
        <v>9.5999999999999992E-3</v>
      </c>
      <c r="N240" t="s">
        <v>322</v>
      </c>
      <c r="O240" t="s">
        <v>5206</v>
      </c>
    </row>
    <row r="241" spans="1:15" x14ac:dyDescent="0.25">
      <c r="A241" t="s">
        <v>564</v>
      </c>
      <c r="B241" t="s">
        <v>28</v>
      </c>
      <c r="C241" t="s">
        <v>4760</v>
      </c>
      <c r="D241" t="s">
        <v>4761</v>
      </c>
      <c r="E241" t="s">
        <v>5207</v>
      </c>
      <c r="F241" t="s">
        <v>5208</v>
      </c>
      <c r="G241" t="s">
        <v>5209</v>
      </c>
      <c r="H241" t="s">
        <v>3564</v>
      </c>
      <c r="I241" t="s">
        <v>5210</v>
      </c>
      <c r="J241" t="s">
        <v>5211</v>
      </c>
      <c r="K241" t="s">
        <v>4286</v>
      </c>
      <c r="L241">
        <v>236099</v>
      </c>
      <c r="M241">
        <v>5.1999999999999998E-3</v>
      </c>
      <c r="N241" t="s">
        <v>320</v>
      </c>
      <c r="O241" t="s">
        <v>5212</v>
      </c>
    </row>
    <row r="242" spans="1:15" x14ac:dyDescent="0.25">
      <c r="A242" t="s">
        <v>564</v>
      </c>
      <c r="B242" t="s">
        <v>28</v>
      </c>
      <c r="C242" t="s">
        <v>146</v>
      </c>
      <c r="D242" t="s">
        <v>3699</v>
      </c>
      <c r="E242" t="s">
        <v>5213</v>
      </c>
      <c r="F242" t="s">
        <v>5214</v>
      </c>
      <c r="G242" t="s">
        <v>5215</v>
      </c>
      <c r="H242" t="s">
        <v>3564</v>
      </c>
      <c r="I242" t="s">
        <v>5216</v>
      </c>
      <c r="J242" t="s">
        <v>5217</v>
      </c>
      <c r="K242" t="s">
        <v>3649</v>
      </c>
      <c r="L242">
        <v>201824</v>
      </c>
      <c r="M242">
        <v>8.8000000000000005E-3</v>
      </c>
      <c r="N242" t="s">
        <v>320</v>
      </c>
      <c r="O242" t="s">
        <v>5218</v>
      </c>
    </row>
    <row r="243" spans="1:15" x14ac:dyDescent="0.25">
      <c r="A243" t="s">
        <v>564</v>
      </c>
      <c r="B243" t="s">
        <v>28</v>
      </c>
      <c r="C243" t="s">
        <v>5219</v>
      </c>
      <c r="D243" t="s">
        <v>5220</v>
      </c>
      <c r="E243" t="s">
        <v>5221</v>
      </c>
      <c r="F243" t="s">
        <v>5222</v>
      </c>
      <c r="G243" t="s">
        <v>5223</v>
      </c>
      <c r="H243" t="s">
        <v>3564</v>
      </c>
      <c r="I243" t="s">
        <v>5224</v>
      </c>
      <c r="J243" t="s">
        <v>5225</v>
      </c>
      <c r="K243" t="s">
        <v>3663</v>
      </c>
      <c r="L243">
        <v>183069</v>
      </c>
      <c r="M243">
        <v>4.5000000000000014E-3</v>
      </c>
      <c r="N243" t="s">
        <v>322</v>
      </c>
      <c r="O243" t="s">
        <v>5226</v>
      </c>
    </row>
    <row r="244" spans="1:15" x14ac:dyDescent="0.25">
      <c r="A244" t="s">
        <v>564</v>
      </c>
      <c r="B244" t="s">
        <v>28</v>
      </c>
      <c r="C244" t="s">
        <v>3955</v>
      </c>
      <c r="D244" t="s">
        <v>3956</v>
      </c>
      <c r="E244" t="s">
        <v>5227</v>
      </c>
      <c r="F244" t="s">
        <v>5228</v>
      </c>
      <c r="G244" t="s">
        <v>5229</v>
      </c>
      <c r="H244" t="s">
        <v>3564</v>
      </c>
      <c r="I244" t="s">
        <v>5230</v>
      </c>
      <c r="J244" t="s">
        <v>5231</v>
      </c>
      <c r="K244" t="s">
        <v>4307</v>
      </c>
      <c r="L244">
        <v>169929</v>
      </c>
      <c r="M244">
        <v>1.37E-2</v>
      </c>
      <c r="N244" t="s">
        <v>3517</v>
      </c>
      <c r="O244" t="s">
        <v>5232</v>
      </c>
    </row>
    <row r="245" spans="1:15" x14ac:dyDescent="0.25">
      <c r="A245" t="s">
        <v>564</v>
      </c>
      <c r="B245" t="s">
        <v>28</v>
      </c>
      <c r="C245" t="s">
        <v>3955</v>
      </c>
      <c r="D245" t="s">
        <v>3956</v>
      </c>
      <c r="E245" t="s">
        <v>5233</v>
      </c>
      <c r="F245" t="s">
        <v>5234</v>
      </c>
      <c r="G245" t="s">
        <v>5235</v>
      </c>
      <c r="H245" t="s">
        <v>3564</v>
      </c>
      <c r="I245" t="s">
        <v>5236</v>
      </c>
      <c r="J245" t="s">
        <v>5237</v>
      </c>
      <c r="K245" t="s">
        <v>3625</v>
      </c>
      <c r="L245">
        <v>157869</v>
      </c>
      <c r="M245">
        <v>2.2200000000000001E-2</v>
      </c>
      <c r="N245" t="s">
        <v>320</v>
      </c>
      <c r="O245" t="s">
        <v>5238</v>
      </c>
    </row>
    <row r="246" spans="1:15" x14ac:dyDescent="0.25">
      <c r="A246" t="s">
        <v>564</v>
      </c>
      <c r="B246" t="s">
        <v>28</v>
      </c>
      <c r="C246" t="s">
        <v>4021</v>
      </c>
      <c r="D246" t="s">
        <v>4022</v>
      </c>
      <c r="E246" t="s">
        <v>5239</v>
      </c>
      <c r="F246" t="s">
        <v>5240</v>
      </c>
      <c r="G246" t="s">
        <v>5241</v>
      </c>
      <c r="H246" t="s">
        <v>3564</v>
      </c>
      <c r="I246" t="s">
        <v>5242</v>
      </c>
      <c r="J246" t="s">
        <v>5243</v>
      </c>
      <c r="K246" t="s">
        <v>3601</v>
      </c>
      <c r="L246">
        <v>145624</v>
      </c>
      <c r="M246">
        <v>1.8700000000000001E-2</v>
      </c>
      <c r="N246" t="s">
        <v>320</v>
      </c>
      <c r="O246" t="s">
        <v>5244</v>
      </c>
    </row>
    <row r="247" spans="1:15" x14ac:dyDescent="0.25">
      <c r="A247" t="s">
        <v>564</v>
      </c>
      <c r="B247" t="s">
        <v>28</v>
      </c>
      <c r="C247" t="s">
        <v>3980</v>
      </c>
      <c r="D247" t="s">
        <v>3981</v>
      </c>
      <c r="E247" t="s">
        <v>5245</v>
      </c>
      <c r="F247" t="s">
        <v>5246</v>
      </c>
      <c r="G247" t="s">
        <v>5247</v>
      </c>
      <c r="I247" t="s">
        <v>5248</v>
      </c>
      <c r="J247" t="s">
        <v>5249</v>
      </c>
      <c r="K247" t="s">
        <v>132</v>
      </c>
      <c r="L247">
        <v>138309</v>
      </c>
      <c r="M247">
        <v>1.55E-2</v>
      </c>
      <c r="N247" t="s">
        <v>322</v>
      </c>
      <c r="O247" t="s">
        <v>5250</v>
      </c>
    </row>
    <row r="248" spans="1:15" x14ac:dyDescent="0.25">
      <c r="A248" t="s">
        <v>564</v>
      </c>
      <c r="B248" t="s">
        <v>28</v>
      </c>
      <c r="C248" t="s">
        <v>5251</v>
      </c>
      <c r="D248" t="s">
        <v>5252</v>
      </c>
      <c r="E248" t="s">
        <v>5253</v>
      </c>
      <c r="F248" t="s">
        <v>5254</v>
      </c>
      <c r="G248" t="s">
        <v>5255</v>
      </c>
      <c r="H248" t="s">
        <v>3152</v>
      </c>
      <c r="I248" t="s">
        <v>5256</v>
      </c>
      <c r="J248" t="s">
        <v>5257</v>
      </c>
      <c r="K248" t="s">
        <v>132</v>
      </c>
      <c r="L248">
        <v>131819</v>
      </c>
      <c r="M248">
        <v>3.3999999999999998E-3</v>
      </c>
      <c r="N248" t="s">
        <v>320</v>
      </c>
      <c r="O248" t="s">
        <v>5258</v>
      </c>
    </row>
    <row r="249" spans="1:15" x14ac:dyDescent="0.25">
      <c r="A249" t="s">
        <v>564</v>
      </c>
      <c r="B249" t="s">
        <v>28</v>
      </c>
      <c r="C249" t="s">
        <v>5259</v>
      </c>
      <c r="D249" t="s">
        <v>5260</v>
      </c>
      <c r="E249" t="s">
        <v>5261</v>
      </c>
      <c r="F249" t="s">
        <v>5262</v>
      </c>
      <c r="G249" t="s">
        <v>5263</v>
      </c>
      <c r="H249" t="s">
        <v>3142</v>
      </c>
      <c r="I249" t="s">
        <v>5264</v>
      </c>
      <c r="J249" t="s">
        <v>5265</v>
      </c>
      <c r="K249" t="s">
        <v>132</v>
      </c>
      <c r="L249">
        <v>123411</v>
      </c>
      <c r="M249">
        <v>9.4999999999999998E-3</v>
      </c>
      <c r="N249" t="s">
        <v>320</v>
      </c>
      <c r="O249" t="s">
        <v>5266</v>
      </c>
    </row>
    <row r="250" spans="1:15" x14ac:dyDescent="0.25">
      <c r="A250" t="s">
        <v>564</v>
      </c>
      <c r="B250" t="s">
        <v>28</v>
      </c>
      <c r="C250" t="s">
        <v>4994</v>
      </c>
      <c r="D250" t="s">
        <v>4995</v>
      </c>
      <c r="E250" t="s">
        <v>5267</v>
      </c>
      <c r="F250" t="s">
        <v>5268</v>
      </c>
      <c r="G250" t="s">
        <v>5269</v>
      </c>
      <c r="I250" t="s">
        <v>5270</v>
      </c>
      <c r="J250" t="s">
        <v>5271</v>
      </c>
      <c r="K250" t="s">
        <v>4132</v>
      </c>
      <c r="L250">
        <v>115870</v>
      </c>
      <c r="M250">
        <v>9.0000000000000011E-3</v>
      </c>
      <c r="N250" t="s">
        <v>320</v>
      </c>
      <c r="O250" t="s">
        <v>5272</v>
      </c>
    </row>
    <row r="251" spans="1:15" x14ac:dyDescent="0.25">
      <c r="A251" t="s">
        <v>564</v>
      </c>
      <c r="B251" t="s">
        <v>28</v>
      </c>
      <c r="C251" t="s">
        <v>5273</v>
      </c>
      <c r="D251" t="s">
        <v>5274</v>
      </c>
      <c r="E251" t="s">
        <v>5275</v>
      </c>
      <c r="F251" t="s">
        <v>5276</v>
      </c>
      <c r="G251" t="s">
        <v>5277</v>
      </c>
      <c r="I251" t="s">
        <v>5278</v>
      </c>
      <c r="J251" t="s">
        <v>5279</v>
      </c>
      <c r="K251" t="s">
        <v>3763</v>
      </c>
      <c r="L251">
        <v>108800</v>
      </c>
      <c r="M251">
        <v>2.1999999999999999E-2</v>
      </c>
      <c r="N251" t="s">
        <v>322</v>
      </c>
      <c r="O251" t="s">
        <v>5280</v>
      </c>
    </row>
    <row r="252" spans="1:15" x14ac:dyDescent="0.25">
      <c r="A252" t="s">
        <v>564</v>
      </c>
      <c r="B252" t="s">
        <v>28</v>
      </c>
      <c r="C252" t="s">
        <v>5281</v>
      </c>
      <c r="D252" t="s">
        <v>5282</v>
      </c>
      <c r="E252" t="s">
        <v>5283</v>
      </c>
      <c r="F252" t="s">
        <v>5284</v>
      </c>
      <c r="G252" t="s">
        <v>5285</v>
      </c>
      <c r="I252" t="s">
        <v>5286</v>
      </c>
      <c r="J252" t="s">
        <v>5287</v>
      </c>
      <c r="K252" t="s">
        <v>132</v>
      </c>
      <c r="L252">
        <v>106261</v>
      </c>
      <c r="M252">
        <v>3.5999999999999999E-3</v>
      </c>
      <c r="N252" t="s">
        <v>320</v>
      </c>
      <c r="O252" t="s">
        <v>5288</v>
      </c>
    </row>
    <row r="253" spans="1:15" x14ac:dyDescent="0.25">
      <c r="A253" t="s">
        <v>564</v>
      </c>
      <c r="B253" t="s">
        <v>28</v>
      </c>
      <c r="C253" t="s">
        <v>4879</v>
      </c>
      <c r="D253" t="s">
        <v>4880</v>
      </c>
      <c r="E253" t="s">
        <v>5289</v>
      </c>
      <c r="F253" t="s">
        <v>5290</v>
      </c>
      <c r="G253" t="s">
        <v>5291</v>
      </c>
      <c r="I253" t="s">
        <v>5292</v>
      </c>
      <c r="J253" t="s">
        <v>5293</v>
      </c>
      <c r="K253" t="s">
        <v>132</v>
      </c>
      <c r="L253">
        <v>100961</v>
      </c>
      <c r="M253">
        <v>8.6E-3</v>
      </c>
      <c r="N253" t="s">
        <v>322</v>
      </c>
      <c r="O253" t="s">
        <v>5294</v>
      </c>
    </row>
    <row r="254" spans="1:15" x14ac:dyDescent="0.25">
      <c r="A254" t="s">
        <v>564</v>
      </c>
      <c r="B254" t="s">
        <v>30</v>
      </c>
      <c r="C254" t="s">
        <v>4707</v>
      </c>
      <c r="D254" t="s">
        <v>4708</v>
      </c>
      <c r="E254" t="s">
        <v>5295</v>
      </c>
      <c r="F254" t="s">
        <v>5296</v>
      </c>
      <c r="G254" t="s">
        <v>5297</v>
      </c>
      <c r="I254" t="s">
        <v>5298</v>
      </c>
      <c r="J254" t="s">
        <v>3566</v>
      </c>
      <c r="K254" t="s">
        <v>4542</v>
      </c>
      <c r="L254">
        <v>369858</v>
      </c>
      <c r="M254">
        <v>0.14779999999999999</v>
      </c>
      <c r="N254" t="s">
        <v>3517</v>
      </c>
      <c r="O254" t="s">
        <v>5299</v>
      </c>
    </row>
    <row r="255" spans="1:15" x14ac:dyDescent="0.25">
      <c r="A255" t="s">
        <v>564</v>
      </c>
      <c r="B255" t="s">
        <v>28</v>
      </c>
      <c r="C255" t="s">
        <v>148</v>
      </c>
      <c r="D255" t="s">
        <v>3612</v>
      </c>
      <c r="E255" t="s">
        <v>5300</v>
      </c>
      <c r="F255" t="s">
        <v>5301</v>
      </c>
      <c r="G255" t="s">
        <v>5302</v>
      </c>
      <c r="H255" t="s">
        <v>3564</v>
      </c>
      <c r="I255" t="s">
        <v>5303</v>
      </c>
      <c r="J255" t="s">
        <v>4280</v>
      </c>
      <c r="K255" t="s">
        <v>4718</v>
      </c>
      <c r="L255">
        <v>2102023</v>
      </c>
      <c r="M255">
        <v>2.7000000000000001E-3</v>
      </c>
      <c r="N255" t="s">
        <v>320</v>
      </c>
      <c r="O255" t="s">
        <v>5304</v>
      </c>
    </row>
    <row r="256" spans="1:15" x14ac:dyDescent="0.25">
      <c r="A256" t="s">
        <v>564</v>
      </c>
      <c r="B256" t="s">
        <v>28</v>
      </c>
      <c r="C256" t="s">
        <v>150</v>
      </c>
      <c r="D256" t="s">
        <v>3964</v>
      </c>
      <c r="E256" t="s">
        <v>1295</v>
      </c>
      <c r="F256" t="s">
        <v>1294</v>
      </c>
      <c r="G256" t="s">
        <v>5305</v>
      </c>
      <c r="H256" t="s">
        <v>3564</v>
      </c>
      <c r="I256" t="s">
        <v>5306</v>
      </c>
      <c r="J256" t="s">
        <v>3671</v>
      </c>
      <c r="K256" t="s">
        <v>3566</v>
      </c>
      <c r="L256">
        <v>1156626</v>
      </c>
      <c r="M256">
        <v>1.0500000000000001E-2</v>
      </c>
      <c r="N256" t="s">
        <v>3577</v>
      </c>
      <c r="O256" t="s">
        <v>1296</v>
      </c>
    </row>
    <row r="257" spans="1:15" x14ac:dyDescent="0.25">
      <c r="A257" t="s">
        <v>564</v>
      </c>
      <c r="B257" t="s">
        <v>28</v>
      </c>
      <c r="C257" t="s">
        <v>151</v>
      </c>
      <c r="D257" t="s">
        <v>3637</v>
      </c>
      <c r="E257" t="s">
        <v>5307</v>
      </c>
      <c r="F257" t="s">
        <v>5308</v>
      </c>
      <c r="G257" t="s">
        <v>5309</v>
      </c>
      <c r="H257" t="s">
        <v>3564</v>
      </c>
      <c r="I257" t="s">
        <v>5310</v>
      </c>
      <c r="J257" t="s">
        <v>5311</v>
      </c>
      <c r="K257" t="s">
        <v>132</v>
      </c>
      <c r="L257">
        <v>779354</v>
      </c>
      <c r="M257">
        <v>6.0000000000000001E-3</v>
      </c>
      <c r="N257" t="s">
        <v>320</v>
      </c>
      <c r="O257" t="s">
        <v>5312</v>
      </c>
    </row>
    <row r="258" spans="1:15" x14ac:dyDescent="0.25">
      <c r="A258" t="s">
        <v>564</v>
      </c>
      <c r="B258" t="s">
        <v>28</v>
      </c>
      <c r="C258" t="s">
        <v>5313</v>
      </c>
      <c r="D258" t="s">
        <v>5314</v>
      </c>
      <c r="E258" t="s">
        <v>5315</v>
      </c>
      <c r="F258" t="s">
        <v>5316</v>
      </c>
      <c r="G258" t="s">
        <v>5317</v>
      </c>
      <c r="H258" t="s">
        <v>3564</v>
      </c>
      <c r="I258" t="s">
        <v>5318</v>
      </c>
      <c r="J258" t="s">
        <v>4335</v>
      </c>
      <c r="K258" t="s">
        <v>4279</v>
      </c>
      <c r="L258">
        <v>527516</v>
      </c>
      <c r="M258">
        <v>4.1999999999999997E-3</v>
      </c>
      <c r="N258" t="s">
        <v>320</v>
      </c>
      <c r="O258" t="s">
        <v>5319</v>
      </c>
    </row>
    <row r="259" spans="1:15" x14ac:dyDescent="0.25">
      <c r="A259" t="s">
        <v>564</v>
      </c>
      <c r="B259" t="s">
        <v>28</v>
      </c>
      <c r="C259" t="s">
        <v>4491</v>
      </c>
      <c r="D259" t="s">
        <v>4492</v>
      </c>
      <c r="E259" t="s">
        <v>5320</v>
      </c>
      <c r="F259" t="s">
        <v>5321</v>
      </c>
      <c r="G259" t="s">
        <v>5322</v>
      </c>
      <c r="I259" t="s">
        <v>5323</v>
      </c>
      <c r="J259" t="s">
        <v>5324</v>
      </c>
      <c r="K259" t="s">
        <v>3535</v>
      </c>
      <c r="L259">
        <v>423776</v>
      </c>
      <c r="M259">
        <v>8.8999999999999999E-3</v>
      </c>
      <c r="N259" t="s">
        <v>320</v>
      </c>
      <c r="O259" t="s">
        <v>5325</v>
      </c>
    </row>
    <row r="260" spans="1:15" x14ac:dyDescent="0.25">
      <c r="A260" t="s">
        <v>564</v>
      </c>
      <c r="B260" t="s">
        <v>28</v>
      </c>
      <c r="C260" t="s">
        <v>3932</v>
      </c>
      <c r="D260" t="s">
        <v>3933</v>
      </c>
      <c r="E260" t="s">
        <v>5326</v>
      </c>
      <c r="F260" t="s">
        <v>5327</v>
      </c>
      <c r="G260" t="s">
        <v>5328</v>
      </c>
      <c r="H260" t="s">
        <v>3141</v>
      </c>
      <c r="I260" t="s">
        <v>5329</v>
      </c>
      <c r="J260" t="s">
        <v>4528</v>
      </c>
      <c r="K260" t="s">
        <v>132</v>
      </c>
      <c r="L260">
        <v>364420</v>
      </c>
      <c r="M260">
        <v>3.44E-2</v>
      </c>
      <c r="N260" t="s">
        <v>322</v>
      </c>
      <c r="O260" t="s">
        <v>5330</v>
      </c>
    </row>
    <row r="261" spans="1:15" x14ac:dyDescent="0.25">
      <c r="A261" t="s">
        <v>564</v>
      </c>
      <c r="B261" t="s">
        <v>28</v>
      </c>
      <c r="C261" t="s">
        <v>4678</v>
      </c>
      <c r="D261" t="s">
        <v>4679</v>
      </c>
      <c r="E261" t="s">
        <v>5331</v>
      </c>
      <c r="F261" t="s">
        <v>5332</v>
      </c>
      <c r="G261" t="s">
        <v>5333</v>
      </c>
      <c r="I261" t="s">
        <v>5334</v>
      </c>
      <c r="J261" t="s">
        <v>5335</v>
      </c>
      <c r="K261" t="s">
        <v>3831</v>
      </c>
      <c r="L261">
        <v>300790</v>
      </c>
      <c r="M261">
        <v>8.0000000000000002E-3</v>
      </c>
      <c r="N261" t="s">
        <v>322</v>
      </c>
      <c r="O261" t="s">
        <v>5336</v>
      </c>
    </row>
    <row r="262" spans="1:15" x14ac:dyDescent="0.25">
      <c r="A262" t="s">
        <v>564</v>
      </c>
      <c r="B262" t="s">
        <v>28</v>
      </c>
      <c r="C262" t="s">
        <v>4438</v>
      </c>
      <c r="D262" t="s">
        <v>4439</v>
      </c>
      <c r="E262" t="s">
        <v>5337</v>
      </c>
      <c r="F262" t="s">
        <v>5338</v>
      </c>
      <c r="G262" t="s">
        <v>5339</v>
      </c>
      <c r="I262" t="s">
        <v>5340</v>
      </c>
      <c r="J262" t="s">
        <v>5341</v>
      </c>
      <c r="K262" t="s">
        <v>5342</v>
      </c>
      <c r="L262">
        <v>255302</v>
      </c>
      <c r="M262">
        <v>1.6500000000000001E-2</v>
      </c>
      <c r="N262" t="s">
        <v>320</v>
      </c>
      <c r="O262" t="s">
        <v>5343</v>
      </c>
    </row>
    <row r="263" spans="1:15" x14ac:dyDescent="0.25">
      <c r="A263" t="s">
        <v>564</v>
      </c>
      <c r="B263" t="s">
        <v>28</v>
      </c>
      <c r="C263" t="s">
        <v>146</v>
      </c>
      <c r="D263" t="s">
        <v>3699</v>
      </c>
      <c r="E263" t="s">
        <v>5344</v>
      </c>
      <c r="F263" t="s">
        <v>5345</v>
      </c>
      <c r="G263" t="s">
        <v>5346</v>
      </c>
      <c r="H263" t="s">
        <v>3564</v>
      </c>
      <c r="I263" t="s">
        <v>5347</v>
      </c>
      <c r="J263" t="s">
        <v>4238</v>
      </c>
      <c r="K263" t="s">
        <v>5348</v>
      </c>
      <c r="L263">
        <v>233078</v>
      </c>
      <c r="M263">
        <v>3.0000000000000001E-3</v>
      </c>
      <c r="N263" t="s">
        <v>320</v>
      </c>
      <c r="O263" t="s">
        <v>5349</v>
      </c>
    </row>
    <row r="264" spans="1:15" x14ac:dyDescent="0.25">
      <c r="A264" t="s">
        <v>564</v>
      </c>
      <c r="B264" t="s">
        <v>28</v>
      </c>
      <c r="C264" t="s">
        <v>3882</v>
      </c>
      <c r="D264" t="s">
        <v>3883</v>
      </c>
      <c r="E264" t="s">
        <v>5350</v>
      </c>
      <c r="F264" t="s">
        <v>5351</v>
      </c>
      <c r="G264" t="s">
        <v>5352</v>
      </c>
      <c r="I264" t="s">
        <v>5353</v>
      </c>
      <c r="J264" t="s">
        <v>5354</v>
      </c>
      <c r="K264" t="s">
        <v>4280</v>
      </c>
      <c r="L264">
        <v>199574</v>
      </c>
      <c r="M264">
        <v>4.4000000000000003E-3</v>
      </c>
      <c r="N264" t="s">
        <v>320</v>
      </c>
      <c r="O264" t="s">
        <v>5355</v>
      </c>
    </row>
    <row r="265" spans="1:15" x14ac:dyDescent="0.25">
      <c r="A265" t="s">
        <v>564</v>
      </c>
      <c r="B265" t="s">
        <v>28</v>
      </c>
      <c r="C265" t="s">
        <v>3997</v>
      </c>
      <c r="D265" t="s">
        <v>3998</v>
      </c>
      <c r="E265" t="s">
        <v>5356</v>
      </c>
      <c r="F265" t="s">
        <v>5357</v>
      </c>
      <c r="G265" t="s">
        <v>5358</v>
      </c>
      <c r="I265" t="s">
        <v>5359</v>
      </c>
      <c r="J265" t="s">
        <v>5360</v>
      </c>
      <c r="K265" t="s">
        <v>4279</v>
      </c>
      <c r="L265">
        <v>182083</v>
      </c>
      <c r="M265">
        <v>6.6E-3</v>
      </c>
      <c r="N265" t="s">
        <v>320</v>
      </c>
      <c r="O265" t="s">
        <v>5361</v>
      </c>
    </row>
    <row r="266" spans="1:15" x14ac:dyDescent="0.25">
      <c r="A266" t="s">
        <v>564</v>
      </c>
      <c r="B266" t="s">
        <v>28</v>
      </c>
      <c r="C266" t="s">
        <v>5362</v>
      </c>
      <c r="D266" t="s">
        <v>5363</v>
      </c>
      <c r="E266" t="s">
        <v>5364</v>
      </c>
      <c r="F266" t="s">
        <v>329</v>
      </c>
      <c r="G266" t="s">
        <v>5365</v>
      </c>
      <c r="I266" t="s">
        <v>5366</v>
      </c>
      <c r="J266" t="s">
        <v>5367</v>
      </c>
      <c r="K266" t="s">
        <v>132</v>
      </c>
      <c r="L266">
        <v>168239</v>
      </c>
      <c r="M266">
        <v>1.32E-2</v>
      </c>
      <c r="N266" t="s">
        <v>3517</v>
      </c>
      <c r="O266" t="s">
        <v>5368</v>
      </c>
    </row>
    <row r="267" spans="1:15" x14ac:dyDescent="0.25">
      <c r="A267" t="s">
        <v>564</v>
      </c>
      <c r="B267" t="s">
        <v>28</v>
      </c>
      <c r="C267" t="s">
        <v>4491</v>
      </c>
      <c r="D267" t="s">
        <v>4492</v>
      </c>
      <c r="E267" t="s">
        <v>5369</v>
      </c>
      <c r="F267" t="s">
        <v>5370</v>
      </c>
      <c r="G267" t="s">
        <v>5371</v>
      </c>
      <c r="H267" t="s">
        <v>3140</v>
      </c>
      <c r="I267" t="s">
        <v>5372</v>
      </c>
      <c r="J267" t="s">
        <v>5373</v>
      </c>
      <c r="K267" t="s">
        <v>132</v>
      </c>
      <c r="L267">
        <v>157456</v>
      </c>
      <c r="M267">
        <v>1.2200000000000001E-2</v>
      </c>
      <c r="N267" t="s">
        <v>320</v>
      </c>
      <c r="O267" t="s">
        <v>5374</v>
      </c>
    </row>
    <row r="268" spans="1:15" x14ac:dyDescent="0.25">
      <c r="A268" t="s">
        <v>564</v>
      </c>
      <c r="B268" t="s">
        <v>28</v>
      </c>
      <c r="C268" t="s">
        <v>5085</v>
      </c>
      <c r="D268" t="s">
        <v>5086</v>
      </c>
      <c r="E268" t="s">
        <v>5375</v>
      </c>
      <c r="F268" t="s">
        <v>5376</v>
      </c>
      <c r="G268" t="s">
        <v>5377</v>
      </c>
      <c r="I268" t="s">
        <v>5378</v>
      </c>
      <c r="J268" t="s">
        <v>5379</v>
      </c>
      <c r="K268" t="s">
        <v>4377</v>
      </c>
      <c r="L268">
        <v>145073</v>
      </c>
      <c r="M268">
        <v>2.5000000000000001E-3</v>
      </c>
      <c r="N268" t="s">
        <v>320</v>
      </c>
      <c r="O268" t="s">
        <v>5380</v>
      </c>
    </row>
    <row r="269" spans="1:15" x14ac:dyDescent="0.25">
      <c r="A269" t="s">
        <v>564</v>
      </c>
      <c r="B269" t="s">
        <v>28</v>
      </c>
      <c r="C269" t="s">
        <v>4491</v>
      </c>
      <c r="D269" t="s">
        <v>4492</v>
      </c>
      <c r="E269" t="s">
        <v>5381</v>
      </c>
      <c r="F269" t="s">
        <v>4128</v>
      </c>
      <c r="G269" t="s">
        <v>5382</v>
      </c>
      <c r="H269" t="s">
        <v>3657</v>
      </c>
      <c r="I269" t="s">
        <v>5383</v>
      </c>
      <c r="J269" t="s">
        <v>5384</v>
      </c>
      <c r="K269" t="s">
        <v>132</v>
      </c>
      <c r="L269">
        <v>137236</v>
      </c>
      <c r="M269">
        <v>4.7600000000000003E-2</v>
      </c>
      <c r="N269" t="s">
        <v>320</v>
      </c>
      <c r="O269" t="s">
        <v>5385</v>
      </c>
    </row>
    <row r="270" spans="1:15" x14ac:dyDescent="0.25">
      <c r="A270" t="s">
        <v>564</v>
      </c>
      <c r="B270" t="s">
        <v>28</v>
      </c>
      <c r="C270" t="s">
        <v>151</v>
      </c>
      <c r="D270" t="s">
        <v>3637</v>
      </c>
      <c r="E270" t="s">
        <v>5386</v>
      </c>
      <c r="F270" t="s">
        <v>5387</v>
      </c>
      <c r="G270" t="s">
        <v>5388</v>
      </c>
      <c r="H270" t="s">
        <v>3564</v>
      </c>
      <c r="I270" t="s">
        <v>5389</v>
      </c>
      <c r="J270" t="s">
        <v>5390</v>
      </c>
      <c r="K270" t="s">
        <v>3830</v>
      </c>
      <c r="L270">
        <v>131781</v>
      </c>
      <c r="M270">
        <v>9.300000000000001E-3</v>
      </c>
      <c r="N270" t="s">
        <v>320</v>
      </c>
      <c r="O270" t="s">
        <v>5391</v>
      </c>
    </row>
    <row r="271" spans="1:15" x14ac:dyDescent="0.25">
      <c r="A271" t="s">
        <v>564</v>
      </c>
      <c r="B271" t="s">
        <v>28</v>
      </c>
      <c r="C271" t="s">
        <v>4134</v>
      </c>
      <c r="D271" t="s">
        <v>4135</v>
      </c>
      <c r="E271" t="s">
        <v>5392</v>
      </c>
      <c r="F271" t="s">
        <v>5393</v>
      </c>
      <c r="G271" t="s">
        <v>5394</v>
      </c>
      <c r="I271" t="s">
        <v>5395</v>
      </c>
      <c r="J271" t="s">
        <v>5396</v>
      </c>
      <c r="K271" t="s">
        <v>132</v>
      </c>
      <c r="L271">
        <v>123393</v>
      </c>
      <c r="M271">
        <v>4.5000000000000014E-3</v>
      </c>
      <c r="N271" t="s">
        <v>320</v>
      </c>
      <c r="O271" t="s">
        <v>5397</v>
      </c>
    </row>
    <row r="272" spans="1:15" x14ac:dyDescent="0.25">
      <c r="A272" t="s">
        <v>564</v>
      </c>
      <c r="B272" t="s">
        <v>28</v>
      </c>
      <c r="C272" t="s">
        <v>5398</v>
      </c>
      <c r="D272" t="s">
        <v>5399</v>
      </c>
      <c r="E272" t="s">
        <v>5400</v>
      </c>
      <c r="F272" t="s">
        <v>5401</v>
      </c>
      <c r="G272" t="s">
        <v>5402</v>
      </c>
      <c r="H272" t="s">
        <v>3140</v>
      </c>
      <c r="I272" t="s">
        <v>5403</v>
      </c>
      <c r="J272" t="s">
        <v>5404</v>
      </c>
      <c r="K272" t="s">
        <v>132</v>
      </c>
      <c r="L272">
        <v>115756</v>
      </c>
      <c r="M272">
        <v>1.4E-2</v>
      </c>
      <c r="N272" t="s">
        <v>322</v>
      </c>
      <c r="O272" t="s">
        <v>5405</v>
      </c>
    </row>
    <row r="273" spans="1:15" x14ac:dyDescent="0.25">
      <c r="A273" t="s">
        <v>564</v>
      </c>
      <c r="B273" t="s">
        <v>28</v>
      </c>
      <c r="C273" t="s">
        <v>5406</v>
      </c>
      <c r="D273" t="s">
        <v>5407</v>
      </c>
      <c r="E273" t="s">
        <v>5408</v>
      </c>
      <c r="F273" t="s">
        <v>5409</v>
      </c>
      <c r="G273" t="s">
        <v>5410</v>
      </c>
      <c r="H273" t="s">
        <v>3140</v>
      </c>
      <c r="I273" t="s">
        <v>5411</v>
      </c>
      <c r="J273" t="s">
        <v>5412</v>
      </c>
      <c r="K273" t="s">
        <v>132</v>
      </c>
      <c r="L273">
        <v>108610</v>
      </c>
      <c r="M273">
        <v>4.5999999999999999E-3</v>
      </c>
      <c r="N273" t="s">
        <v>320</v>
      </c>
      <c r="O273" t="s">
        <v>5413</v>
      </c>
    </row>
    <row r="274" spans="1:15" x14ac:dyDescent="0.25">
      <c r="A274" t="s">
        <v>564</v>
      </c>
      <c r="B274" t="s">
        <v>28</v>
      </c>
      <c r="C274" t="s">
        <v>155</v>
      </c>
      <c r="D274" t="s">
        <v>3560</v>
      </c>
      <c r="E274" t="s">
        <v>5414</v>
      </c>
      <c r="F274" t="s">
        <v>5415</v>
      </c>
      <c r="G274" t="s">
        <v>5416</v>
      </c>
      <c r="H274" t="s">
        <v>3564</v>
      </c>
      <c r="I274" t="s">
        <v>5417</v>
      </c>
      <c r="J274" t="s">
        <v>5418</v>
      </c>
      <c r="K274" t="s">
        <v>3830</v>
      </c>
      <c r="L274">
        <v>106077</v>
      </c>
      <c r="M274">
        <v>1.09E-2</v>
      </c>
      <c r="N274" t="s">
        <v>322</v>
      </c>
      <c r="O274" t="s">
        <v>5419</v>
      </c>
    </row>
    <row r="275" spans="1:15" x14ac:dyDescent="0.25">
      <c r="A275" t="s">
        <v>564</v>
      </c>
      <c r="B275" t="s">
        <v>28</v>
      </c>
      <c r="C275" t="s">
        <v>5420</v>
      </c>
      <c r="D275" t="s">
        <v>5421</v>
      </c>
      <c r="E275" t="s">
        <v>5422</v>
      </c>
      <c r="F275" t="s">
        <v>5423</v>
      </c>
      <c r="G275" t="s">
        <v>5424</v>
      </c>
      <c r="I275" t="s">
        <v>5425</v>
      </c>
      <c r="J275" t="s">
        <v>5426</v>
      </c>
      <c r="K275" t="s">
        <v>4758</v>
      </c>
      <c r="L275">
        <v>100941</v>
      </c>
      <c r="M275">
        <v>2.3999999999999998E-3</v>
      </c>
      <c r="N275" t="s">
        <v>320</v>
      </c>
      <c r="O275" t="s">
        <v>5427</v>
      </c>
    </row>
    <row r="276" spans="1:15" x14ac:dyDescent="0.25">
      <c r="A276" t="s">
        <v>564</v>
      </c>
      <c r="B276" t="s">
        <v>30</v>
      </c>
      <c r="C276" t="s">
        <v>390</v>
      </c>
      <c r="D276" t="s">
        <v>5428</v>
      </c>
      <c r="E276" t="s">
        <v>5429</v>
      </c>
      <c r="F276" t="s">
        <v>5430</v>
      </c>
      <c r="G276" t="s">
        <v>5431</v>
      </c>
      <c r="H276" t="s">
        <v>3564</v>
      </c>
      <c r="I276" t="s">
        <v>5432</v>
      </c>
      <c r="J276" t="s">
        <v>3642</v>
      </c>
      <c r="K276" t="s">
        <v>3143</v>
      </c>
      <c r="L276">
        <v>368140</v>
      </c>
      <c r="M276">
        <v>4.3700000000000003E-2</v>
      </c>
      <c r="N276" t="s">
        <v>3517</v>
      </c>
      <c r="O276" t="s">
        <v>5433</v>
      </c>
    </row>
    <row r="277" spans="1:15" x14ac:dyDescent="0.25">
      <c r="A277" t="s">
        <v>564</v>
      </c>
      <c r="B277" t="s">
        <v>30</v>
      </c>
      <c r="C277" t="s">
        <v>150</v>
      </c>
      <c r="D277" t="s">
        <v>3964</v>
      </c>
      <c r="E277" t="s">
        <v>1851</v>
      </c>
      <c r="F277" t="s">
        <v>1850</v>
      </c>
      <c r="G277" t="s">
        <v>5434</v>
      </c>
      <c r="I277" t="s">
        <v>5435</v>
      </c>
      <c r="J277" t="s">
        <v>4279</v>
      </c>
      <c r="K277" t="s">
        <v>5436</v>
      </c>
      <c r="L277">
        <v>278495</v>
      </c>
      <c r="M277">
        <v>7.6799999999999993E-2</v>
      </c>
      <c r="N277" t="s">
        <v>3517</v>
      </c>
      <c r="O277" t="s">
        <v>1852</v>
      </c>
    </row>
    <row r="278" spans="1:15" x14ac:dyDescent="0.25">
      <c r="A278" t="s">
        <v>564</v>
      </c>
      <c r="B278" t="s">
        <v>28</v>
      </c>
      <c r="C278" t="s">
        <v>4154</v>
      </c>
      <c r="D278" t="s">
        <v>4155</v>
      </c>
      <c r="E278" t="s">
        <v>5437</v>
      </c>
      <c r="F278" t="s">
        <v>4857</v>
      </c>
      <c r="G278" t="s">
        <v>5438</v>
      </c>
      <c r="I278" t="s">
        <v>5439</v>
      </c>
      <c r="J278" t="s">
        <v>3657</v>
      </c>
      <c r="K278" t="s">
        <v>3973</v>
      </c>
      <c r="L278">
        <v>2096376</v>
      </c>
      <c r="M278">
        <v>1.0500000000000001E-2</v>
      </c>
      <c r="N278" t="s">
        <v>320</v>
      </c>
      <c r="O278" t="s">
        <v>5440</v>
      </c>
    </row>
    <row r="279" spans="1:15" x14ac:dyDescent="0.25">
      <c r="A279" t="s">
        <v>564</v>
      </c>
      <c r="B279" t="s">
        <v>28</v>
      </c>
      <c r="C279" t="s">
        <v>4247</v>
      </c>
      <c r="D279" t="s">
        <v>4248</v>
      </c>
      <c r="E279" t="s">
        <v>5441</v>
      </c>
      <c r="F279" t="s">
        <v>5442</v>
      </c>
      <c r="G279" t="s">
        <v>5443</v>
      </c>
      <c r="I279" t="s">
        <v>5444</v>
      </c>
      <c r="J279" t="s">
        <v>5169</v>
      </c>
      <c r="K279" t="s">
        <v>3567</v>
      </c>
      <c r="L279">
        <v>1083623</v>
      </c>
      <c r="M279">
        <v>9.3999999999999986E-3</v>
      </c>
      <c r="N279" t="s">
        <v>320</v>
      </c>
      <c r="O279" t="s">
        <v>5445</v>
      </c>
    </row>
    <row r="280" spans="1:15" x14ac:dyDescent="0.25">
      <c r="A280" t="s">
        <v>564</v>
      </c>
      <c r="B280" t="s">
        <v>28</v>
      </c>
      <c r="C280" t="s">
        <v>4089</v>
      </c>
      <c r="D280" t="s">
        <v>4090</v>
      </c>
      <c r="E280" t="s">
        <v>5446</v>
      </c>
      <c r="F280" t="s">
        <v>5447</v>
      </c>
      <c r="G280" t="s">
        <v>5448</v>
      </c>
      <c r="I280" t="s">
        <v>5449</v>
      </c>
      <c r="J280" t="s">
        <v>4619</v>
      </c>
      <c r="K280" t="s">
        <v>3995</v>
      </c>
      <c r="L280">
        <v>764164</v>
      </c>
      <c r="M280">
        <v>1.1299999999999999E-2</v>
      </c>
      <c r="N280" t="s">
        <v>320</v>
      </c>
      <c r="O280" t="s">
        <v>5450</v>
      </c>
    </row>
    <row r="281" spans="1:15" x14ac:dyDescent="0.25">
      <c r="A281" t="s">
        <v>564</v>
      </c>
      <c r="B281" t="s">
        <v>28</v>
      </c>
      <c r="C281" t="s">
        <v>5070</v>
      </c>
      <c r="D281" t="s">
        <v>5071</v>
      </c>
      <c r="E281" t="s">
        <v>5451</v>
      </c>
      <c r="F281" t="s">
        <v>5452</v>
      </c>
      <c r="G281" t="s">
        <v>5453</v>
      </c>
      <c r="I281" t="s">
        <v>5454</v>
      </c>
      <c r="J281" t="s">
        <v>4758</v>
      </c>
      <c r="K281" t="s">
        <v>132</v>
      </c>
      <c r="L281">
        <v>524331</v>
      </c>
      <c r="M281">
        <v>1.3299999999999999E-2</v>
      </c>
      <c r="N281" t="s">
        <v>320</v>
      </c>
      <c r="O281" t="s">
        <v>5455</v>
      </c>
    </row>
    <row r="282" spans="1:15" x14ac:dyDescent="0.25">
      <c r="A282" t="s">
        <v>564</v>
      </c>
      <c r="B282" t="s">
        <v>28</v>
      </c>
      <c r="C282" t="s">
        <v>150</v>
      </c>
      <c r="D282" t="s">
        <v>3964</v>
      </c>
      <c r="E282" t="s">
        <v>1307</v>
      </c>
      <c r="F282" t="s">
        <v>1306</v>
      </c>
      <c r="G282" t="s">
        <v>5456</v>
      </c>
      <c r="H282" t="s">
        <v>3564</v>
      </c>
      <c r="I282" t="s">
        <v>5457</v>
      </c>
      <c r="J282" t="s">
        <v>3722</v>
      </c>
      <c r="K282" t="s">
        <v>3802</v>
      </c>
      <c r="L282">
        <v>419360</v>
      </c>
      <c r="M282">
        <v>6.8999999999999999E-3</v>
      </c>
      <c r="N282" t="s">
        <v>3577</v>
      </c>
      <c r="O282" t="s">
        <v>1308</v>
      </c>
    </row>
    <row r="283" spans="1:15" x14ac:dyDescent="0.25">
      <c r="A283" t="s">
        <v>564</v>
      </c>
      <c r="B283" t="s">
        <v>28</v>
      </c>
      <c r="C283" t="s">
        <v>148</v>
      </c>
      <c r="D283" t="s">
        <v>3612</v>
      </c>
      <c r="E283" t="s">
        <v>5458</v>
      </c>
      <c r="F283" t="s">
        <v>5459</v>
      </c>
      <c r="G283" t="s">
        <v>5460</v>
      </c>
      <c r="H283" t="s">
        <v>3564</v>
      </c>
      <c r="I283" t="s">
        <v>5461</v>
      </c>
      <c r="J283" t="s">
        <v>5462</v>
      </c>
      <c r="K283" t="s">
        <v>4003</v>
      </c>
      <c r="L283">
        <v>362620</v>
      </c>
      <c r="M283">
        <v>1.1000000000000001E-3</v>
      </c>
      <c r="N283" t="s">
        <v>320</v>
      </c>
      <c r="O283" t="s">
        <v>5463</v>
      </c>
    </row>
    <row r="284" spans="1:15" x14ac:dyDescent="0.25">
      <c r="A284" t="s">
        <v>564</v>
      </c>
      <c r="B284" t="s">
        <v>28</v>
      </c>
      <c r="C284" t="s">
        <v>149</v>
      </c>
      <c r="D284" t="s">
        <v>4806</v>
      </c>
      <c r="E284" t="s">
        <v>5464</v>
      </c>
      <c r="F284" t="s">
        <v>5465</v>
      </c>
      <c r="G284" t="s">
        <v>5466</v>
      </c>
      <c r="H284" t="s">
        <v>3564</v>
      </c>
      <c r="I284" t="s">
        <v>5467</v>
      </c>
      <c r="J284" t="s">
        <v>5468</v>
      </c>
      <c r="K284" t="s">
        <v>3873</v>
      </c>
      <c r="L284">
        <v>298085</v>
      </c>
      <c r="M284">
        <v>6.9999999999999993E-3</v>
      </c>
      <c r="N284" t="s">
        <v>322</v>
      </c>
      <c r="O284" t="s">
        <v>5469</v>
      </c>
    </row>
    <row r="285" spans="1:15" x14ac:dyDescent="0.25">
      <c r="A285" t="s">
        <v>564</v>
      </c>
      <c r="B285" t="s">
        <v>28</v>
      </c>
      <c r="C285" t="s">
        <v>5470</v>
      </c>
      <c r="D285" t="s">
        <v>5471</v>
      </c>
      <c r="E285" t="s">
        <v>5472</v>
      </c>
      <c r="F285" t="s">
        <v>5473</v>
      </c>
      <c r="G285" t="s">
        <v>5474</v>
      </c>
      <c r="I285" t="s">
        <v>5475</v>
      </c>
      <c r="J285" t="s">
        <v>5083</v>
      </c>
      <c r="K285" t="s">
        <v>3849</v>
      </c>
      <c r="L285">
        <v>254228</v>
      </c>
      <c r="M285">
        <v>1.11E-2</v>
      </c>
      <c r="N285" t="s">
        <v>320</v>
      </c>
      <c r="O285" t="s">
        <v>5476</v>
      </c>
    </row>
    <row r="286" spans="1:15" x14ac:dyDescent="0.25">
      <c r="A286" t="s">
        <v>564</v>
      </c>
      <c r="B286" t="s">
        <v>28</v>
      </c>
      <c r="C286" t="s">
        <v>5477</v>
      </c>
      <c r="D286" t="s">
        <v>5478</v>
      </c>
      <c r="E286" t="s">
        <v>5479</v>
      </c>
      <c r="F286" t="s">
        <v>5480</v>
      </c>
      <c r="G286" t="s">
        <v>5481</v>
      </c>
      <c r="I286" t="s">
        <v>5482</v>
      </c>
      <c r="J286" t="s">
        <v>5483</v>
      </c>
      <c r="K286" t="s">
        <v>4514</v>
      </c>
      <c r="L286">
        <v>232371</v>
      </c>
      <c r="M286">
        <v>2.1700000000000001E-2</v>
      </c>
      <c r="N286" t="s">
        <v>3577</v>
      </c>
      <c r="O286" t="s">
        <v>5484</v>
      </c>
    </row>
    <row r="287" spans="1:15" x14ac:dyDescent="0.25">
      <c r="A287" t="s">
        <v>564</v>
      </c>
      <c r="B287" t="s">
        <v>28</v>
      </c>
      <c r="C287" t="s">
        <v>5485</v>
      </c>
      <c r="D287" t="s">
        <v>5486</v>
      </c>
      <c r="E287" t="s">
        <v>5487</v>
      </c>
      <c r="F287" t="s">
        <v>5488</v>
      </c>
      <c r="G287" t="s">
        <v>5489</v>
      </c>
      <c r="I287" t="s">
        <v>5490</v>
      </c>
      <c r="J287" t="s">
        <v>5491</v>
      </c>
      <c r="K287" t="s">
        <v>3831</v>
      </c>
      <c r="L287">
        <v>198643</v>
      </c>
      <c r="M287">
        <v>4.6999999999999993E-3</v>
      </c>
      <c r="N287" t="s">
        <v>322</v>
      </c>
      <c r="O287" t="s">
        <v>5492</v>
      </c>
    </row>
    <row r="288" spans="1:15" x14ac:dyDescent="0.25">
      <c r="A288" t="s">
        <v>564</v>
      </c>
      <c r="B288" t="s">
        <v>28</v>
      </c>
      <c r="C288" t="s">
        <v>5493</v>
      </c>
      <c r="D288" t="s">
        <v>5494</v>
      </c>
      <c r="E288" t="s">
        <v>5495</v>
      </c>
      <c r="F288" t="s">
        <v>5496</v>
      </c>
      <c r="G288" t="s">
        <v>5497</v>
      </c>
      <c r="I288" t="s">
        <v>5498</v>
      </c>
      <c r="J288" t="s">
        <v>5499</v>
      </c>
      <c r="K288" t="s">
        <v>5500</v>
      </c>
      <c r="L288">
        <v>182056</v>
      </c>
      <c r="M288">
        <v>1.29E-2</v>
      </c>
      <c r="N288" t="s">
        <v>3577</v>
      </c>
      <c r="O288" t="s">
        <v>5501</v>
      </c>
    </row>
    <row r="289" spans="1:15" x14ac:dyDescent="0.25">
      <c r="A289" t="s">
        <v>564</v>
      </c>
      <c r="B289" t="s">
        <v>28</v>
      </c>
      <c r="C289" t="s">
        <v>5502</v>
      </c>
      <c r="D289" t="s">
        <v>5503</v>
      </c>
      <c r="E289" t="s">
        <v>5504</v>
      </c>
      <c r="F289" t="s">
        <v>5505</v>
      </c>
      <c r="G289" t="s">
        <v>5506</v>
      </c>
      <c r="I289" t="s">
        <v>5507</v>
      </c>
      <c r="J289" t="s">
        <v>5508</v>
      </c>
      <c r="K289" t="s">
        <v>132</v>
      </c>
      <c r="L289">
        <v>167467</v>
      </c>
      <c r="M289">
        <v>1.61E-2</v>
      </c>
      <c r="N289" t="s">
        <v>3577</v>
      </c>
      <c r="O289" t="s">
        <v>5509</v>
      </c>
    </row>
    <row r="290" spans="1:15" x14ac:dyDescent="0.25">
      <c r="A290" t="s">
        <v>564</v>
      </c>
      <c r="B290" t="s">
        <v>28</v>
      </c>
      <c r="C290" t="s">
        <v>3707</v>
      </c>
      <c r="D290" t="s">
        <v>3708</v>
      </c>
      <c r="E290" t="s">
        <v>5510</v>
      </c>
      <c r="F290" t="s">
        <v>5511</v>
      </c>
      <c r="G290" t="s">
        <v>5512</v>
      </c>
      <c r="H290" t="s">
        <v>3141</v>
      </c>
      <c r="I290" t="s">
        <v>5513</v>
      </c>
      <c r="J290" t="s">
        <v>5514</v>
      </c>
      <c r="K290" t="s">
        <v>132</v>
      </c>
      <c r="L290">
        <v>156815</v>
      </c>
      <c r="M290">
        <v>1.21E-2</v>
      </c>
      <c r="N290" t="s">
        <v>322</v>
      </c>
      <c r="O290" t="s">
        <v>5515</v>
      </c>
    </row>
    <row r="291" spans="1:15" x14ac:dyDescent="0.25">
      <c r="A291" t="s">
        <v>564</v>
      </c>
      <c r="B291" t="s">
        <v>28</v>
      </c>
      <c r="C291" t="s">
        <v>3619</v>
      </c>
      <c r="D291" t="s">
        <v>3620</v>
      </c>
      <c r="E291" t="s">
        <v>5516</v>
      </c>
      <c r="F291" t="s">
        <v>5517</v>
      </c>
      <c r="G291" t="s">
        <v>5518</v>
      </c>
      <c r="I291" t="s">
        <v>5519</v>
      </c>
      <c r="J291" t="s">
        <v>5520</v>
      </c>
      <c r="K291" t="s">
        <v>132</v>
      </c>
      <c r="L291">
        <v>145049</v>
      </c>
      <c r="M291">
        <v>1.3899999999999999E-2</v>
      </c>
      <c r="N291" t="s">
        <v>320</v>
      </c>
      <c r="O291" t="s">
        <v>5521</v>
      </c>
    </row>
    <row r="292" spans="1:15" x14ac:dyDescent="0.25">
      <c r="A292" t="s">
        <v>564</v>
      </c>
      <c r="B292" t="s">
        <v>28</v>
      </c>
      <c r="C292" t="s">
        <v>4154</v>
      </c>
      <c r="D292" t="s">
        <v>4155</v>
      </c>
      <c r="E292" t="s">
        <v>5522</v>
      </c>
      <c r="F292" t="s">
        <v>5523</v>
      </c>
      <c r="G292" t="s">
        <v>5524</v>
      </c>
      <c r="H292" t="s">
        <v>3564</v>
      </c>
      <c r="I292" t="s">
        <v>5525</v>
      </c>
      <c r="J292" t="s">
        <v>5526</v>
      </c>
      <c r="K292" t="s">
        <v>5177</v>
      </c>
      <c r="L292">
        <v>137127</v>
      </c>
      <c r="M292">
        <v>7.8000000000000014E-3</v>
      </c>
      <c r="N292" t="s">
        <v>3577</v>
      </c>
      <c r="O292" t="s">
        <v>5527</v>
      </c>
    </row>
    <row r="293" spans="1:15" x14ac:dyDescent="0.25">
      <c r="A293" t="s">
        <v>564</v>
      </c>
      <c r="B293" t="s">
        <v>28</v>
      </c>
      <c r="C293" t="s">
        <v>5528</v>
      </c>
      <c r="D293" t="s">
        <v>5529</v>
      </c>
      <c r="E293" t="s">
        <v>5530</v>
      </c>
      <c r="F293" t="s">
        <v>5531</v>
      </c>
      <c r="G293" t="s">
        <v>5532</v>
      </c>
      <c r="I293" t="s">
        <v>5533</v>
      </c>
      <c r="J293" t="s">
        <v>5534</v>
      </c>
      <c r="K293" t="s">
        <v>3594</v>
      </c>
      <c r="L293">
        <v>131077</v>
      </c>
      <c r="M293">
        <v>3.3999999999999998E-3</v>
      </c>
      <c r="N293" t="s">
        <v>3517</v>
      </c>
      <c r="O293" t="s">
        <v>5535</v>
      </c>
    </row>
    <row r="294" spans="1:15" x14ac:dyDescent="0.25">
      <c r="A294" t="s">
        <v>564</v>
      </c>
      <c r="B294" t="s">
        <v>28</v>
      </c>
      <c r="C294" t="s">
        <v>5536</v>
      </c>
      <c r="D294" t="s">
        <v>5537</v>
      </c>
      <c r="E294" t="s">
        <v>5538</v>
      </c>
      <c r="F294" t="s">
        <v>5539</v>
      </c>
      <c r="G294" t="s">
        <v>5540</v>
      </c>
      <c r="H294" t="s">
        <v>3564</v>
      </c>
      <c r="I294" t="s">
        <v>5541</v>
      </c>
      <c r="J294" t="s">
        <v>5542</v>
      </c>
      <c r="K294" t="s">
        <v>4774</v>
      </c>
      <c r="L294">
        <v>122762</v>
      </c>
      <c r="M294">
        <v>3.0999999999999999E-3</v>
      </c>
      <c r="N294" t="s">
        <v>322</v>
      </c>
      <c r="O294" t="s">
        <v>5543</v>
      </c>
    </row>
    <row r="295" spans="1:15" x14ac:dyDescent="0.25">
      <c r="A295" t="s">
        <v>564</v>
      </c>
      <c r="B295" t="s">
        <v>28</v>
      </c>
      <c r="C295" t="s">
        <v>4386</v>
      </c>
      <c r="D295" t="s">
        <v>4387</v>
      </c>
      <c r="E295" t="s">
        <v>5544</v>
      </c>
      <c r="F295" t="s">
        <v>5545</v>
      </c>
      <c r="G295" t="s">
        <v>5546</v>
      </c>
      <c r="I295" t="s">
        <v>5547</v>
      </c>
      <c r="J295" t="s">
        <v>5548</v>
      </c>
      <c r="K295" t="s">
        <v>132</v>
      </c>
      <c r="L295">
        <v>115745</v>
      </c>
      <c r="M295">
        <v>1.7299999999999999E-2</v>
      </c>
      <c r="N295" t="s">
        <v>320</v>
      </c>
      <c r="O295" t="s">
        <v>5549</v>
      </c>
    </row>
    <row r="296" spans="1:15" x14ac:dyDescent="0.25">
      <c r="A296" t="s">
        <v>564</v>
      </c>
      <c r="B296" t="s">
        <v>28</v>
      </c>
      <c r="C296" t="s">
        <v>3756</v>
      </c>
      <c r="D296" t="s">
        <v>3757</v>
      </c>
      <c r="E296" t="s">
        <v>5550</v>
      </c>
      <c r="F296" t="s">
        <v>5551</v>
      </c>
      <c r="G296" t="s">
        <v>5552</v>
      </c>
      <c r="I296" t="s">
        <v>5553</v>
      </c>
      <c r="J296" t="s">
        <v>5554</v>
      </c>
      <c r="K296" t="s">
        <v>132</v>
      </c>
      <c r="L296">
        <v>108587</v>
      </c>
      <c r="M296">
        <v>1.5699999999999999E-2</v>
      </c>
      <c r="N296" t="s">
        <v>3517</v>
      </c>
      <c r="O296" t="s">
        <v>5555</v>
      </c>
    </row>
    <row r="297" spans="1:15" x14ac:dyDescent="0.25">
      <c r="A297" t="s">
        <v>564</v>
      </c>
      <c r="B297" t="s">
        <v>28</v>
      </c>
      <c r="C297" t="s">
        <v>3682</v>
      </c>
      <c r="D297" t="s">
        <v>3683</v>
      </c>
      <c r="E297" t="s">
        <v>5556</v>
      </c>
      <c r="F297" t="s">
        <v>5557</v>
      </c>
      <c r="G297" t="s">
        <v>5558</v>
      </c>
      <c r="I297" t="s">
        <v>5559</v>
      </c>
      <c r="J297" t="s">
        <v>5560</v>
      </c>
      <c r="K297" t="s">
        <v>132</v>
      </c>
      <c r="L297">
        <v>105920</v>
      </c>
      <c r="M297">
        <v>0.05</v>
      </c>
      <c r="N297" t="s">
        <v>322</v>
      </c>
      <c r="O297" t="s">
        <v>5561</v>
      </c>
    </row>
    <row r="298" spans="1:15" x14ac:dyDescent="0.25">
      <c r="A298" t="s">
        <v>564</v>
      </c>
      <c r="B298" t="s">
        <v>28</v>
      </c>
      <c r="C298" t="s">
        <v>5562</v>
      </c>
      <c r="D298" t="s">
        <v>5563</v>
      </c>
      <c r="E298" t="s">
        <v>5564</v>
      </c>
      <c r="F298" t="s">
        <v>5565</v>
      </c>
      <c r="G298" t="s">
        <v>5566</v>
      </c>
      <c r="H298" t="s">
        <v>3140</v>
      </c>
      <c r="I298" t="s">
        <v>5567</v>
      </c>
      <c r="J298" t="s">
        <v>5568</v>
      </c>
      <c r="K298" t="s">
        <v>132</v>
      </c>
      <c r="L298">
        <v>100921</v>
      </c>
      <c r="M298">
        <v>1.0699999999999999E-2</v>
      </c>
      <c r="N298" t="s">
        <v>322</v>
      </c>
      <c r="O298" t="s">
        <v>5569</v>
      </c>
    </row>
    <row r="299" spans="1:15" x14ac:dyDescent="0.25">
      <c r="A299" t="s">
        <v>564</v>
      </c>
      <c r="B299" t="s">
        <v>30</v>
      </c>
      <c r="C299" t="s">
        <v>150</v>
      </c>
      <c r="D299" t="s">
        <v>3964</v>
      </c>
      <c r="E299" t="s">
        <v>1841</v>
      </c>
      <c r="F299" t="s">
        <v>1840</v>
      </c>
      <c r="G299" t="s">
        <v>5570</v>
      </c>
      <c r="H299" t="s">
        <v>3564</v>
      </c>
      <c r="I299" t="s">
        <v>5571</v>
      </c>
      <c r="J299" t="s">
        <v>3807</v>
      </c>
      <c r="L299">
        <v>324356</v>
      </c>
      <c r="M299">
        <v>3.1600000000000003E-2</v>
      </c>
      <c r="N299" t="s">
        <v>3517</v>
      </c>
      <c r="O299" t="s">
        <v>1842</v>
      </c>
    </row>
    <row r="300" spans="1:15" x14ac:dyDescent="0.25">
      <c r="A300" t="s">
        <v>564</v>
      </c>
      <c r="B300" t="s">
        <v>28</v>
      </c>
      <c r="C300" t="s">
        <v>146</v>
      </c>
      <c r="D300" t="s">
        <v>3699</v>
      </c>
      <c r="E300" t="s">
        <v>5572</v>
      </c>
      <c r="F300" t="s">
        <v>5573</v>
      </c>
      <c r="G300" t="s">
        <v>5574</v>
      </c>
      <c r="H300" t="s">
        <v>3564</v>
      </c>
      <c r="I300" t="s">
        <v>5575</v>
      </c>
      <c r="J300" t="s">
        <v>5152</v>
      </c>
      <c r="K300" t="s">
        <v>3141</v>
      </c>
      <c r="L300">
        <v>2088110</v>
      </c>
      <c r="M300">
        <v>1.4E-3</v>
      </c>
      <c r="N300" t="s">
        <v>322</v>
      </c>
      <c r="O300" t="s">
        <v>5576</v>
      </c>
    </row>
    <row r="301" spans="1:15" x14ac:dyDescent="0.25">
      <c r="A301" t="s">
        <v>564</v>
      </c>
      <c r="B301" t="s">
        <v>28</v>
      </c>
      <c r="C301" t="s">
        <v>151</v>
      </c>
      <c r="D301" t="s">
        <v>3637</v>
      </c>
      <c r="E301" t="s">
        <v>5577</v>
      </c>
      <c r="F301" t="s">
        <v>3920</v>
      </c>
      <c r="G301" t="s">
        <v>5578</v>
      </c>
      <c r="I301" t="s">
        <v>5579</v>
      </c>
      <c r="J301" t="s">
        <v>5580</v>
      </c>
      <c r="K301" t="s">
        <v>4542</v>
      </c>
      <c r="L301">
        <v>1024558</v>
      </c>
      <c r="M301">
        <v>1.4200000000000001E-2</v>
      </c>
      <c r="N301" t="s">
        <v>320</v>
      </c>
      <c r="O301" t="s">
        <v>5581</v>
      </c>
    </row>
    <row r="302" spans="1:15" x14ac:dyDescent="0.25">
      <c r="A302" t="s">
        <v>564</v>
      </c>
      <c r="B302" t="s">
        <v>28</v>
      </c>
      <c r="C302" t="s">
        <v>146</v>
      </c>
      <c r="D302" t="s">
        <v>3699</v>
      </c>
      <c r="E302" t="s">
        <v>5582</v>
      </c>
      <c r="F302" t="s">
        <v>5583</v>
      </c>
      <c r="G302" t="s">
        <v>5584</v>
      </c>
      <c r="H302" t="s">
        <v>3564</v>
      </c>
      <c r="I302" t="s">
        <v>5585</v>
      </c>
      <c r="J302" t="s">
        <v>5586</v>
      </c>
      <c r="K302" t="s">
        <v>4280</v>
      </c>
      <c r="L302">
        <v>696875</v>
      </c>
      <c r="M302">
        <v>2.3E-3</v>
      </c>
      <c r="N302" t="s">
        <v>322</v>
      </c>
      <c r="O302" t="s">
        <v>5587</v>
      </c>
    </row>
    <row r="303" spans="1:15" x14ac:dyDescent="0.25">
      <c r="A303" t="s">
        <v>564</v>
      </c>
      <c r="B303" t="s">
        <v>28</v>
      </c>
      <c r="C303" t="s">
        <v>5588</v>
      </c>
      <c r="D303" t="s">
        <v>5589</v>
      </c>
      <c r="E303" t="s">
        <v>5590</v>
      </c>
      <c r="F303" t="s">
        <v>5591</v>
      </c>
      <c r="G303" t="s">
        <v>5592</v>
      </c>
      <c r="I303" t="s">
        <v>5593</v>
      </c>
      <c r="J303" t="s">
        <v>5348</v>
      </c>
      <c r="K303" t="s">
        <v>4078</v>
      </c>
      <c r="L303">
        <v>515115</v>
      </c>
      <c r="M303">
        <v>1.2E-2</v>
      </c>
      <c r="N303" t="s">
        <v>320</v>
      </c>
      <c r="O303" t="s">
        <v>5594</v>
      </c>
    </row>
    <row r="304" spans="1:15" x14ac:dyDescent="0.25">
      <c r="A304" t="s">
        <v>564</v>
      </c>
      <c r="B304" t="s">
        <v>28</v>
      </c>
      <c r="C304" t="s">
        <v>5192</v>
      </c>
      <c r="D304" t="s">
        <v>5193</v>
      </c>
      <c r="E304" t="s">
        <v>5595</v>
      </c>
      <c r="F304" t="s">
        <v>5596</v>
      </c>
      <c r="G304" t="s">
        <v>5597</v>
      </c>
      <c r="I304" t="s">
        <v>5598</v>
      </c>
      <c r="J304" t="s">
        <v>4233</v>
      </c>
      <c r="K304" t="s">
        <v>5599</v>
      </c>
      <c r="L304">
        <v>409072</v>
      </c>
      <c r="M304">
        <v>6.7999999999999996E-3</v>
      </c>
      <c r="N304" t="s">
        <v>320</v>
      </c>
      <c r="O304" t="s">
        <v>5600</v>
      </c>
    </row>
    <row r="305" spans="1:15" x14ac:dyDescent="0.25">
      <c r="A305" t="s">
        <v>564</v>
      </c>
      <c r="B305" t="s">
        <v>28</v>
      </c>
      <c r="C305" t="s">
        <v>5601</v>
      </c>
      <c r="D305" t="s">
        <v>5602</v>
      </c>
      <c r="E305" t="s">
        <v>5603</v>
      </c>
      <c r="F305" t="s">
        <v>5604</v>
      </c>
      <c r="G305" t="s">
        <v>5605</v>
      </c>
      <c r="H305" t="s">
        <v>4581</v>
      </c>
      <c r="I305" t="s">
        <v>3960</v>
      </c>
      <c r="J305" t="s">
        <v>5606</v>
      </c>
      <c r="K305" t="s">
        <v>132</v>
      </c>
      <c r="L305">
        <v>355148</v>
      </c>
      <c r="M305">
        <v>8.5000000000000006E-3</v>
      </c>
      <c r="N305" t="s">
        <v>322</v>
      </c>
      <c r="O305" t="s">
        <v>5607</v>
      </c>
    </row>
    <row r="306" spans="1:15" x14ac:dyDescent="0.25">
      <c r="A306" t="s">
        <v>564</v>
      </c>
      <c r="B306" t="s">
        <v>28</v>
      </c>
      <c r="C306" t="s">
        <v>3842</v>
      </c>
      <c r="D306" t="s">
        <v>3843</v>
      </c>
      <c r="E306" t="s">
        <v>5608</v>
      </c>
      <c r="F306" t="s">
        <v>5609</v>
      </c>
      <c r="G306" t="s">
        <v>5610</v>
      </c>
      <c r="H306" t="s">
        <v>3807</v>
      </c>
      <c r="I306" t="s">
        <v>5611</v>
      </c>
      <c r="J306" t="s">
        <v>5612</v>
      </c>
      <c r="K306" t="s">
        <v>132</v>
      </c>
      <c r="L306">
        <v>293553</v>
      </c>
      <c r="M306">
        <v>3.2400000000000012E-2</v>
      </c>
      <c r="N306" t="s">
        <v>320</v>
      </c>
      <c r="O306" t="s">
        <v>5613</v>
      </c>
    </row>
    <row r="307" spans="1:15" x14ac:dyDescent="0.25">
      <c r="A307" t="s">
        <v>564</v>
      </c>
      <c r="B307" t="s">
        <v>28</v>
      </c>
      <c r="C307" t="s">
        <v>4288</v>
      </c>
      <c r="D307" t="s">
        <v>4289</v>
      </c>
      <c r="E307" t="s">
        <v>5614</v>
      </c>
      <c r="F307" t="s">
        <v>5615</v>
      </c>
      <c r="G307" t="s">
        <v>5616</v>
      </c>
      <c r="H307" t="s">
        <v>3564</v>
      </c>
      <c r="I307" t="s">
        <v>5617</v>
      </c>
      <c r="J307" t="s">
        <v>5618</v>
      </c>
      <c r="K307" t="s">
        <v>4151</v>
      </c>
      <c r="L307">
        <v>250585</v>
      </c>
      <c r="M307">
        <v>8.0000000000000004E-4</v>
      </c>
      <c r="N307" t="s">
        <v>3577</v>
      </c>
      <c r="O307" t="s">
        <v>5619</v>
      </c>
    </row>
    <row r="308" spans="1:15" x14ac:dyDescent="0.25">
      <c r="A308" t="s">
        <v>564</v>
      </c>
      <c r="B308" t="s">
        <v>28</v>
      </c>
      <c r="C308" t="s">
        <v>5313</v>
      </c>
      <c r="D308" t="s">
        <v>5314</v>
      </c>
      <c r="E308" t="s">
        <v>5620</v>
      </c>
      <c r="F308" t="s">
        <v>5621</v>
      </c>
      <c r="G308" t="s">
        <v>5622</v>
      </c>
      <c r="I308" t="s">
        <v>5623</v>
      </c>
      <c r="J308" t="s">
        <v>5624</v>
      </c>
      <c r="K308" t="s">
        <v>5625</v>
      </c>
      <c r="L308">
        <v>220791</v>
      </c>
      <c r="M308">
        <v>3.8999999999999998E-3</v>
      </c>
      <c r="N308" t="s">
        <v>320</v>
      </c>
      <c r="O308" t="s">
        <v>5626</v>
      </c>
    </row>
    <row r="309" spans="1:15" x14ac:dyDescent="0.25">
      <c r="A309" t="s">
        <v>564</v>
      </c>
      <c r="B309" t="s">
        <v>28</v>
      </c>
      <c r="C309" t="s">
        <v>5627</v>
      </c>
      <c r="D309" t="s">
        <v>5628</v>
      </c>
      <c r="E309" t="s">
        <v>5629</v>
      </c>
      <c r="F309" t="s">
        <v>5630</v>
      </c>
      <c r="G309" t="s">
        <v>5631</v>
      </c>
      <c r="H309" t="s">
        <v>3566</v>
      </c>
      <c r="I309" t="s">
        <v>5632</v>
      </c>
      <c r="J309" t="s">
        <v>5633</v>
      </c>
      <c r="K309" t="s">
        <v>132</v>
      </c>
      <c r="L309">
        <v>198494</v>
      </c>
      <c r="M309">
        <v>5.1999999999999998E-3</v>
      </c>
      <c r="N309" t="s">
        <v>320</v>
      </c>
      <c r="O309" t="s">
        <v>5634</v>
      </c>
    </row>
    <row r="310" spans="1:15" x14ac:dyDescent="0.25">
      <c r="A310" t="s">
        <v>564</v>
      </c>
      <c r="B310" t="s">
        <v>28</v>
      </c>
      <c r="C310" t="s">
        <v>3691</v>
      </c>
      <c r="D310" t="s">
        <v>3692</v>
      </c>
      <c r="E310" t="s">
        <v>5635</v>
      </c>
      <c r="F310" t="s">
        <v>5636</v>
      </c>
      <c r="G310" t="s">
        <v>5637</v>
      </c>
      <c r="I310" t="s">
        <v>5638</v>
      </c>
      <c r="J310" t="s">
        <v>5639</v>
      </c>
      <c r="K310" t="s">
        <v>4445</v>
      </c>
      <c r="L310">
        <v>179146</v>
      </c>
      <c r="M310">
        <v>1.18E-2</v>
      </c>
      <c r="N310" t="s">
        <v>320</v>
      </c>
      <c r="O310" t="s">
        <v>5640</v>
      </c>
    </row>
    <row r="311" spans="1:15" x14ac:dyDescent="0.25">
      <c r="A311" t="s">
        <v>564</v>
      </c>
      <c r="B311" t="s">
        <v>28</v>
      </c>
      <c r="C311" t="s">
        <v>5171</v>
      </c>
      <c r="D311" t="s">
        <v>5172</v>
      </c>
      <c r="E311" t="s">
        <v>5641</v>
      </c>
      <c r="F311" t="s">
        <v>5642</v>
      </c>
      <c r="G311" t="s">
        <v>5643</v>
      </c>
      <c r="I311" t="s">
        <v>5644</v>
      </c>
      <c r="J311" t="s">
        <v>4985</v>
      </c>
      <c r="K311" t="s">
        <v>132</v>
      </c>
      <c r="L311">
        <v>167198</v>
      </c>
      <c r="M311">
        <v>1.4E-2</v>
      </c>
      <c r="N311" t="s">
        <v>320</v>
      </c>
      <c r="O311" t="s">
        <v>5645</v>
      </c>
    </row>
    <row r="312" spans="1:15" x14ac:dyDescent="0.25">
      <c r="A312" t="s">
        <v>564</v>
      </c>
      <c r="B312" t="s">
        <v>28</v>
      </c>
      <c r="C312" t="s">
        <v>5192</v>
      </c>
      <c r="D312" t="s">
        <v>5193</v>
      </c>
      <c r="E312" t="s">
        <v>5646</v>
      </c>
      <c r="F312" t="s">
        <v>5647</v>
      </c>
      <c r="G312" t="s">
        <v>5648</v>
      </c>
      <c r="I312" t="s">
        <v>5649</v>
      </c>
      <c r="J312" t="s">
        <v>5650</v>
      </c>
      <c r="K312" t="s">
        <v>5035</v>
      </c>
      <c r="L312">
        <v>156763</v>
      </c>
      <c r="M312">
        <v>7.7000000000000002E-3</v>
      </c>
      <c r="N312" t="s">
        <v>322</v>
      </c>
      <c r="O312" t="s">
        <v>5651</v>
      </c>
    </row>
    <row r="313" spans="1:15" x14ac:dyDescent="0.25">
      <c r="A313" t="s">
        <v>564</v>
      </c>
      <c r="B313" t="s">
        <v>28</v>
      </c>
      <c r="C313" t="s">
        <v>4154</v>
      </c>
      <c r="D313" t="s">
        <v>4155</v>
      </c>
      <c r="E313" t="s">
        <v>5652</v>
      </c>
      <c r="F313" t="s">
        <v>5653</v>
      </c>
      <c r="G313" t="s">
        <v>5654</v>
      </c>
      <c r="I313" t="s">
        <v>5655</v>
      </c>
      <c r="J313" t="s">
        <v>3962</v>
      </c>
      <c r="K313" t="s">
        <v>4279</v>
      </c>
      <c r="L313">
        <v>144089</v>
      </c>
      <c r="M313">
        <v>4.3E-3</v>
      </c>
      <c r="N313" t="s">
        <v>320</v>
      </c>
      <c r="O313" t="s">
        <v>5656</v>
      </c>
    </row>
    <row r="314" spans="1:15" x14ac:dyDescent="0.25">
      <c r="A314" t="s">
        <v>564</v>
      </c>
      <c r="B314" t="s">
        <v>28</v>
      </c>
      <c r="C314" t="s">
        <v>5657</v>
      </c>
      <c r="D314" t="s">
        <v>5658</v>
      </c>
      <c r="E314" t="s">
        <v>5659</v>
      </c>
      <c r="F314" t="s">
        <v>5660</v>
      </c>
      <c r="G314" t="s">
        <v>5661</v>
      </c>
      <c r="I314" t="s">
        <v>5662</v>
      </c>
      <c r="J314" t="s">
        <v>5663</v>
      </c>
      <c r="K314" t="s">
        <v>4718</v>
      </c>
      <c r="L314">
        <v>136800</v>
      </c>
      <c r="M314">
        <v>2.3E-2</v>
      </c>
      <c r="N314" t="s">
        <v>322</v>
      </c>
      <c r="O314" t="s">
        <v>5664</v>
      </c>
    </row>
    <row r="315" spans="1:15" x14ac:dyDescent="0.25">
      <c r="A315" t="s">
        <v>564</v>
      </c>
      <c r="B315" t="s">
        <v>28</v>
      </c>
      <c r="C315" t="s">
        <v>4453</v>
      </c>
      <c r="D315" t="s">
        <v>4454</v>
      </c>
      <c r="E315" t="s">
        <v>5665</v>
      </c>
      <c r="F315" t="s">
        <v>5666</v>
      </c>
      <c r="G315" t="s">
        <v>5667</v>
      </c>
      <c r="H315" t="s">
        <v>3141</v>
      </c>
      <c r="I315" t="s">
        <v>5668</v>
      </c>
      <c r="J315" t="s">
        <v>5669</v>
      </c>
      <c r="K315" t="s">
        <v>132</v>
      </c>
      <c r="L315">
        <v>129848</v>
      </c>
      <c r="M315">
        <v>8.0000000000000004E-4</v>
      </c>
      <c r="N315" t="s">
        <v>322</v>
      </c>
      <c r="O315" t="s">
        <v>5670</v>
      </c>
    </row>
    <row r="316" spans="1:15" x14ac:dyDescent="0.25">
      <c r="A316" t="s">
        <v>564</v>
      </c>
      <c r="B316" t="s">
        <v>28</v>
      </c>
      <c r="C316" t="s">
        <v>5671</v>
      </c>
      <c r="D316" t="s">
        <v>5672</v>
      </c>
      <c r="E316" t="s">
        <v>5673</v>
      </c>
      <c r="F316" t="s">
        <v>5674</v>
      </c>
      <c r="G316" t="s">
        <v>5675</v>
      </c>
      <c r="I316" t="s">
        <v>5676</v>
      </c>
      <c r="J316" t="s">
        <v>5677</v>
      </c>
      <c r="K316" t="s">
        <v>3566</v>
      </c>
      <c r="L316">
        <v>121841</v>
      </c>
      <c r="M316">
        <v>7.7000000000000002E-3</v>
      </c>
      <c r="N316" t="s">
        <v>320</v>
      </c>
      <c r="O316" t="s">
        <v>5678</v>
      </c>
    </row>
    <row r="317" spans="1:15" x14ac:dyDescent="0.25">
      <c r="A317" t="s">
        <v>564</v>
      </c>
      <c r="B317" t="s">
        <v>28</v>
      </c>
      <c r="C317" t="s">
        <v>148</v>
      </c>
      <c r="D317" t="s">
        <v>3612</v>
      </c>
      <c r="E317" t="s">
        <v>5679</v>
      </c>
      <c r="F317" t="s">
        <v>5680</v>
      </c>
      <c r="G317" t="s">
        <v>5681</v>
      </c>
      <c r="I317" t="s">
        <v>5682</v>
      </c>
      <c r="J317" t="s">
        <v>5683</v>
      </c>
      <c r="K317" t="s">
        <v>5311</v>
      </c>
      <c r="L317">
        <v>115058</v>
      </c>
      <c r="M317">
        <v>8.199999999999999E-3</v>
      </c>
      <c r="N317" t="s">
        <v>320</v>
      </c>
      <c r="O317" t="s">
        <v>5684</v>
      </c>
    </row>
    <row r="318" spans="1:15" x14ac:dyDescent="0.25">
      <c r="A318" t="s">
        <v>564</v>
      </c>
      <c r="B318" t="s">
        <v>28</v>
      </c>
      <c r="C318" t="s">
        <v>5685</v>
      </c>
      <c r="D318" t="s">
        <v>5686</v>
      </c>
      <c r="E318" t="s">
        <v>5687</v>
      </c>
      <c r="F318" t="s">
        <v>5688</v>
      </c>
      <c r="G318" t="s">
        <v>5689</v>
      </c>
      <c r="H318" t="s">
        <v>3564</v>
      </c>
      <c r="I318" t="s">
        <v>5690</v>
      </c>
      <c r="J318" t="s">
        <v>5691</v>
      </c>
      <c r="K318" t="s">
        <v>4335</v>
      </c>
      <c r="L318">
        <v>108532</v>
      </c>
      <c r="M318">
        <v>1.09E-2</v>
      </c>
      <c r="N318" t="s">
        <v>320</v>
      </c>
      <c r="O318" t="s">
        <v>5692</v>
      </c>
    </row>
    <row r="319" spans="1:15" x14ac:dyDescent="0.25">
      <c r="A319" t="s">
        <v>564</v>
      </c>
      <c r="B319" t="s">
        <v>28</v>
      </c>
      <c r="C319" t="s">
        <v>4678</v>
      </c>
      <c r="D319" t="s">
        <v>4679</v>
      </c>
      <c r="E319" t="s">
        <v>5693</v>
      </c>
      <c r="F319" t="s">
        <v>5694</v>
      </c>
      <c r="G319" t="s">
        <v>5695</v>
      </c>
      <c r="I319" t="s">
        <v>5696</v>
      </c>
      <c r="J319" t="s">
        <v>5697</v>
      </c>
      <c r="K319" t="s">
        <v>132</v>
      </c>
      <c r="L319">
        <v>105880</v>
      </c>
      <c r="M319">
        <v>1.6500000000000001E-2</v>
      </c>
      <c r="N319" t="s">
        <v>322</v>
      </c>
      <c r="O319" t="s">
        <v>5698</v>
      </c>
    </row>
    <row r="320" spans="1:15" x14ac:dyDescent="0.25">
      <c r="A320" t="s">
        <v>564</v>
      </c>
      <c r="B320" t="s">
        <v>28</v>
      </c>
      <c r="C320" t="s">
        <v>4707</v>
      </c>
      <c r="D320" t="s">
        <v>4708</v>
      </c>
      <c r="E320" t="s">
        <v>5699</v>
      </c>
      <c r="F320" t="s">
        <v>5700</v>
      </c>
      <c r="G320" t="s">
        <v>5701</v>
      </c>
      <c r="I320" t="s">
        <v>5702</v>
      </c>
      <c r="J320" t="s">
        <v>5703</v>
      </c>
      <c r="K320" t="s">
        <v>5580</v>
      </c>
      <c r="L320">
        <v>99641</v>
      </c>
      <c r="M320">
        <v>3.5799999999999998E-2</v>
      </c>
      <c r="N320" t="s">
        <v>3577</v>
      </c>
      <c r="O320" t="s">
        <v>5704</v>
      </c>
    </row>
    <row r="321" spans="1:15" x14ac:dyDescent="0.25">
      <c r="A321" t="s">
        <v>564</v>
      </c>
      <c r="B321" t="s">
        <v>30</v>
      </c>
      <c r="C321" t="s">
        <v>150</v>
      </c>
      <c r="D321" t="s">
        <v>3964</v>
      </c>
      <c r="E321" t="s">
        <v>1847</v>
      </c>
      <c r="F321" t="s">
        <v>1846</v>
      </c>
      <c r="G321" t="s">
        <v>5705</v>
      </c>
      <c r="H321" t="s">
        <v>3564</v>
      </c>
      <c r="I321" t="s">
        <v>5706</v>
      </c>
      <c r="J321" t="s">
        <v>3972</v>
      </c>
      <c r="K321" t="s">
        <v>3564</v>
      </c>
      <c r="L321">
        <v>285894</v>
      </c>
      <c r="M321">
        <v>9.5500000000000002E-2</v>
      </c>
      <c r="N321" t="s">
        <v>3517</v>
      </c>
      <c r="O321" t="s">
        <v>1848</v>
      </c>
    </row>
    <row r="322" spans="1:15" x14ac:dyDescent="0.25">
      <c r="A322" t="s">
        <v>564</v>
      </c>
      <c r="B322" t="s">
        <v>30</v>
      </c>
      <c r="C322" t="s">
        <v>150</v>
      </c>
      <c r="D322" t="s">
        <v>3964</v>
      </c>
      <c r="E322" t="s">
        <v>1856</v>
      </c>
      <c r="F322" t="s">
        <v>1855</v>
      </c>
      <c r="G322" t="s">
        <v>5707</v>
      </c>
      <c r="H322" t="s">
        <v>3564</v>
      </c>
      <c r="I322" t="s">
        <v>5708</v>
      </c>
      <c r="J322" t="s">
        <v>4003</v>
      </c>
      <c r="K322" t="s">
        <v>4131</v>
      </c>
      <c r="L322">
        <v>275963</v>
      </c>
      <c r="M322">
        <v>1.89E-2</v>
      </c>
      <c r="N322" t="s">
        <v>3517</v>
      </c>
      <c r="O322" t="s">
        <v>1857</v>
      </c>
    </row>
    <row r="323" spans="1:15" x14ac:dyDescent="0.25">
      <c r="A323" t="s">
        <v>564</v>
      </c>
      <c r="B323" t="s">
        <v>30</v>
      </c>
      <c r="C323" t="s">
        <v>5709</v>
      </c>
      <c r="D323" t="s">
        <v>5710</v>
      </c>
      <c r="E323" t="s">
        <v>5711</v>
      </c>
      <c r="F323" t="s">
        <v>5712</v>
      </c>
      <c r="G323" t="s">
        <v>5713</v>
      </c>
      <c r="I323" t="s">
        <v>5714</v>
      </c>
      <c r="J323" t="s">
        <v>4581</v>
      </c>
      <c r="K323" t="s">
        <v>4328</v>
      </c>
      <c r="L323">
        <v>275085</v>
      </c>
      <c r="M323">
        <v>0.1193</v>
      </c>
      <c r="N323" t="s">
        <v>3517</v>
      </c>
      <c r="O323" t="s">
        <v>5715</v>
      </c>
    </row>
    <row r="324" spans="1:15" x14ac:dyDescent="0.25">
      <c r="A324" t="s">
        <v>564</v>
      </c>
      <c r="B324" t="s">
        <v>30</v>
      </c>
      <c r="C324" t="s">
        <v>392</v>
      </c>
      <c r="D324" t="s">
        <v>4269</v>
      </c>
      <c r="E324" t="s">
        <v>5716</v>
      </c>
      <c r="F324" t="s">
        <v>5717</v>
      </c>
      <c r="G324" t="s">
        <v>5718</v>
      </c>
      <c r="I324" t="s">
        <v>5719</v>
      </c>
      <c r="J324" t="s">
        <v>4723</v>
      </c>
      <c r="K324" t="s">
        <v>132</v>
      </c>
      <c r="L324">
        <v>272170</v>
      </c>
      <c r="M324">
        <v>2.1100000000000001E-2</v>
      </c>
      <c r="N324" t="s">
        <v>3517</v>
      </c>
      <c r="O324" t="s">
        <v>5720</v>
      </c>
    </row>
    <row r="325" spans="1:15" x14ac:dyDescent="0.25">
      <c r="A325" t="s">
        <v>564</v>
      </c>
      <c r="B325" t="s">
        <v>30</v>
      </c>
      <c r="C325" t="s">
        <v>5721</v>
      </c>
      <c r="D325" t="s">
        <v>5722</v>
      </c>
      <c r="E325" t="s">
        <v>5723</v>
      </c>
      <c r="F325" t="s">
        <v>5724</v>
      </c>
      <c r="G325" t="s">
        <v>5725</v>
      </c>
      <c r="I325" t="s">
        <v>5726</v>
      </c>
      <c r="J325" t="s">
        <v>4535</v>
      </c>
      <c r="K325" t="s">
        <v>4384</v>
      </c>
      <c r="L325">
        <v>257470</v>
      </c>
      <c r="M325">
        <v>0.2361</v>
      </c>
      <c r="N325" t="s">
        <v>3517</v>
      </c>
      <c r="O325" t="s">
        <v>5727</v>
      </c>
    </row>
    <row r="326" spans="1:15" x14ac:dyDescent="0.25">
      <c r="A326" t="s">
        <v>564</v>
      </c>
      <c r="B326" t="s">
        <v>30</v>
      </c>
      <c r="C326" t="s">
        <v>394</v>
      </c>
      <c r="D326" t="s">
        <v>5728</v>
      </c>
      <c r="E326" t="s">
        <v>5729</v>
      </c>
      <c r="F326" t="s">
        <v>5730</v>
      </c>
      <c r="G326" t="s">
        <v>5731</v>
      </c>
      <c r="I326" t="s">
        <v>5732</v>
      </c>
      <c r="J326" t="s">
        <v>4685</v>
      </c>
      <c r="K326" t="s">
        <v>132</v>
      </c>
      <c r="L326">
        <v>247179</v>
      </c>
      <c r="M326">
        <v>8.2500000000000004E-2</v>
      </c>
      <c r="N326" t="s">
        <v>3517</v>
      </c>
      <c r="O326" t="s">
        <v>5733</v>
      </c>
    </row>
    <row r="327" spans="1:15" x14ac:dyDescent="0.25">
      <c r="A327" t="s">
        <v>564</v>
      </c>
      <c r="B327" t="s">
        <v>30</v>
      </c>
      <c r="C327" t="s">
        <v>5734</v>
      </c>
      <c r="D327" t="s">
        <v>5735</v>
      </c>
      <c r="E327" t="s">
        <v>5736</v>
      </c>
      <c r="F327" t="s">
        <v>5737</v>
      </c>
      <c r="G327" t="s">
        <v>5738</v>
      </c>
      <c r="I327" t="s">
        <v>5739</v>
      </c>
      <c r="J327" t="s">
        <v>5163</v>
      </c>
      <c r="K327" t="s">
        <v>132</v>
      </c>
      <c r="L327">
        <v>231883</v>
      </c>
      <c r="M327">
        <v>4.24E-2</v>
      </c>
      <c r="N327" t="s">
        <v>3517</v>
      </c>
      <c r="O327" t="s">
        <v>5740</v>
      </c>
    </row>
    <row r="328" spans="1:15" x14ac:dyDescent="0.25">
      <c r="A328" t="s">
        <v>564</v>
      </c>
      <c r="B328" t="s">
        <v>30</v>
      </c>
      <c r="C328" t="s">
        <v>4707</v>
      </c>
      <c r="D328" t="s">
        <v>4708</v>
      </c>
      <c r="E328" t="s">
        <v>5741</v>
      </c>
      <c r="F328" t="s">
        <v>5742</v>
      </c>
      <c r="G328" t="s">
        <v>5743</v>
      </c>
      <c r="I328" t="s">
        <v>5744</v>
      </c>
      <c r="J328" t="s">
        <v>3671</v>
      </c>
      <c r="K328" t="s">
        <v>4542</v>
      </c>
      <c r="L328">
        <v>226687</v>
      </c>
      <c r="M328">
        <v>0.1767</v>
      </c>
      <c r="N328" t="s">
        <v>3517</v>
      </c>
      <c r="O328" t="s">
        <v>5745</v>
      </c>
    </row>
    <row r="329" spans="1:15" x14ac:dyDescent="0.25">
      <c r="A329" t="s">
        <v>564</v>
      </c>
      <c r="B329" t="s">
        <v>30</v>
      </c>
      <c r="C329" t="s">
        <v>5709</v>
      </c>
      <c r="D329" t="s">
        <v>5710</v>
      </c>
      <c r="E329" t="s">
        <v>5746</v>
      </c>
      <c r="F329" t="s">
        <v>5747</v>
      </c>
      <c r="G329" t="s">
        <v>5748</v>
      </c>
      <c r="I329" t="s">
        <v>5749</v>
      </c>
      <c r="J329" t="s">
        <v>5169</v>
      </c>
      <c r="K329" t="s">
        <v>4123</v>
      </c>
      <c r="L329">
        <v>215654</v>
      </c>
      <c r="M329">
        <v>0.151</v>
      </c>
      <c r="N329" t="s">
        <v>3517</v>
      </c>
      <c r="O329" t="s">
        <v>5750</v>
      </c>
    </row>
    <row r="330" spans="1:15" x14ac:dyDescent="0.25">
      <c r="A330" t="s">
        <v>564</v>
      </c>
      <c r="B330" t="s">
        <v>30</v>
      </c>
      <c r="C330" t="s">
        <v>5751</v>
      </c>
      <c r="D330" t="s">
        <v>5752</v>
      </c>
      <c r="E330" t="s">
        <v>5753</v>
      </c>
      <c r="F330" t="s">
        <v>5754</v>
      </c>
      <c r="G330" t="s">
        <v>5755</v>
      </c>
      <c r="H330" t="s">
        <v>4131</v>
      </c>
      <c r="I330" t="s">
        <v>5756</v>
      </c>
      <c r="J330" t="s">
        <v>5580</v>
      </c>
      <c r="K330" t="s">
        <v>132</v>
      </c>
      <c r="L330">
        <v>209488</v>
      </c>
      <c r="M330">
        <v>1.9599999999999999E-2</v>
      </c>
      <c r="N330" t="s">
        <v>3517</v>
      </c>
      <c r="O330" t="s">
        <v>5757</v>
      </c>
    </row>
    <row r="331" spans="1:15" x14ac:dyDescent="0.25">
      <c r="A331" t="s">
        <v>564</v>
      </c>
      <c r="B331" t="s">
        <v>30</v>
      </c>
      <c r="C331" t="s">
        <v>349</v>
      </c>
      <c r="D331" t="s">
        <v>4529</v>
      </c>
      <c r="E331" t="s">
        <v>5758</v>
      </c>
      <c r="F331" t="s">
        <v>5759</v>
      </c>
      <c r="G331" t="s">
        <v>5760</v>
      </c>
      <c r="I331" t="s">
        <v>5761</v>
      </c>
      <c r="J331" t="s">
        <v>3575</v>
      </c>
      <c r="K331" t="s">
        <v>3564</v>
      </c>
      <c r="L331">
        <v>204291</v>
      </c>
      <c r="M331">
        <v>9.6699999999999994E-2</v>
      </c>
      <c r="N331" t="s">
        <v>3517</v>
      </c>
      <c r="O331" t="s">
        <v>5762</v>
      </c>
    </row>
    <row r="332" spans="1:15" x14ac:dyDescent="0.25">
      <c r="A332" t="s">
        <v>564</v>
      </c>
      <c r="B332" t="s">
        <v>30</v>
      </c>
      <c r="C332" t="s">
        <v>394</v>
      </c>
      <c r="D332" t="s">
        <v>5728</v>
      </c>
      <c r="E332" t="s">
        <v>5763</v>
      </c>
      <c r="F332" t="s">
        <v>5764</v>
      </c>
      <c r="G332" t="s">
        <v>5765</v>
      </c>
      <c r="I332" t="s">
        <v>5766</v>
      </c>
      <c r="J332" t="s">
        <v>3649</v>
      </c>
      <c r="K332" t="s">
        <v>132</v>
      </c>
      <c r="L332">
        <v>199391</v>
      </c>
      <c r="M332">
        <v>5.2499999999999998E-2</v>
      </c>
      <c r="N332" t="s">
        <v>3517</v>
      </c>
      <c r="O332" t="s">
        <v>5767</v>
      </c>
    </row>
    <row r="333" spans="1:15" x14ac:dyDescent="0.25">
      <c r="A333" t="s">
        <v>564</v>
      </c>
      <c r="B333" t="s">
        <v>30</v>
      </c>
      <c r="C333" t="s">
        <v>150</v>
      </c>
      <c r="D333" t="s">
        <v>3964</v>
      </c>
      <c r="E333" t="s">
        <v>1861</v>
      </c>
      <c r="F333" t="s">
        <v>1860</v>
      </c>
      <c r="G333" t="s">
        <v>5768</v>
      </c>
      <c r="H333" t="s">
        <v>3564</v>
      </c>
      <c r="I333" t="s">
        <v>5769</v>
      </c>
      <c r="J333" t="s">
        <v>3731</v>
      </c>
      <c r="K333" t="s">
        <v>3566</v>
      </c>
      <c r="L333">
        <v>186486</v>
      </c>
      <c r="M333">
        <v>0.15609999999999999</v>
      </c>
      <c r="N333" t="s">
        <v>3517</v>
      </c>
      <c r="O333" t="s">
        <v>1862</v>
      </c>
    </row>
    <row r="334" spans="1:15" x14ac:dyDescent="0.25">
      <c r="A334" t="s">
        <v>564</v>
      </c>
      <c r="B334" t="s">
        <v>30</v>
      </c>
      <c r="C334" t="s">
        <v>394</v>
      </c>
      <c r="D334" t="s">
        <v>5728</v>
      </c>
      <c r="E334" t="s">
        <v>5770</v>
      </c>
      <c r="F334" t="s">
        <v>5771</v>
      </c>
      <c r="G334" t="s">
        <v>5772</v>
      </c>
      <c r="H334" t="s">
        <v>3564</v>
      </c>
      <c r="I334" t="s">
        <v>5773</v>
      </c>
      <c r="J334" t="s">
        <v>3795</v>
      </c>
      <c r="K334" t="s">
        <v>3152</v>
      </c>
      <c r="L334">
        <v>179668</v>
      </c>
      <c r="M334">
        <v>3.0700000000000002E-2</v>
      </c>
      <c r="N334" t="s">
        <v>3517</v>
      </c>
      <c r="O334" t="s">
        <v>5774</v>
      </c>
    </row>
    <row r="335" spans="1:15" x14ac:dyDescent="0.25">
      <c r="A335" t="s">
        <v>564</v>
      </c>
      <c r="B335" t="s">
        <v>30</v>
      </c>
      <c r="C335" t="s">
        <v>5775</v>
      </c>
      <c r="D335" t="s">
        <v>5776</v>
      </c>
      <c r="E335" t="s">
        <v>5777</v>
      </c>
      <c r="F335" t="s">
        <v>5778</v>
      </c>
      <c r="G335" t="s">
        <v>5779</v>
      </c>
      <c r="I335" t="s">
        <v>5780</v>
      </c>
      <c r="J335" t="s">
        <v>3601</v>
      </c>
      <c r="K335" t="s">
        <v>4384</v>
      </c>
      <c r="L335">
        <v>174478</v>
      </c>
      <c r="M335">
        <v>7.3499999999999996E-2</v>
      </c>
      <c r="N335" t="s">
        <v>3517</v>
      </c>
      <c r="O335" t="s">
        <v>5781</v>
      </c>
    </row>
    <row r="336" spans="1:15" x14ac:dyDescent="0.25">
      <c r="A336" t="s">
        <v>564</v>
      </c>
      <c r="B336" t="s">
        <v>30</v>
      </c>
      <c r="C336" t="s">
        <v>150</v>
      </c>
      <c r="D336" t="s">
        <v>3964</v>
      </c>
      <c r="E336" t="s">
        <v>1866</v>
      </c>
      <c r="F336" t="s">
        <v>1865</v>
      </c>
      <c r="G336" t="s">
        <v>5782</v>
      </c>
      <c r="H336" t="s">
        <v>3564</v>
      </c>
      <c r="I336" t="s">
        <v>5783</v>
      </c>
      <c r="J336" t="s">
        <v>4286</v>
      </c>
      <c r="K336" t="s">
        <v>3141</v>
      </c>
      <c r="L336">
        <v>155086</v>
      </c>
      <c r="M336">
        <v>9.9199999999999997E-2</v>
      </c>
      <c r="N336" t="s">
        <v>3517</v>
      </c>
      <c r="O336" t="s">
        <v>1867</v>
      </c>
    </row>
    <row r="337" spans="1:15" x14ac:dyDescent="0.25">
      <c r="A337" t="s">
        <v>564</v>
      </c>
      <c r="B337" t="s">
        <v>30</v>
      </c>
      <c r="C337" t="s">
        <v>150</v>
      </c>
      <c r="D337" t="s">
        <v>3964</v>
      </c>
      <c r="E337" t="s">
        <v>1870</v>
      </c>
      <c r="F337" t="s">
        <v>1869</v>
      </c>
      <c r="G337" t="s">
        <v>5784</v>
      </c>
      <c r="I337" t="s">
        <v>5785</v>
      </c>
      <c r="J337" t="s">
        <v>4436</v>
      </c>
      <c r="K337" t="s">
        <v>132</v>
      </c>
      <c r="L337">
        <v>154724</v>
      </c>
      <c r="M337">
        <v>6.7000000000000002E-3</v>
      </c>
      <c r="N337" t="s">
        <v>3517</v>
      </c>
      <c r="O337" t="s">
        <v>1871</v>
      </c>
    </row>
    <row r="338" spans="1:15" x14ac:dyDescent="0.25">
      <c r="A338" t="s">
        <v>564</v>
      </c>
      <c r="B338" t="s">
        <v>30</v>
      </c>
      <c r="C338" t="s">
        <v>150</v>
      </c>
      <c r="D338" t="s">
        <v>3964</v>
      </c>
      <c r="E338" t="s">
        <v>1875</v>
      </c>
      <c r="F338" t="s">
        <v>1874</v>
      </c>
      <c r="G338" t="s">
        <v>5786</v>
      </c>
      <c r="I338" t="s">
        <v>5787</v>
      </c>
      <c r="J338" t="s">
        <v>4587</v>
      </c>
      <c r="K338" t="s">
        <v>3141</v>
      </c>
      <c r="L338">
        <v>148741</v>
      </c>
      <c r="M338">
        <v>0.22600000000000001</v>
      </c>
      <c r="N338" t="s">
        <v>3517</v>
      </c>
      <c r="O338" t="s">
        <v>1876</v>
      </c>
    </row>
    <row r="339" spans="1:15" x14ac:dyDescent="0.25">
      <c r="A339" t="s">
        <v>564</v>
      </c>
      <c r="B339" t="s">
        <v>30</v>
      </c>
      <c r="C339" t="s">
        <v>394</v>
      </c>
      <c r="D339" t="s">
        <v>5728</v>
      </c>
      <c r="E339" t="s">
        <v>5788</v>
      </c>
      <c r="F339" t="s">
        <v>5789</v>
      </c>
      <c r="G339" t="s">
        <v>5790</v>
      </c>
      <c r="I339" t="s">
        <v>5791</v>
      </c>
      <c r="J339" t="s">
        <v>3802</v>
      </c>
      <c r="K339" t="s">
        <v>132</v>
      </c>
      <c r="L339">
        <v>148473</v>
      </c>
      <c r="M339">
        <v>3.1E-2</v>
      </c>
      <c r="N339" t="s">
        <v>3517</v>
      </c>
      <c r="O339" t="s">
        <v>5792</v>
      </c>
    </row>
    <row r="340" spans="1:15" x14ac:dyDescent="0.25">
      <c r="A340" t="s">
        <v>564</v>
      </c>
      <c r="B340" t="s">
        <v>30</v>
      </c>
      <c r="C340" t="s">
        <v>392</v>
      </c>
      <c r="D340" t="s">
        <v>4269</v>
      </c>
      <c r="E340" t="s">
        <v>5793</v>
      </c>
      <c r="F340" t="s">
        <v>5794</v>
      </c>
      <c r="G340" t="s">
        <v>5795</v>
      </c>
      <c r="I340" t="s">
        <v>5796</v>
      </c>
      <c r="J340" t="s">
        <v>4010</v>
      </c>
      <c r="K340" t="s">
        <v>4132</v>
      </c>
      <c r="L340">
        <v>133653</v>
      </c>
      <c r="M340">
        <v>6.9099999999999995E-2</v>
      </c>
      <c r="N340" t="s">
        <v>3517</v>
      </c>
      <c r="O340" t="s">
        <v>5797</v>
      </c>
    </row>
    <row r="341" spans="1:15" x14ac:dyDescent="0.25">
      <c r="A341" t="s">
        <v>564</v>
      </c>
      <c r="B341" t="s">
        <v>30</v>
      </c>
      <c r="C341" t="s">
        <v>5775</v>
      </c>
      <c r="D341" t="s">
        <v>5776</v>
      </c>
      <c r="E341" t="s">
        <v>5798</v>
      </c>
      <c r="F341" t="s">
        <v>5799</v>
      </c>
      <c r="G341" t="s">
        <v>5800</v>
      </c>
      <c r="I341" t="s">
        <v>5801</v>
      </c>
      <c r="J341" t="s">
        <v>5020</v>
      </c>
      <c r="K341" t="s">
        <v>3808</v>
      </c>
      <c r="L341">
        <v>130919</v>
      </c>
      <c r="M341">
        <v>0.125</v>
      </c>
      <c r="N341" t="s">
        <v>3517</v>
      </c>
      <c r="O341" t="s">
        <v>5802</v>
      </c>
    </row>
    <row r="342" spans="1:15" x14ac:dyDescent="0.25">
      <c r="A342" t="s">
        <v>564</v>
      </c>
      <c r="B342" t="s">
        <v>30</v>
      </c>
      <c r="C342" t="s">
        <v>4707</v>
      </c>
      <c r="D342" t="s">
        <v>4708</v>
      </c>
      <c r="E342" t="s">
        <v>5803</v>
      </c>
      <c r="F342" t="s">
        <v>5804</v>
      </c>
      <c r="G342" t="s">
        <v>5805</v>
      </c>
      <c r="I342" t="s">
        <v>5806</v>
      </c>
      <c r="J342" t="s">
        <v>4594</v>
      </c>
      <c r="K342" t="s">
        <v>3995</v>
      </c>
      <c r="L342">
        <v>127962</v>
      </c>
      <c r="M342">
        <v>0.12909999999999999</v>
      </c>
      <c r="N342" t="s">
        <v>3517</v>
      </c>
      <c r="O342" t="s">
        <v>5807</v>
      </c>
    </row>
    <row r="343" spans="1:15" x14ac:dyDescent="0.25">
      <c r="A343" t="s">
        <v>564</v>
      </c>
      <c r="B343" t="s">
        <v>30</v>
      </c>
      <c r="C343" t="s">
        <v>393</v>
      </c>
      <c r="D343" t="s">
        <v>5808</v>
      </c>
      <c r="E343" t="s">
        <v>5809</v>
      </c>
      <c r="F343" t="s">
        <v>5810</v>
      </c>
      <c r="G343" t="s">
        <v>5811</v>
      </c>
      <c r="H343" t="s">
        <v>3564</v>
      </c>
      <c r="I343" t="s">
        <v>5812</v>
      </c>
      <c r="J343" t="s">
        <v>5311</v>
      </c>
      <c r="L343">
        <v>114486</v>
      </c>
      <c r="M343">
        <v>9.4800000000000009E-2</v>
      </c>
      <c r="N343" t="s">
        <v>3517</v>
      </c>
      <c r="O343" t="s">
        <v>5813</v>
      </c>
    </row>
    <row r="344" spans="1:15" x14ac:dyDescent="0.25">
      <c r="A344" t="s">
        <v>564</v>
      </c>
      <c r="B344" t="s">
        <v>30</v>
      </c>
      <c r="C344" t="s">
        <v>5814</v>
      </c>
      <c r="D344" t="s">
        <v>5815</v>
      </c>
      <c r="E344" t="s">
        <v>5816</v>
      </c>
      <c r="F344" t="s">
        <v>5817</v>
      </c>
      <c r="G344" t="s">
        <v>5818</v>
      </c>
      <c r="I344" t="s">
        <v>5819</v>
      </c>
      <c r="J344" t="s">
        <v>4299</v>
      </c>
      <c r="K344" t="s">
        <v>5820</v>
      </c>
      <c r="L344">
        <v>64484</v>
      </c>
      <c r="M344">
        <v>0.114</v>
      </c>
      <c r="N344" t="s">
        <v>3517</v>
      </c>
      <c r="O344" t="s">
        <v>5821</v>
      </c>
    </row>
    <row r="345" spans="1:15" x14ac:dyDescent="0.25">
      <c r="A345" t="s">
        <v>564</v>
      </c>
      <c r="B345" t="s">
        <v>30</v>
      </c>
      <c r="C345" t="s">
        <v>5822</v>
      </c>
      <c r="D345" t="s">
        <v>5823</v>
      </c>
      <c r="E345" t="s">
        <v>5824</v>
      </c>
      <c r="F345" t="s">
        <v>5825</v>
      </c>
      <c r="G345" t="s">
        <v>5826</v>
      </c>
      <c r="I345" t="s">
        <v>5827</v>
      </c>
      <c r="J345" t="s">
        <v>4619</v>
      </c>
      <c r="K345" t="s">
        <v>3831</v>
      </c>
      <c r="L345">
        <v>100255</v>
      </c>
      <c r="M345">
        <v>5.1499999999999997E-2</v>
      </c>
      <c r="N345" t="s">
        <v>3517</v>
      </c>
      <c r="O345" t="s">
        <v>5828</v>
      </c>
    </row>
    <row r="346" spans="1:15" x14ac:dyDescent="0.25">
      <c r="A346" t="s">
        <v>564</v>
      </c>
      <c r="B346" t="s">
        <v>30</v>
      </c>
      <c r="C346" t="s">
        <v>4415</v>
      </c>
      <c r="D346" t="s">
        <v>4416</v>
      </c>
      <c r="E346" t="s">
        <v>5829</v>
      </c>
      <c r="F346" t="s">
        <v>5830</v>
      </c>
      <c r="G346" t="s">
        <v>5831</v>
      </c>
      <c r="I346" t="s">
        <v>5832</v>
      </c>
      <c r="J346" t="s">
        <v>5586</v>
      </c>
      <c r="K346" t="s">
        <v>5833</v>
      </c>
      <c r="L346">
        <v>98979</v>
      </c>
      <c r="M346">
        <v>0.2359</v>
      </c>
      <c r="N346" t="s">
        <v>3517</v>
      </c>
      <c r="O346" t="s">
        <v>5834</v>
      </c>
    </row>
    <row r="347" spans="1:15" x14ac:dyDescent="0.25">
      <c r="A347" t="s">
        <v>564</v>
      </c>
      <c r="B347" t="s">
        <v>30</v>
      </c>
      <c r="C347" t="s">
        <v>349</v>
      </c>
      <c r="D347" t="s">
        <v>4529</v>
      </c>
      <c r="E347" t="s">
        <v>5835</v>
      </c>
      <c r="F347" t="s">
        <v>5836</v>
      </c>
      <c r="G347" t="s">
        <v>5837</v>
      </c>
      <c r="I347" t="s">
        <v>5838</v>
      </c>
      <c r="J347" t="s">
        <v>3585</v>
      </c>
      <c r="K347" t="s">
        <v>3967</v>
      </c>
      <c r="L347">
        <v>98067</v>
      </c>
      <c r="M347">
        <v>0.08</v>
      </c>
      <c r="N347" t="s">
        <v>3517</v>
      </c>
      <c r="O347" t="s">
        <v>5839</v>
      </c>
    </row>
    <row r="348" spans="1:15" x14ac:dyDescent="0.25">
      <c r="A348" t="s">
        <v>564</v>
      </c>
      <c r="B348" t="s">
        <v>30</v>
      </c>
      <c r="C348" t="s">
        <v>5146</v>
      </c>
      <c r="D348" t="s">
        <v>5147</v>
      </c>
      <c r="E348" t="s">
        <v>5840</v>
      </c>
      <c r="F348" t="s">
        <v>5841</v>
      </c>
      <c r="G348" t="s">
        <v>5842</v>
      </c>
      <c r="I348" t="s">
        <v>5843</v>
      </c>
      <c r="J348" t="s">
        <v>3617</v>
      </c>
      <c r="K348" t="s">
        <v>5844</v>
      </c>
      <c r="L348">
        <v>97979</v>
      </c>
      <c r="M348">
        <v>8.2400000000000001E-2</v>
      </c>
      <c r="N348" t="s">
        <v>3517</v>
      </c>
      <c r="O348" t="s">
        <v>5845</v>
      </c>
    </row>
    <row r="349" spans="1:15" x14ac:dyDescent="0.25">
      <c r="A349" t="s">
        <v>564</v>
      </c>
      <c r="B349" t="s">
        <v>30</v>
      </c>
      <c r="C349" t="s">
        <v>5846</v>
      </c>
      <c r="D349" t="s">
        <v>5847</v>
      </c>
      <c r="E349" t="s">
        <v>5848</v>
      </c>
      <c r="F349" t="s">
        <v>5849</v>
      </c>
      <c r="G349" t="s">
        <v>5850</v>
      </c>
      <c r="H349" t="s">
        <v>3141</v>
      </c>
      <c r="I349" t="s">
        <v>5851</v>
      </c>
      <c r="J349" t="s">
        <v>3821</v>
      </c>
      <c r="K349" t="s">
        <v>5852</v>
      </c>
      <c r="L349">
        <v>93745</v>
      </c>
      <c r="M349">
        <v>5.1299999999999998E-2</v>
      </c>
      <c r="N349" t="s">
        <v>3517</v>
      </c>
      <c r="O349" t="s">
        <v>5853</v>
      </c>
    </row>
    <row r="350" spans="1:15" x14ac:dyDescent="0.25">
      <c r="A350" t="s">
        <v>564</v>
      </c>
      <c r="B350" t="s">
        <v>30</v>
      </c>
      <c r="C350" t="s">
        <v>5854</v>
      </c>
      <c r="D350" t="s">
        <v>5855</v>
      </c>
      <c r="E350" t="s">
        <v>5856</v>
      </c>
      <c r="F350" t="s">
        <v>5857</v>
      </c>
      <c r="G350" t="s">
        <v>5858</v>
      </c>
      <c r="I350" t="s">
        <v>5859</v>
      </c>
      <c r="J350" t="s">
        <v>3986</v>
      </c>
      <c r="K350" t="s">
        <v>3650</v>
      </c>
      <c r="L350">
        <v>92219</v>
      </c>
      <c r="M350">
        <v>0.1171</v>
      </c>
      <c r="N350" t="s">
        <v>3517</v>
      </c>
      <c r="O350" t="s">
        <v>5860</v>
      </c>
    </row>
    <row r="351" spans="1:15" x14ac:dyDescent="0.25">
      <c r="A351" t="s">
        <v>564</v>
      </c>
      <c r="B351" t="s">
        <v>30</v>
      </c>
      <c r="C351" t="s">
        <v>4707</v>
      </c>
      <c r="D351" t="s">
        <v>4708</v>
      </c>
      <c r="E351" t="s">
        <v>5861</v>
      </c>
      <c r="F351" t="s">
        <v>5862</v>
      </c>
      <c r="G351" t="s">
        <v>5863</v>
      </c>
      <c r="H351" t="s">
        <v>3140</v>
      </c>
      <c r="I351" t="s">
        <v>5864</v>
      </c>
      <c r="J351" t="s">
        <v>3635</v>
      </c>
      <c r="K351" t="s">
        <v>5865</v>
      </c>
      <c r="L351">
        <v>91445</v>
      </c>
      <c r="M351">
        <v>9.2600000000000002E-2</v>
      </c>
      <c r="N351" t="s">
        <v>3517</v>
      </c>
      <c r="O351" t="s">
        <v>5866</v>
      </c>
    </row>
    <row r="352" spans="1:15" x14ac:dyDescent="0.25">
      <c r="A352" t="s">
        <v>564</v>
      </c>
      <c r="B352" t="s">
        <v>30</v>
      </c>
      <c r="C352" t="s">
        <v>5867</v>
      </c>
      <c r="D352" t="s">
        <v>5868</v>
      </c>
      <c r="E352" t="s">
        <v>5869</v>
      </c>
      <c r="F352" t="s">
        <v>5870</v>
      </c>
      <c r="G352" t="s">
        <v>5871</v>
      </c>
      <c r="H352" t="s">
        <v>3564</v>
      </c>
      <c r="I352" t="s">
        <v>5872</v>
      </c>
      <c r="J352" t="s">
        <v>3873</v>
      </c>
      <c r="K352" t="s">
        <v>132</v>
      </c>
      <c r="L352">
        <v>87625</v>
      </c>
      <c r="M352">
        <v>0.15260000000000001</v>
      </c>
      <c r="N352" t="s">
        <v>3517</v>
      </c>
      <c r="O352" t="s">
        <v>5873</v>
      </c>
    </row>
    <row r="353" spans="1:15" x14ac:dyDescent="0.25">
      <c r="A353" t="s">
        <v>564</v>
      </c>
      <c r="B353" t="s">
        <v>30</v>
      </c>
      <c r="C353" t="s">
        <v>4415</v>
      </c>
      <c r="D353" t="s">
        <v>4416</v>
      </c>
      <c r="E353" t="s">
        <v>5874</v>
      </c>
      <c r="F353" t="s">
        <v>5875</v>
      </c>
      <c r="G353" t="s">
        <v>5876</v>
      </c>
      <c r="I353" t="s">
        <v>5877</v>
      </c>
      <c r="J353" t="s">
        <v>4444</v>
      </c>
      <c r="K353" t="s">
        <v>3763</v>
      </c>
      <c r="L353">
        <v>86133</v>
      </c>
      <c r="M353">
        <v>0.25719999999999998</v>
      </c>
      <c r="N353" t="s">
        <v>3517</v>
      </c>
      <c r="O353" t="s">
        <v>5878</v>
      </c>
    </row>
    <row r="354" spans="1:15" x14ac:dyDescent="0.25">
      <c r="A354" t="s">
        <v>564</v>
      </c>
      <c r="B354" t="s">
        <v>30</v>
      </c>
      <c r="C354" t="s">
        <v>150</v>
      </c>
      <c r="D354" t="s">
        <v>3964</v>
      </c>
      <c r="E354" t="s">
        <v>1880</v>
      </c>
      <c r="F354" t="s">
        <v>1879</v>
      </c>
      <c r="G354" t="s">
        <v>5879</v>
      </c>
      <c r="H354" t="s">
        <v>3142</v>
      </c>
      <c r="I354" t="s">
        <v>5880</v>
      </c>
      <c r="J354" t="s">
        <v>4593</v>
      </c>
      <c r="K354" t="s">
        <v>5881</v>
      </c>
      <c r="L354">
        <v>85268</v>
      </c>
      <c r="M354">
        <v>6.5199999999999994E-2</v>
      </c>
      <c r="N354" t="s">
        <v>3517</v>
      </c>
      <c r="O354" t="s">
        <v>1881</v>
      </c>
    </row>
    <row r="355" spans="1:15" x14ac:dyDescent="0.25">
      <c r="A355" t="s">
        <v>564</v>
      </c>
      <c r="B355" t="s">
        <v>30</v>
      </c>
      <c r="C355" t="s">
        <v>5846</v>
      </c>
      <c r="D355" t="s">
        <v>5847</v>
      </c>
      <c r="E355" t="s">
        <v>5882</v>
      </c>
      <c r="F355" t="s">
        <v>5883</v>
      </c>
      <c r="G355" t="s">
        <v>5884</v>
      </c>
      <c r="H355" t="s">
        <v>3144</v>
      </c>
      <c r="I355" t="s">
        <v>5885</v>
      </c>
      <c r="J355" t="s">
        <v>4736</v>
      </c>
      <c r="K355" t="s">
        <v>132</v>
      </c>
      <c r="L355">
        <v>82961</v>
      </c>
      <c r="M355">
        <v>2.1899999999999999E-2</v>
      </c>
      <c r="N355" t="s">
        <v>3517</v>
      </c>
      <c r="O355" t="s">
        <v>5886</v>
      </c>
    </row>
    <row r="356" spans="1:15" x14ac:dyDescent="0.25">
      <c r="A356" t="s">
        <v>564</v>
      </c>
      <c r="B356" t="s">
        <v>30</v>
      </c>
      <c r="C356" t="s">
        <v>4415</v>
      </c>
      <c r="D356" t="s">
        <v>4416</v>
      </c>
      <c r="E356" t="s">
        <v>5887</v>
      </c>
      <c r="F356" t="s">
        <v>5888</v>
      </c>
      <c r="G356" t="s">
        <v>5889</v>
      </c>
      <c r="I356" t="s">
        <v>5890</v>
      </c>
      <c r="J356" t="s">
        <v>4885</v>
      </c>
      <c r="K356" t="s">
        <v>5891</v>
      </c>
      <c r="L356">
        <v>80674</v>
      </c>
      <c r="M356">
        <v>0.21540000000000001</v>
      </c>
      <c r="N356" t="s">
        <v>3517</v>
      </c>
      <c r="O356" t="s">
        <v>5892</v>
      </c>
    </row>
    <row r="357" spans="1:15" x14ac:dyDescent="0.25">
      <c r="A357" t="s">
        <v>564</v>
      </c>
      <c r="B357" t="s">
        <v>30</v>
      </c>
      <c r="C357" t="s">
        <v>150</v>
      </c>
      <c r="D357" t="s">
        <v>3964</v>
      </c>
      <c r="E357" t="s">
        <v>1890</v>
      </c>
      <c r="F357" t="s">
        <v>1889</v>
      </c>
      <c r="G357" t="s">
        <v>5893</v>
      </c>
      <c r="H357" t="s">
        <v>3564</v>
      </c>
      <c r="I357" t="s">
        <v>5894</v>
      </c>
      <c r="J357" t="s">
        <v>4370</v>
      </c>
      <c r="K357" t="s">
        <v>4593</v>
      </c>
      <c r="L357">
        <v>80560</v>
      </c>
      <c r="M357">
        <v>9.7999999999999997E-3</v>
      </c>
      <c r="N357" t="s">
        <v>3517</v>
      </c>
      <c r="O357" t="s">
        <v>1891</v>
      </c>
    </row>
    <row r="358" spans="1:15" x14ac:dyDescent="0.25">
      <c r="A358" t="s">
        <v>564</v>
      </c>
      <c r="B358" t="s">
        <v>30</v>
      </c>
      <c r="C358" t="s">
        <v>150</v>
      </c>
      <c r="D358" t="s">
        <v>3964</v>
      </c>
      <c r="E358" t="s">
        <v>1896</v>
      </c>
      <c r="F358" t="s">
        <v>1895</v>
      </c>
      <c r="G358" t="s">
        <v>5895</v>
      </c>
      <c r="H358" t="s">
        <v>3564</v>
      </c>
      <c r="I358" t="s">
        <v>5896</v>
      </c>
      <c r="J358" t="s">
        <v>5177</v>
      </c>
      <c r="K358" t="s">
        <v>4003</v>
      </c>
      <c r="L358">
        <v>79324</v>
      </c>
      <c r="M358">
        <v>2.8299999999999999E-2</v>
      </c>
      <c r="N358" t="s">
        <v>3517</v>
      </c>
      <c r="O358" t="s">
        <v>1897</v>
      </c>
    </row>
    <row r="359" spans="1:15" x14ac:dyDescent="0.25">
      <c r="A359" t="s">
        <v>564</v>
      </c>
      <c r="B359" t="s">
        <v>30</v>
      </c>
      <c r="C359" t="s">
        <v>5897</v>
      </c>
      <c r="D359" t="s">
        <v>5898</v>
      </c>
      <c r="E359" t="s">
        <v>5899</v>
      </c>
      <c r="F359" t="s">
        <v>5900</v>
      </c>
      <c r="G359" t="s">
        <v>5901</v>
      </c>
      <c r="I359" t="s">
        <v>5902</v>
      </c>
      <c r="J359" t="s">
        <v>4335</v>
      </c>
      <c r="K359" t="s">
        <v>4949</v>
      </c>
      <c r="L359">
        <v>72922</v>
      </c>
      <c r="M359">
        <v>0.16239999999999999</v>
      </c>
      <c r="N359" t="s">
        <v>3517</v>
      </c>
      <c r="O359" t="s">
        <v>5903</v>
      </c>
    </row>
    <row r="360" spans="1:15" x14ac:dyDescent="0.25">
      <c r="A360" t="s">
        <v>564</v>
      </c>
      <c r="B360" t="s">
        <v>30</v>
      </c>
      <c r="C360" t="s">
        <v>349</v>
      </c>
      <c r="D360" t="s">
        <v>4529</v>
      </c>
      <c r="E360" t="s">
        <v>5904</v>
      </c>
      <c r="F360" t="s">
        <v>5905</v>
      </c>
      <c r="G360" t="s">
        <v>5906</v>
      </c>
      <c r="H360" t="s">
        <v>3564</v>
      </c>
      <c r="I360" t="s">
        <v>5907</v>
      </c>
      <c r="J360" t="s">
        <v>4758</v>
      </c>
      <c r="K360" t="s">
        <v>3795</v>
      </c>
      <c r="L360">
        <v>72006</v>
      </c>
      <c r="M360">
        <v>3.7900000000000003E-2</v>
      </c>
      <c r="N360" t="s">
        <v>3517</v>
      </c>
      <c r="O360" t="s">
        <v>5908</v>
      </c>
    </row>
    <row r="361" spans="1:15" x14ac:dyDescent="0.25">
      <c r="A361" t="s">
        <v>564</v>
      </c>
      <c r="B361" t="s">
        <v>30</v>
      </c>
      <c r="C361" t="s">
        <v>150</v>
      </c>
      <c r="D361" t="s">
        <v>3964</v>
      </c>
      <c r="E361" t="s">
        <v>1901</v>
      </c>
      <c r="F361" t="s">
        <v>1900</v>
      </c>
      <c r="G361" t="s">
        <v>5909</v>
      </c>
      <c r="I361" t="s">
        <v>5910</v>
      </c>
      <c r="J361" t="s">
        <v>5348</v>
      </c>
      <c r="K361" t="s">
        <v>3567</v>
      </c>
      <c r="L361">
        <v>69865</v>
      </c>
      <c r="M361">
        <v>0.2162</v>
      </c>
      <c r="N361" t="s">
        <v>3517</v>
      </c>
      <c r="O361" t="s">
        <v>1902</v>
      </c>
    </row>
    <row r="362" spans="1:15" x14ac:dyDescent="0.25">
      <c r="A362" t="s">
        <v>564</v>
      </c>
      <c r="B362" t="s">
        <v>30</v>
      </c>
      <c r="C362" t="s">
        <v>349</v>
      </c>
      <c r="D362" t="s">
        <v>4529</v>
      </c>
      <c r="E362" t="s">
        <v>5911</v>
      </c>
      <c r="F362" t="s">
        <v>5912</v>
      </c>
      <c r="G362" t="s">
        <v>5913</v>
      </c>
      <c r="I362" t="s">
        <v>5914</v>
      </c>
      <c r="J362" t="s">
        <v>3593</v>
      </c>
      <c r="K362" t="s">
        <v>3141</v>
      </c>
      <c r="L362">
        <v>69806</v>
      </c>
      <c r="M362">
        <v>0.1062</v>
      </c>
      <c r="N362" t="s">
        <v>3517</v>
      </c>
      <c r="O362" t="s">
        <v>5915</v>
      </c>
    </row>
    <row r="363" spans="1:15" x14ac:dyDescent="0.25">
      <c r="A363" t="s">
        <v>564</v>
      </c>
      <c r="B363" t="s">
        <v>30</v>
      </c>
      <c r="C363" t="s">
        <v>394</v>
      </c>
      <c r="D363" t="s">
        <v>5728</v>
      </c>
      <c r="E363" t="s">
        <v>5916</v>
      </c>
      <c r="F363" t="s">
        <v>5917</v>
      </c>
      <c r="G363" t="s">
        <v>5918</v>
      </c>
      <c r="I363" t="s">
        <v>5919</v>
      </c>
      <c r="J363" t="s">
        <v>3663</v>
      </c>
      <c r="K363" t="s">
        <v>5920</v>
      </c>
      <c r="L363">
        <v>68790</v>
      </c>
      <c r="M363">
        <v>0.13550000000000001</v>
      </c>
      <c r="N363" t="s">
        <v>3517</v>
      </c>
      <c r="O363" t="s">
        <v>5921</v>
      </c>
    </row>
    <row r="364" spans="1:15" x14ac:dyDescent="0.25">
      <c r="A364" t="s">
        <v>564</v>
      </c>
      <c r="B364" t="s">
        <v>30</v>
      </c>
      <c r="C364" t="s">
        <v>150</v>
      </c>
      <c r="D364" t="s">
        <v>3964</v>
      </c>
      <c r="E364" t="s">
        <v>1907</v>
      </c>
      <c r="F364" t="s">
        <v>1906</v>
      </c>
      <c r="G364" t="s">
        <v>5922</v>
      </c>
      <c r="H364" t="s">
        <v>3564</v>
      </c>
      <c r="I364" t="s">
        <v>5923</v>
      </c>
      <c r="J364" t="s">
        <v>3830</v>
      </c>
      <c r="K364" t="s">
        <v>4723</v>
      </c>
      <c r="L364">
        <v>67181</v>
      </c>
      <c r="M364">
        <v>3.1600000000000003E-2</v>
      </c>
      <c r="N364" t="s">
        <v>3517</v>
      </c>
      <c r="O364" t="s">
        <v>1908</v>
      </c>
    </row>
    <row r="365" spans="1:15" x14ac:dyDescent="0.25">
      <c r="A365" t="s">
        <v>564</v>
      </c>
      <c r="B365" t="s">
        <v>30</v>
      </c>
      <c r="C365" t="s">
        <v>5854</v>
      </c>
      <c r="D365" t="s">
        <v>5855</v>
      </c>
      <c r="E365" t="s">
        <v>5924</v>
      </c>
      <c r="F365" t="s">
        <v>5925</v>
      </c>
      <c r="G365" t="s">
        <v>5926</v>
      </c>
      <c r="I365" t="s">
        <v>5927</v>
      </c>
      <c r="J365" t="s">
        <v>3994</v>
      </c>
      <c r="K365" t="s">
        <v>5920</v>
      </c>
      <c r="L365">
        <v>66726</v>
      </c>
      <c r="M365">
        <v>0.1036</v>
      </c>
      <c r="N365" t="s">
        <v>3517</v>
      </c>
      <c r="O365" t="s">
        <v>5928</v>
      </c>
    </row>
    <row r="366" spans="1:15" x14ac:dyDescent="0.25">
      <c r="A366" t="s">
        <v>564</v>
      </c>
      <c r="B366" t="s">
        <v>30</v>
      </c>
      <c r="C366" t="s">
        <v>5929</v>
      </c>
      <c r="D366" t="s">
        <v>5930</v>
      </c>
      <c r="E366" t="s">
        <v>5931</v>
      </c>
      <c r="F366" t="s">
        <v>5932</v>
      </c>
      <c r="G366" t="s">
        <v>5933</v>
      </c>
      <c r="I366" t="s">
        <v>5934</v>
      </c>
      <c r="J366" t="s">
        <v>4151</v>
      </c>
      <c r="K366" t="s">
        <v>132</v>
      </c>
      <c r="L366">
        <v>64948</v>
      </c>
      <c r="M366">
        <v>3.0300000000000001E-2</v>
      </c>
      <c r="N366" t="s">
        <v>3517</v>
      </c>
      <c r="O366" t="s">
        <v>5935</v>
      </c>
    </row>
    <row r="367" spans="1:15" x14ac:dyDescent="0.25">
      <c r="A367" t="s">
        <v>564</v>
      </c>
      <c r="B367" t="s">
        <v>30</v>
      </c>
      <c r="C367" t="s">
        <v>5936</v>
      </c>
      <c r="D367" t="s">
        <v>5937</v>
      </c>
      <c r="E367" t="s">
        <v>5938</v>
      </c>
      <c r="F367" t="s">
        <v>5939</v>
      </c>
      <c r="G367" t="s">
        <v>5940</v>
      </c>
      <c r="I367" t="s">
        <v>5941</v>
      </c>
      <c r="J367" t="s">
        <v>3786</v>
      </c>
      <c r="K367" t="s">
        <v>5043</v>
      </c>
      <c r="L367">
        <v>63681</v>
      </c>
      <c r="M367">
        <v>0.09</v>
      </c>
      <c r="N367" t="s">
        <v>3517</v>
      </c>
      <c r="O367" t="s">
        <v>5942</v>
      </c>
    </row>
    <row r="368" spans="1:15" x14ac:dyDescent="0.25">
      <c r="A368" t="s">
        <v>564</v>
      </c>
      <c r="B368" t="s">
        <v>30</v>
      </c>
      <c r="C368" t="s">
        <v>394</v>
      </c>
      <c r="D368" t="s">
        <v>5728</v>
      </c>
      <c r="E368" t="s">
        <v>5943</v>
      </c>
      <c r="F368" t="s">
        <v>5944</v>
      </c>
      <c r="G368" t="s">
        <v>5945</v>
      </c>
      <c r="I368" t="s">
        <v>5946</v>
      </c>
      <c r="J368" t="s">
        <v>4602</v>
      </c>
      <c r="K368" t="s">
        <v>5920</v>
      </c>
      <c r="L368">
        <v>62747</v>
      </c>
      <c r="M368">
        <v>8.7799999999999989E-2</v>
      </c>
      <c r="N368" t="s">
        <v>3517</v>
      </c>
      <c r="O368" t="s">
        <v>5947</v>
      </c>
    </row>
    <row r="369" spans="1:15" x14ac:dyDescent="0.25">
      <c r="A369" t="s">
        <v>564</v>
      </c>
      <c r="B369" t="s">
        <v>30</v>
      </c>
      <c r="C369" t="s">
        <v>5948</v>
      </c>
      <c r="D369" t="s">
        <v>5949</v>
      </c>
      <c r="E369" t="s">
        <v>5950</v>
      </c>
      <c r="F369" t="s">
        <v>5951</v>
      </c>
      <c r="G369" t="s">
        <v>5952</v>
      </c>
      <c r="I369" t="s">
        <v>5953</v>
      </c>
      <c r="J369" t="s">
        <v>4744</v>
      </c>
      <c r="K369" t="s">
        <v>5599</v>
      </c>
      <c r="L369">
        <v>61966</v>
      </c>
      <c r="M369">
        <v>0.1052</v>
      </c>
      <c r="N369" t="s">
        <v>3517</v>
      </c>
      <c r="O369" t="s">
        <v>5954</v>
      </c>
    </row>
    <row r="370" spans="1:15" x14ac:dyDescent="0.25">
      <c r="A370" t="s">
        <v>564</v>
      </c>
      <c r="B370" t="s">
        <v>30</v>
      </c>
      <c r="C370" t="s">
        <v>5955</v>
      </c>
      <c r="D370" t="s">
        <v>5956</v>
      </c>
      <c r="E370" t="s">
        <v>5957</v>
      </c>
      <c r="F370" t="s">
        <v>5958</v>
      </c>
      <c r="G370" t="s">
        <v>5959</v>
      </c>
      <c r="I370" t="s">
        <v>5960</v>
      </c>
      <c r="J370" t="s">
        <v>4889</v>
      </c>
      <c r="K370" t="s">
        <v>4108</v>
      </c>
      <c r="L370">
        <v>61576</v>
      </c>
      <c r="M370">
        <v>3.09E-2</v>
      </c>
      <c r="N370" t="s">
        <v>3517</v>
      </c>
      <c r="O370" t="s">
        <v>5961</v>
      </c>
    </row>
    <row r="371" spans="1:15" x14ac:dyDescent="0.25">
      <c r="A371" t="s">
        <v>564</v>
      </c>
      <c r="B371" t="s">
        <v>30</v>
      </c>
      <c r="C371" t="s">
        <v>150</v>
      </c>
      <c r="D371" t="s">
        <v>3964</v>
      </c>
      <c r="E371" t="s">
        <v>1911</v>
      </c>
      <c r="F371" t="s">
        <v>1910</v>
      </c>
      <c r="G371" t="s">
        <v>5962</v>
      </c>
      <c r="I371" t="s">
        <v>5963</v>
      </c>
      <c r="J371" t="s">
        <v>5034</v>
      </c>
      <c r="K371" t="s">
        <v>5625</v>
      </c>
      <c r="L371">
        <v>61546</v>
      </c>
      <c r="M371">
        <v>0.21490000000000001</v>
      </c>
      <c r="N371" t="s">
        <v>3517</v>
      </c>
      <c r="O371" t="s">
        <v>1912</v>
      </c>
    </row>
    <row r="372" spans="1:15" x14ac:dyDescent="0.25">
      <c r="A372" t="s">
        <v>564</v>
      </c>
      <c r="B372" t="s">
        <v>30</v>
      </c>
      <c r="C372" t="s">
        <v>150</v>
      </c>
      <c r="D372" t="s">
        <v>3964</v>
      </c>
      <c r="E372" t="s">
        <v>1916</v>
      </c>
      <c r="F372" t="s">
        <v>1915</v>
      </c>
      <c r="G372" t="s">
        <v>5964</v>
      </c>
      <c r="I372" t="s">
        <v>5965</v>
      </c>
      <c r="J372" t="s">
        <v>5183</v>
      </c>
      <c r="L372">
        <v>60833</v>
      </c>
      <c r="M372">
        <v>0.2238</v>
      </c>
      <c r="N372" t="s">
        <v>3517</v>
      </c>
      <c r="O372" t="s">
        <v>1917</v>
      </c>
    </row>
    <row r="373" spans="1:15" x14ac:dyDescent="0.25">
      <c r="A373" t="s">
        <v>564</v>
      </c>
      <c r="B373" t="s">
        <v>30</v>
      </c>
      <c r="C373" t="s">
        <v>390</v>
      </c>
      <c r="D373" t="s">
        <v>5428</v>
      </c>
      <c r="E373" t="s">
        <v>5966</v>
      </c>
      <c r="F373" t="s">
        <v>5967</v>
      </c>
      <c r="G373" t="s">
        <v>5968</v>
      </c>
      <c r="H373" t="s">
        <v>3564</v>
      </c>
      <c r="I373" t="s">
        <v>5969</v>
      </c>
      <c r="J373" t="s">
        <v>5324</v>
      </c>
      <c r="K373" t="s">
        <v>4335</v>
      </c>
      <c r="L373">
        <v>60423</v>
      </c>
      <c r="M373">
        <v>1.54E-2</v>
      </c>
      <c r="N373" t="s">
        <v>3517</v>
      </c>
      <c r="O373" t="s">
        <v>5970</v>
      </c>
    </row>
    <row r="374" spans="1:15" x14ac:dyDescent="0.25">
      <c r="A374" t="s">
        <v>564</v>
      </c>
      <c r="B374" t="s">
        <v>30</v>
      </c>
      <c r="C374" t="s">
        <v>349</v>
      </c>
      <c r="D374" t="s">
        <v>4529</v>
      </c>
      <c r="E374" t="s">
        <v>5971</v>
      </c>
      <c r="F374" t="s">
        <v>5972</v>
      </c>
      <c r="G374" t="s">
        <v>5973</v>
      </c>
      <c r="H374" t="s">
        <v>3564</v>
      </c>
      <c r="I374" t="s">
        <v>5974</v>
      </c>
      <c r="J374" t="s">
        <v>3722</v>
      </c>
      <c r="K374" t="s">
        <v>3657</v>
      </c>
      <c r="L374">
        <v>59247</v>
      </c>
      <c r="M374">
        <v>7.0199999999999999E-2</v>
      </c>
      <c r="N374" t="s">
        <v>3517</v>
      </c>
      <c r="O374" t="s">
        <v>5975</v>
      </c>
    </row>
    <row r="375" spans="1:15" x14ac:dyDescent="0.25">
      <c r="A375" t="s">
        <v>564</v>
      </c>
      <c r="B375" t="s">
        <v>30</v>
      </c>
      <c r="C375" t="s">
        <v>150</v>
      </c>
      <c r="D375" t="s">
        <v>3964</v>
      </c>
      <c r="E375" t="s">
        <v>1921</v>
      </c>
      <c r="F375" t="s">
        <v>1920</v>
      </c>
      <c r="G375" t="s">
        <v>5976</v>
      </c>
      <c r="H375" t="s">
        <v>3564</v>
      </c>
      <c r="I375" t="s">
        <v>5977</v>
      </c>
      <c r="J375" t="s">
        <v>4233</v>
      </c>
      <c r="K375" t="s">
        <v>3873</v>
      </c>
      <c r="L375">
        <v>58667</v>
      </c>
      <c r="M375">
        <v>0.17249999999999999</v>
      </c>
      <c r="N375" t="s">
        <v>3517</v>
      </c>
      <c r="O375" t="s">
        <v>1922</v>
      </c>
    </row>
    <row r="376" spans="1:15" x14ac:dyDescent="0.25">
      <c r="A376" t="s">
        <v>564</v>
      </c>
      <c r="B376" t="s">
        <v>30</v>
      </c>
      <c r="C376" t="s">
        <v>5146</v>
      </c>
      <c r="D376" t="s">
        <v>5147</v>
      </c>
      <c r="E376" t="s">
        <v>5978</v>
      </c>
      <c r="F376" t="s">
        <v>5979</v>
      </c>
      <c r="G376" t="s">
        <v>5980</v>
      </c>
      <c r="I376" t="s">
        <v>5981</v>
      </c>
      <c r="J376" t="s">
        <v>3600</v>
      </c>
      <c r="K376" t="s">
        <v>5982</v>
      </c>
      <c r="L376">
        <v>58566</v>
      </c>
      <c r="M376">
        <v>0.1022</v>
      </c>
      <c r="N376" t="s">
        <v>3517</v>
      </c>
      <c r="O376" t="s">
        <v>5983</v>
      </c>
    </row>
    <row r="377" spans="1:15" x14ac:dyDescent="0.25">
      <c r="A377" t="s">
        <v>564</v>
      </c>
      <c r="B377" t="s">
        <v>30</v>
      </c>
      <c r="C377" t="s">
        <v>5984</v>
      </c>
      <c r="D377" t="s">
        <v>5985</v>
      </c>
      <c r="E377" t="s">
        <v>5986</v>
      </c>
      <c r="F377" t="s">
        <v>5987</v>
      </c>
      <c r="G377" t="s">
        <v>5988</v>
      </c>
      <c r="I377" t="s">
        <v>5989</v>
      </c>
      <c r="J377" t="s">
        <v>3670</v>
      </c>
      <c r="K377" t="s">
        <v>5990</v>
      </c>
      <c r="L377">
        <v>57930</v>
      </c>
      <c r="M377">
        <v>0.13600000000000001</v>
      </c>
      <c r="N377" t="s">
        <v>3517</v>
      </c>
      <c r="O377" t="s">
        <v>5991</v>
      </c>
    </row>
    <row r="378" spans="1:15" x14ac:dyDescent="0.25">
      <c r="A378" t="s">
        <v>564</v>
      </c>
      <c r="B378" t="s">
        <v>30</v>
      </c>
      <c r="C378" t="s">
        <v>394</v>
      </c>
      <c r="D378" t="s">
        <v>5728</v>
      </c>
      <c r="E378" t="s">
        <v>5992</v>
      </c>
      <c r="F378" t="s">
        <v>5993</v>
      </c>
      <c r="G378" t="s">
        <v>5994</v>
      </c>
      <c r="I378" t="s">
        <v>5995</v>
      </c>
      <c r="J378" t="s">
        <v>3839</v>
      </c>
      <c r="K378" t="s">
        <v>132</v>
      </c>
      <c r="L378">
        <v>57906</v>
      </c>
      <c r="M378">
        <v>6.3600000000000004E-2</v>
      </c>
      <c r="N378" t="s">
        <v>3517</v>
      </c>
      <c r="O378" t="s">
        <v>5996</v>
      </c>
    </row>
    <row r="379" spans="1:15" x14ac:dyDescent="0.25">
      <c r="A379" t="s">
        <v>564</v>
      </c>
      <c r="B379" t="s">
        <v>30</v>
      </c>
      <c r="C379" t="s">
        <v>150</v>
      </c>
      <c r="D379" t="s">
        <v>3964</v>
      </c>
      <c r="E379" t="s">
        <v>1926</v>
      </c>
      <c r="F379" t="s">
        <v>1925</v>
      </c>
      <c r="G379" t="s">
        <v>5997</v>
      </c>
      <c r="H379" t="s">
        <v>3564</v>
      </c>
      <c r="I379" t="s">
        <v>5998</v>
      </c>
      <c r="J379" t="s">
        <v>3953</v>
      </c>
      <c r="K379" t="s">
        <v>4685</v>
      </c>
      <c r="L379">
        <v>57747</v>
      </c>
      <c r="M379">
        <v>0.13400000000000001</v>
      </c>
      <c r="N379" t="s">
        <v>3517</v>
      </c>
      <c r="O379" t="s">
        <v>1927</v>
      </c>
    </row>
    <row r="380" spans="1:15" x14ac:dyDescent="0.25">
      <c r="A380" t="s">
        <v>564</v>
      </c>
      <c r="B380" t="s">
        <v>30</v>
      </c>
      <c r="C380" t="s">
        <v>349</v>
      </c>
      <c r="D380" t="s">
        <v>4529</v>
      </c>
      <c r="E380" t="s">
        <v>5999</v>
      </c>
      <c r="F380" t="s">
        <v>6000</v>
      </c>
      <c r="G380" t="s">
        <v>6001</v>
      </c>
      <c r="H380" t="s">
        <v>3564</v>
      </c>
      <c r="I380" t="s">
        <v>6002</v>
      </c>
      <c r="J380" t="s">
        <v>4307</v>
      </c>
      <c r="K380" t="s">
        <v>4335</v>
      </c>
      <c r="L380">
        <v>57011</v>
      </c>
      <c r="M380">
        <v>2.9499999999999998E-2</v>
      </c>
      <c r="N380" t="s">
        <v>3517</v>
      </c>
      <c r="O380" t="s">
        <v>6003</v>
      </c>
    </row>
    <row r="381" spans="1:15" x14ac:dyDescent="0.25">
      <c r="A381" t="s">
        <v>564</v>
      </c>
      <c r="B381" t="s">
        <v>30</v>
      </c>
      <c r="C381" t="s">
        <v>5709</v>
      </c>
      <c r="D381" t="s">
        <v>5710</v>
      </c>
      <c r="E381" t="s">
        <v>6004</v>
      </c>
      <c r="F381" t="s">
        <v>6005</v>
      </c>
      <c r="G381" t="s">
        <v>6006</v>
      </c>
      <c r="H381" t="s">
        <v>3564</v>
      </c>
      <c r="I381" t="s">
        <v>6007</v>
      </c>
      <c r="J381" t="s">
        <v>4459</v>
      </c>
      <c r="K381" t="s">
        <v>3657</v>
      </c>
      <c r="L381">
        <v>56732</v>
      </c>
      <c r="M381">
        <v>5.0700000000000002E-2</v>
      </c>
      <c r="N381" t="s">
        <v>3517</v>
      </c>
      <c r="O381" t="s">
        <v>6008</v>
      </c>
    </row>
    <row r="382" spans="1:15" x14ac:dyDescent="0.25">
      <c r="A382" t="s">
        <v>564</v>
      </c>
      <c r="B382" t="s">
        <v>30</v>
      </c>
      <c r="C382" t="s">
        <v>150</v>
      </c>
      <c r="D382" t="s">
        <v>3964</v>
      </c>
      <c r="E382" t="s">
        <v>1932</v>
      </c>
      <c r="F382" t="s">
        <v>1931</v>
      </c>
      <c r="G382" t="s">
        <v>6009</v>
      </c>
      <c r="H382" t="s">
        <v>3564</v>
      </c>
      <c r="I382" t="s">
        <v>6010</v>
      </c>
      <c r="J382" t="s">
        <v>4608</v>
      </c>
      <c r="K382" t="s">
        <v>5311</v>
      </c>
      <c r="L382">
        <v>56034</v>
      </c>
      <c r="M382">
        <v>3.4200000000000001E-2</v>
      </c>
      <c r="N382" t="s">
        <v>3517</v>
      </c>
      <c r="O382" t="s">
        <v>1933</v>
      </c>
    </row>
    <row r="383" spans="1:15" x14ac:dyDescent="0.25">
      <c r="A383" t="s">
        <v>564</v>
      </c>
      <c r="B383" t="s">
        <v>30</v>
      </c>
      <c r="C383" t="s">
        <v>6011</v>
      </c>
      <c r="D383" t="s">
        <v>6012</v>
      </c>
      <c r="E383" t="s">
        <v>6013</v>
      </c>
      <c r="F383" t="s">
        <v>6014</v>
      </c>
      <c r="G383" t="s">
        <v>6015</v>
      </c>
      <c r="I383" t="s">
        <v>6016</v>
      </c>
      <c r="J383" t="s">
        <v>4751</v>
      </c>
      <c r="K383" t="s">
        <v>3898</v>
      </c>
      <c r="L383">
        <v>55525</v>
      </c>
      <c r="M383">
        <v>0.1046</v>
      </c>
      <c r="N383" t="s">
        <v>3517</v>
      </c>
      <c r="O383" t="s">
        <v>6017</v>
      </c>
    </row>
    <row r="384" spans="1:15" x14ac:dyDescent="0.25">
      <c r="A384" t="s">
        <v>564</v>
      </c>
      <c r="B384" t="s">
        <v>30</v>
      </c>
      <c r="C384" t="s">
        <v>150</v>
      </c>
      <c r="D384" t="s">
        <v>3964</v>
      </c>
      <c r="E384" t="s">
        <v>1937</v>
      </c>
      <c r="F384" t="s">
        <v>1936</v>
      </c>
      <c r="G384" t="s">
        <v>6018</v>
      </c>
      <c r="H384" t="s">
        <v>3564</v>
      </c>
      <c r="I384" t="s">
        <v>6019</v>
      </c>
      <c r="J384" t="s">
        <v>4896</v>
      </c>
      <c r="K384" t="s">
        <v>5152</v>
      </c>
      <c r="L384">
        <v>54634</v>
      </c>
      <c r="M384">
        <v>6.3200000000000006E-2</v>
      </c>
      <c r="N384" t="s">
        <v>3517</v>
      </c>
      <c r="O384" t="s">
        <v>1938</v>
      </c>
    </row>
    <row r="385" spans="1:15" x14ac:dyDescent="0.25">
      <c r="A385" t="s">
        <v>564</v>
      </c>
      <c r="B385" t="s">
        <v>30</v>
      </c>
      <c r="C385" t="s">
        <v>5984</v>
      </c>
      <c r="D385" t="s">
        <v>5985</v>
      </c>
      <c r="E385" t="s">
        <v>6020</v>
      </c>
      <c r="F385" t="s">
        <v>6021</v>
      </c>
      <c r="G385" t="s">
        <v>6022</v>
      </c>
      <c r="I385" t="s">
        <v>6023</v>
      </c>
      <c r="J385" t="s">
        <v>4962</v>
      </c>
      <c r="K385" t="s">
        <v>3140</v>
      </c>
      <c r="L385">
        <v>54458</v>
      </c>
      <c r="M385">
        <v>8.6500000000000007E-2</v>
      </c>
      <c r="N385" t="s">
        <v>3517</v>
      </c>
      <c r="O385" t="s">
        <v>6024</v>
      </c>
    </row>
    <row r="386" spans="1:15" x14ac:dyDescent="0.25">
      <c r="A386" t="s">
        <v>564</v>
      </c>
      <c r="B386" t="s">
        <v>30</v>
      </c>
      <c r="C386" t="s">
        <v>6025</v>
      </c>
      <c r="D386" t="s">
        <v>6026</v>
      </c>
      <c r="E386" t="s">
        <v>6027</v>
      </c>
      <c r="F386" t="s">
        <v>6028</v>
      </c>
      <c r="G386" t="s">
        <v>6029</v>
      </c>
      <c r="I386" t="s">
        <v>6030</v>
      </c>
      <c r="J386" t="s">
        <v>5190</v>
      </c>
      <c r="K386" t="s">
        <v>5920</v>
      </c>
      <c r="L386">
        <v>53758</v>
      </c>
      <c r="M386">
        <v>0.154</v>
      </c>
      <c r="N386" t="s">
        <v>3517</v>
      </c>
      <c r="O386" t="s">
        <v>6031</v>
      </c>
    </row>
    <row r="387" spans="1:15" x14ac:dyDescent="0.25">
      <c r="A387" t="s">
        <v>564</v>
      </c>
      <c r="B387" t="s">
        <v>30</v>
      </c>
      <c r="C387" t="s">
        <v>6025</v>
      </c>
      <c r="D387" t="s">
        <v>6026</v>
      </c>
      <c r="E387" t="s">
        <v>6032</v>
      </c>
      <c r="F387" t="s">
        <v>6033</v>
      </c>
      <c r="G387" t="s">
        <v>6034</v>
      </c>
      <c r="I387" t="s">
        <v>6035</v>
      </c>
      <c r="J387" t="s">
        <v>4528</v>
      </c>
      <c r="K387" t="s">
        <v>3967</v>
      </c>
      <c r="L387">
        <v>53135</v>
      </c>
      <c r="M387">
        <v>0.15079999999999999</v>
      </c>
      <c r="N387" t="s">
        <v>3517</v>
      </c>
      <c r="O387" t="s">
        <v>6036</v>
      </c>
    </row>
    <row r="388" spans="1:15" x14ac:dyDescent="0.25">
      <c r="A388" t="s">
        <v>564</v>
      </c>
      <c r="B388" t="s">
        <v>30</v>
      </c>
      <c r="C388" t="s">
        <v>6037</v>
      </c>
      <c r="D388" t="s">
        <v>6038</v>
      </c>
      <c r="E388" t="s">
        <v>6039</v>
      </c>
      <c r="F388" t="s">
        <v>6040</v>
      </c>
      <c r="G388" t="s">
        <v>6041</v>
      </c>
      <c r="I388" t="s">
        <v>6042</v>
      </c>
      <c r="J388" t="s">
        <v>5462</v>
      </c>
      <c r="K388" t="s">
        <v>6043</v>
      </c>
      <c r="L388">
        <v>52867</v>
      </c>
      <c r="M388">
        <v>1.49E-2</v>
      </c>
      <c r="N388" t="s">
        <v>3517</v>
      </c>
      <c r="O388" t="s">
        <v>6044</v>
      </c>
    </row>
    <row r="389" spans="1:15" x14ac:dyDescent="0.25">
      <c r="A389" t="s">
        <v>564</v>
      </c>
      <c r="B389" t="s">
        <v>30</v>
      </c>
      <c r="C389" t="s">
        <v>150</v>
      </c>
      <c r="D389" t="s">
        <v>3964</v>
      </c>
      <c r="E389" t="s">
        <v>1942</v>
      </c>
      <c r="F389" t="s">
        <v>1941</v>
      </c>
      <c r="G389" t="s">
        <v>6045</v>
      </c>
      <c r="H389" t="s">
        <v>3564</v>
      </c>
      <c r="I389" t="s">
        <v>6046</v>
      </c>
      <c r="J389" t="s">
        <v>5606</v>
      </c>
      <c r="K389" t="s">
        <v>5020</v>
      </c>
      <c r="L389">
        <v>52652</v>
      </c>
      <c r="M389">
        <v>0.18490000000000001</v>
      </c>
      <c r="N389" t="s">
        <v>3517</v>
      </c>
      <c r="O389" t="s">
        <v>1943</v>
      </c>
    </row>
    <row r="390" spans="1:15" x14ac:dyDescent="0.25">
      <c r="A390" t="s">
        <v>564</v>
      </c>
      <c r="B390" t="s">
        <v>30</v>
      </c>
      <c r="C390" t="s">
        <v>392</v>
      </c>
      <c r="D390" t="s">
        <v>4269</v>
      </c>
      <c r="E390" t="s">
        <v>6047</v>
      </c>
      <c r="F390" t="s">
        <v>6048</v>
      </c>
      <c r="G390" t="s">
        <v>6049</v>
      </c>
      <c r="I390" t="s">
        <v>6050</v>
      </c>
      <c r="J390" t="s">
        <v>3609</v>
      </c>
      <c r="K390" t="s">
        <v>5625</v>
      </c>
      <c r="L390">
        <v>52053</v>
      </c>
      <c r="M390">
        <v>2.53E-2</v>
      </c>
      <c r="N390" t="s">
        <v>3517</v>
      </c>
      <c r="O390" t="s">
        <v>6051</v>
      </c>
    </row>
    <row r="391" spans="1:15" x14ac:dyDescent="0.25">
      <c r="A391" t="s">
        <v>564</v>
      </c>
      <c r="B391" t="s">
        <v>30</v>
      </c>
      <c r="C391" t="s">
        <v>6052</v>
      </c>
      <c r="D391" t="s">
        <v>6053</v>
      </c>
      <c r="E391" t="s">
        <v>6054</v>
      </c>
      <c r="F391" t="s">
        <v>6055</v>
      </c>
      <c r="G391" t="s">
        <v>6056</v>
      </c>
      <c r="I391" t="s">
        <v>6057</v>
      </c>
      <c r="J391" t="s">
        <v>3679</v>
      </c>
      <c r="K391" t="s">
        <v>3535</v>
      </c>
      <c r="L391">
        <v>51960</v>
      </c>
      <c r="M391">
        <v>9.849999999999999E-2</v>
      </c>
      <c r="N391" t="s">
        <v>3517</v>
      </c>
      <c r="O391" t="s">
        <v>6058</v>
      </c>
    </row>
    <row r="392" spans="1:15" x14ac:dyDescent="0.25">
      <c r="A392" t="s">
        <v>564</v>
      </c>
      <c r="B392" t="s">
        <v>30</v>
      </c>
      <c r="C392" t="s">
        <v>150</v>
      </c>
      <c r="D392" t="s">
        <v>3964</v>
      </c>
      <c r="E392" t="s">
        <v>1946</v>
      </c>
      <c r="F392" t="s">
        <v>1945</v>
      </c>
      <c r="G392" t="s">
        <v>6059</v>
      </c>
      <c r="I392" t="s">
        <v>6060</v>
      </c>
      <c r="J392" t="s">
        <v>3848</v>
      </c>
      <c r="K392" t="s">
        <v>3143</v>
      </c>
      <c r="L392">
        <v>51300</v>
      </c>
      <c r="M392">
        <v>0.2079</v>
      </c>
      <c r="N392" t="s">
        <v>3517</v>
      </c>
      <c r="O392" t="s">
        <v>1947</v>
      </c>
    </row>
    <row r="393" spans="1:15" x14ac:dyDescent="0.25">
      <c r="A393" t="s">
        <v>564</v>
      </c>
      <c r="B393" t="s">
        <v>30</v>
      </c>
      <c r="C393" t="s">
        <v>150</v>
      </c>
      <c r="D393" t="s">
        <v>3964</v>
      </c>
      <c r="E393" t="s">
        <v>1951</v>
      </c>
      <c r="F393" t="s">
        <v>1950</v>
      </c>
      <c r="G393" t="s">
        <v>6061</v>
      </c>
      <c r="H393" t="s">
        <v>3564</v>
      </c>
      <c r="I393" t="s">
        <v>6062</v>
      </c>
      <c r="J393" t="s">
        <v>4009</v>
      </c>
      <c r="K393" t="s">
        <v>4286</v>
      </c>
      <c r="L393">
        <v>51054</v>
      </c>
      <c r="M393">
        <v>6.0199999999999997E-2</v>
      </c>
      <c r="N393" t="s">
        <v>3517</v>
      </c>
      <c r="O393" t="s">
        <v>1952</v>
      </c>
    </row>
    <row r="394" spans="1:15" x14ac:dyDescent="0.25">
      <c r="A394" t="s">
        <v>564</v>
      </c>
      <c r="B394" t="s">
        <v>30</v>
      </c>
      <c r="C394" t="s">
        <v>394</v>
      </c>
      <c r="D394" t="s">
        <v>5728</v>
      </c>
      <c r="E394" t="s">
        <v>6063</v>
      </c>
      <c r="F394" t="s">
        <v>6064</v>
      </c>
      <c r="G394" t="s">
        <v>6065</v>
      </c>
      <c r="I394" t="s">
        <v>6066</v>
      </c>
      <c r="J394" t="s">
        <v>4167</v>
      </c>
      <c r="K394" t="s">
        <v>132</v>
      </c>
      <c r="L394">
        <v>51018</v>
      </c>
      <c r="M394">
        <v>8.3900000000000002E-2</v>
      </c>
      <c r="N394" t="s">
        <v>3517</v>
      </c>
      <c r="O394" t="s">
        <v>6067</v>
      </c>
    </row>
    <row r="395" spans="1:15" x14ac:dyDescent="0.25">
      <c r="A395" t="s">
        <v>564</v>
      </c>
      <c r="B395" t="s">
        <v>30</v>
      </c>
      <c r="C395" t="s">
        <v>6068</v>
      </c>
      <c r="D395" t="s">
        <v>6069</v>
      </c>
      <c r="E395" t="s">
        <v>6070</v>
      </c>
      <c r="F395" t="s">
        <v>6071</v>
      </c>
      <c r="G395" t="s">
        <v>6072</v>
      </c>
      <c r="I395" t="s">
        <v>6073</v>
      </c>
      <c r="J395" t="s">
        <v>4467</v>
      </c>
      <c r="K395" t="s">
        <v>4145</v>
      </c>
      <c r="L395">
        <v>50092</v>
      </c>
      <c r="M395">
        <v>5.79E-2</v>
      </c>
      <c r="N395" t="s">
        <v>3517</v>
      </c>
      <c r="O395" t="s">
        <v>6074</v>
      </c>
    </row>
    <row r="396" spans="1:15" x14ac:dyDescent="0.25">
      <c r="A396" t="s">
        <v>564</v>
      </c>
      <c r="B396" t="s">
        <v>30</v>
      </c>
      <c r="C396" t="s">
        <v>6075</v>
      </c>
      <c r="D396" t="s">
        <v>6076</v>
      </c>
      <c r="E396" t="s">
        <v>6077</v>
      </c>
      <c r="F396" t="s">
        <v>6078</v>
      </c>
      <c r="G396" t="s">
        <v>6079</v>
      </c>
      <c r="I396" t="s">
        <v>6080</v>
      </c>
      <c r="J396" t="s">
        <v>4614</v>
      </c>
      <c r="K396" t="s">
        <v>5982</v>
      </c>
      <c r="L396">
        <v>50029</v>
      </c>
      <c r="M396">
        <v>0.1295</v>
      </c>
      <c r="N396" t="s">
        <v>3517</v>
      </c>
      <c r="O396" t="s">
        <v>6081</v>
      </c>
    </row>
    <row r="397" spans="1:15" x14ac:dyDescent="0.25">
      <c r="A397" t="s">
        <v>564</v>
      </c>
      <c r="B397" t="s">
        <v>30</v>
      </c>
      <c r="C397" t="s">
        <v>5709</v>
      </c>
      <c r="D397" t="s">
        <v>5710</v>
      </c>
      <c r="E397" t="s">
        <v>6082</v>
      </c>
      <c r="F397" t="s">
        <v>6083</v>
      </c>
      <c r="G397" t="s">
        <v>6084</v>
      </c>
      <c r="H397" t="s">
        <v>3564</v>
      </c>
      <c r="I397" t="s">
        <v>6085</v>
      </c>
      <c r="J397" t="s">
        <v>3745</v>
      </c>
      <c r="K397" t="s">
        <v>4685</v>
      </c>
      <c r="L397">
        <v>49968</v>
      </c>
      <c r="M397">
        <v>5.2499999999999998E-2</v>
      </c>
      <c r="N397" t="s">
        <v>3517</v>
      </c>
      <c r="O397" t="s">
        <v>6086</v>
      </c>
    </row>
    <row r="398" spans="1:15" x14ac:dyDescent="0.25">
      <c r="A398" t="s">
        <v>564</v>
      </c>
      <c r="B398" t="s">
        <v>30</v>
      </c>
      <c r="C398" t="s">
        <v>5146</v>
      </c>
      <c r="D398" t="s">
        <v>5147</v>
      </c>
      <c r="E398" t="s">
        <v>6087</v>
      </c>
      <c r="F398" t="s">
        <v>6088</v>
      </c>
      <c r="G398" t="s">
        <v>6089</v>
      </c>
      <c r="I398" t="s">
        <v>6090</v>
      </c>
      <c r="J398" t="s">
        <v>5049</v>
      </c>
      <c r="K398" t="s">
        <v>6091</v>
      </c>
      <c r="L398">
        <v>48776</v>
      </c>
      <c r="M398">
        <v>7.0999999999999994E-2</v>
      </c>
      <c r="N398" t="s">
        <v>3517</v>
      </c>
      <c r="O398" t="s">
        <v>6092</v>
      </c>
    </row>
    <row r="399" spans="1:15" x14ac:dyDescent="0.25">
      <c r="A399" t="s">
        <v>564</v>
      </c>
      <c r="B399" t="s">
        <v>30</v>
      </c>
      <c r="C399" t="s">
        <v>391</v>
      </c>
      <c r="D399" t="s">
        <v>4118</v>
      </c>
      <c r="E399" t="s">
        <v>6093</v>
      </c>
      <c r="F399" t="s">
        <v>6094</v>
      </c>
      <c r="G399" t="s">
        <v>6095</v>
      </c>
      <c r="I399" t="s">
        <v>6096</v>
      </c>
      <c r="J399" t="s">
        <v>5198</v>
      </c>
      <c r="K399" t="s">
        <v>3657</v>
      </c>
      <c r="L399">
        <v>48554</v>
      </c>
      <c r="M399">
        <v>7.3599999999999999E-2</v>
      </c>
      <c r="N399" t="s">
        <v>3517</v>
      </c>
      <c r="O399" t="s">
        <v>6097</v>
      </c>
    </row>
    <row r="400" spans="1:15" x14ac:dyDescent="0.25">
      <c r="A400" t="s">
        <v>564</v>
      </c>
      <c r="B400" t="s">
        <v>30</v>
      </c>
      <c r="C400" t="s">
        <v>6098</v>
      </c>
      <c r="D400" t="s">
        <v>6099</v>
      </c>
      <c r="E400" t="s">
        <v>6100</v>
      </c>
      <c r="F400" t="s">
        <v>6101</v>
      </c>
      <c r="G400" t="s">
        <v>6102</v>
      </c>
      <c r="I400" t="s">
        <v>6103</v>
      </c>
      <c r="J400" t="s">
        <v>5335</v>
      </c>
      <c r="K400" t="s">
        <v>3144</v>
      </c>
      <c r="L400">
        <v>47740</v>
      </c>
      <c r="M400">
        <v>2.2800000000000001E-2</v>
      </c>
      <c r="N400" t="s">
        <v>3517</v>
      </c>
      <c r="O400" t="s">
        <v>6104</v>
      </c>
    </row>
    <row r="401" spans="1:15" x14ac:dyDescent="0.25">
      <c r="A401" t="s">
        <v>564</v>
      </c>
      <c r="B401" t="s">
        <v>30</v>
      </c>
      <c r="C401" t="s">
        <v>349</v>
      </c>
      <c r="D401" t="s">
        <v>4529</v>
      </c>
      <c r="E401" t="s">
        <v>6105</v>
      </c>
      <c r="F401" t="s">
        <v>6106</v>
      </c>
      <c r="G401" t="s">
        <v>6107</v>
      </c>
      <c r="H401" t="s">
        <v>3564</v>
      </c>
      <c r="I401" t="s">
        <v>6108</v>
      </c>
      <c r="J401" t="s">
        <v>5468</v>
      </c>
      <c r="K401" t="s">
        <v>4299</v>
      </c>
      <c r="L401">
        <v>47067</v>
      </c>
      <c r="M401">
        <v>2.9499999999999998E-2</v>
      </c>
      <c r="N401" t="s">
        <v>3517</v>
      </c>
      <c r="O401" t="s">
        <v>6109</v>
      </c>
    </row>
    <row r="402" spans="1:15" x14ac:dyDescent="0.25">
      <c r="A402" t="s">
        <v>564</v>
      </c>
      <c r="B402" t="s">
        <v>30</v>
      </c>
      <c r="C402" t="s">
        <v>390</v>
      </c>
      <c r="D402" t="s">
        <v>5428</v>
      </c>
      <c r="E402" t="s">
        <v>6110</v>
      </c>
      <c r="F402" t="s">
        <v>6111</v>
      </c>
      <c r="G402" t="s">
        <v>6112</v>
      </c>
      <c r="I402" t="s">
        <v>6113</v>
      </c>
      <c r="J402" t="s">
        <v>5612</v>
      </c>
      <c r="K402" t="s">
        <v>3657</v>
      </c>
      <c r="L402">
        <v>46469</v>
      </c>
      <c r="M402">
        <v>3.9300000000000002E-2</v>
      </c>
      <c r="N402" t="s">
        <v>3517</v>
      </c>
      <c r="O402" t="s">
        <v>6114</v>
      </c>
    </row>
    <row r="403" spans="1:15" x14ac:dyDescent="0.25">
      <c r="A403" t="s">
        <v>564</v>
      </c>
      <c r="B403" t="s">
        <v>30</v>
      </c>
      <c r="C403" t="s">
        <v>6115</v>
      </c>
      <c r="D403" t="s">
        <v>6116</v>
      </c>
      <c r="E403" t="s">
        <v>6117</v>
      </c>
      <c r="F403" t="s">
        <v>6118</v>
      </c>
      <c r="G403" t="s">
        <v>6119</v>
      </c>
      <c r="H403" t="s">
        <v>3564</v>
      </c>
      <c r="I403" t="s">
        <v>6120</v>
      </c>
      <c r="J403" t="s">
        <v>3151</v>
      </c>
      <c r="K403" t="s">
        <v>4436</v>
      </c>
      <c r="L403">
        <v>46166</v>
      </c>
      <c r="M403">
        <v>0.12590000000000001</v>
      </c>
      <c r="N403" t="s">
        <v>3517</v>
      </c>
      <c r="O403" t="s">
        <v>6121</v>
      </c>
    </row>
    <row r="404" spans="1:15" x14ac:dyDescent="0.25">
      <c r="A404" t="s">
        <v>564</v>
      </c>
      <c r="B404" t="s">
        <v>30</v>
      </c>
      <c r="C404" t="s">
        <v>6122</v>
      </c>
      <c r="D404" t="s">
        <v>6123</v>
      </c>
      <c r="E404" t="s">
        <v>6124</v>
      </c>
      <c r="F404" t="s">
        <v>6125</v>
      </c>
      <c r="G404" t="s">
        <v>6126</v>
      </c>
      <c r="H404" t="s">
        <v>3564</v>
      </c>
      <c r="I404" t="s">
        <v>6127</v>
      </c>
      <c r="J404" t="s">
        <v>3688</v>
      </c>
      <c r="K404" t="s">
        <v>4685</v>
      </c>
      <c r="L404">
        <v>45545</v>
      </c>
      <c r="M404">
        <v>9.35E-2</v>
      </c>
      <c r="N404" t="s">
        <v>3517</v>
      </c>
      <c r="O404" t="s">
        <v>6128</v>
      </c>
    </row>
    <row r="405" spans="1:15" x14ac:dyDescent="0.25">
      <c r="A405" t="s">
        <v>564</v>
      </c>
      <c r="B405" t="s">
        <v>30</v>
      </c>
      <c r="C405" t="s">
        <v>6122</v>
      </c>
      <c r="D405" t="s">
        <v>6123</v>
      </c>
      <c r="E405" t="s">
        <v>6129</v>
      </c>
      <c r="F405" t="s">
        <v>6130</v>
      </c>
      <c r="G405" t="s">
        <v>6131</v>
      </c>
      <c r="I405" t="s">
        <v>6132</v>
      </c>
      <c r="J405" t="s">
        <v>3857</v>
      </c>
      <c r="K405" t="s">
        <v>3576</v>
      </c>
      <c r="L405">
        <v>45028</v>
      </c>
      <c r="M405">
        <v>0.13969999999999999</v>
      </c>
      <c r="N405" t="s">
        <v>3517</v>
      </c>
      <c r="O405" t="s">
        <v>6133</v>
      </c>
    </row>
    <row r="406" spans="1:15" x14ac:dyDescent="0.25">
      <c r="A406" t="s">
        <v>564</v>
      </c>
      <c r="B406" t="s">
        <v>30</v>
      </c>
      <c r="C406" t="s">
        <v>6134</v>
      </c>
      <c r="D406" t="s">
        <v>6135</v>
      </c>
      <c r="E406" t="s">
        <v>6136</v>
      </c>
      <c r="F406" t="s">
        <v>6137</v>
      </c>
      <c r="G406" t="s">
        <v>6138</v>
      </c>
      <c r="I406" t="s">
        <v>6139</v>
      </c>
      <c r="J406" t="s">
        <v>4018</v>
      </c>
      <c r="K406" t="s">
        <v>4949</v>
      </c>
      <c r="L406">
        <v>44100</v>
      </c>
      <c r="M406">
        <v>0.1203</v>
      </c>
      <c r="N406" t="s">
        <v>3517</v>
      </c>
      <c r="O406" t="s">
        <v>6140</v>
      </c>
    </row>
    <row r="407" spans="1:15" x14ac:dyDescent="0.25">
      <c r="A407" t="s">
        <v>564</v>
      </c>
      <c r="B407" t="s">
        <v>30</v>
      </c>
      <c r="C407" t="s">
        <v>6141</v>
      </c>
      <c r="D407" t="s">
        <v>6142</v>
      </c>
      <c r="E407" t="s">
        <v>6143</v>
      </c>
      <c r="F407" t="s">
        <v>6144</v>
      </c>
      <c r="G407" t="s">
        <v>6145</v>
      </c>
      <c r="I407" t="s">
        <v>6146</v>
      </c>
      <c r="J407" t="s">
        <v>4174</v>
      </c>
      <c r="K407" t="s">
        <v>5599</v>
      </c>
      <c r="L407">
        <v>43087</v>
      </c>
      <c r="M407">
        <v>6.2100000000000002E-2</v>
      </c>
      <c r="N407" t="s">
        <v>3517</v>
      </c>
      <c r="O407" t="s">
        <v>6147</v>
      </c>
    </row>
    <row r="408" spans="1:15" x14ac:dyDescent="0.25">
      <c r="A408" t="s">
        <v>564</v>
      </c>
      <c r="B408" t="s">
        <v>30</v>
      </c>
      <c r="C408" t="s">
        <v>6122</v>
      </c>
      <c r="D408" t="s">
        <v>6123</v>
      </c>
      <c r="E408" t="s">
        <v>6148</v>
      </c>
      <c r="F408" t="s">
        <v>6149</v>
      </c>
      <c r="G408" t="s">
        <v>6150</v>
      </c>
      <c r="I408" t="s">
        <v>6151</v>
      </c>
      <c r="J408" t="s">
        <v>4321</v>
      </c>
      <c r="K408" t="s">
        <v>4804</v>
      </c>
      <c r="L408">
        <v>43049</v>
      </c>
      <c r="M408">
        <v>6.4699999999999994E-2</v>
      </c>
      <c r="N408" t="s">
        <v>3517</v>
      </c>
      <c r="O408" t="s">
        <v>6152</v>
      </c>
    </row>
    <row r="409" spans="1:15" x14ac:dyDescent="0.25">
      <c r="A409" t="s">
        <v>564</v>
      </c>
      <c r="B409" t="s">
        <v>30</v>
      </c>
      <c r="C409" t="s">
        <v>150</v>
      </c>
      <c r="D409" t="s">
        <v>3964</v>
      </c>
      <c r="E409" t="s">
        <v>1961</v>
      </c>
      <c r="F409" t="s">
        <v>1960</v>
      </c>
      <c r="G409" t="s">
        <v>6153</v>
      </c>
      <c r="I409" t="s">
        <v>6154</v>
      </c>
      <c r="J409" t="s">
        <v>4474</v>
      </c>
      <c r="K409" t="s">
        <v>3567</v>
      </c>
      <c r="L409">
        <v>42595</v>
      </c>
      <c r="M409">
        <v>5.3699999999999998E-2</v>
      </c>
      <c r="N409" t="s">
        <v>3517</v>
      </c>
      <c r="O409" t="s">
        <v>1962</v>
      </c>
    </row>
    <row r="410" spans="1:15" x14ac:dyDescent="0.25">
      <c r="A410" t="s">
        <v>564</v>
      </c>
      <c r="B410" t="s">
        <v>30</v>
      </c>
      <c r="C410" t="s">
        <v>6122</v>
      </c>
      <c r="D410" t="s">
        <v>6123</v>
      </c>
      <c r="E410" t="s">
        <v>6155</v>
      </c>
      <c r="F410" t="s">
        <v>6156</v>
      </c>
      <c r="G410" t="s">
        <v>6157</v>
      </c>
      <c r="I410" t="s">
        <v>6158</v>
      </c>
      <c r="J410" t="s">
        <v>4618</v>
      </c>
      <c r="K410" t="s">
        <v>5105</v>
      </c>
      <c r="L410">
        <v>42016</v>
      </c>
      <c r="M410">
        <v>0.13139999999999999</v>
      </c>
      <c r="N410" t="s">
        <v>3517</v>
      </c>
      <c r="O410" t="s">
        <v>6159</v>
      </c>
    </row>
    <row r="411" spans="1:15" x14ac:dyDescent="0.25">
      <c r="A411" t="s">
        <v>564</v>
      </c>
      <c r="B411" t="s">
        <v>30</v>
      </c>
      <c r="C411" t="s">
        <v>349</v>
      </c>
      <c r="D411" t="s">
        <v>4529</v>
      </c>
      <c r="E411" t="s">
        <v>6160</v>
      </c>
      <c r="F411" t="s">
        <v>6161</v>
      </c>
      <c r="G411" t="s">
        <v>6162</v>
      </c>
      <c r="H411" t="s">
        <v>3564</v>
      </c>
      <c r="I411" t="s">
        <v>6163</v>
      </c>
      <c r="J411" t="s">
        <v>4766</v>
      </c>
      <c r="K411" t="s">
        <v>4889</v>
      </c>
      <c r="L411">
        <v>41800</v>
      </c>
      <c r="M411">
        <v>3.4299999999999997E-2</v>
      </c>
      <c r="N411" t="s">
        <v>3517</v>
      </c>
      <c r="O411" t="s">
        <v>6164</v>
      </c>
    </row>
    <row r="412" spans="1:15" x14ac:dyDescent="0.25">
      <c r="A412" t="s">
        <v>564</v>
      </c>
      <c r="B412" t="s">
        <v>30</v>
      </c>
      <c r="C412" t="s">
        <v>5948</v>
      </c>
      <c r="D412" t="s">
        <v>5949</v>
      </c>
      <c r="E412" t="s">
        <v>6165</v>
      </c>
      <c r="F412" t="s">
        <v>6166</v>
      </c>
      <c r="G412" t="s">
        <v>6167</v>
      </c>
      <c r="H412" t="s">
        <v>3141</v>
      </c>
      <c r="I412" t="s">
        <v>6168</v>
      </c>
      <c r="J412" t="s">
        <v>4909</v>
      </c>
      <c r="K412" t="s">
        <v>132</v>
      </c>
      <c r="L412">
        <v>41142</v>
      </c>
      <c r="M412">
        <v>8.8200000000000001E-2</v>
      </c>
      <c r="N412" t="s">
        <v>3517</v>
      </c>
      <c r="O412" t="s">
        <v>6169</v>
      </c>
    </row>
    <row r="413" spans="1:15" x14ac:dyDescent="0.25">
      <c r="A413" t="s">
        <v>564</v>
      </c>
      <c r="B413" t="s">
        <v>30</v>
      </c>
      <c r="C413" t="s">
        <v>150</v>
      </c>
      <c r="D413" t="s">
        <v>3964</v>
      </c>
      <c r="E413" t="s">
        <v>1971</v>
      </c>
      <c r="F413" t="s">
        <v>1970</v>
      </c>
      <c r="G413" t="s">
        <v>6170</v>
      </c>
      <c r="H413" t="s">
        <v>3564</v>
      </c>
      <c r="I413" t="s">
        <v>6171</v>
      </c>
      <c r="J413" t="s">
        <v>4812</v>
      </c>
      <c r="K413" t="s">
        <v>4594</v>
      </c>
      <c r="L413">
        <v>40903</v>
      </c>
      <c r="M413">
        <v>0.17169999999999999</v>
      </c>
      <c r="N413" t="s">
        <v>3517</v>
      </c>
      <c r="O413" t="s">
        <v>1972</v>
      </c>
    </row>
    <row r="414" spans="1:15" x14ac:dyDescent="0.25">
      <c r="A414" t="s">
        <v>564</v>
      </c>
      <c r="B414" t="s">
        <v>30</v>
      </c>
      <c r="C414" t="s">
        <v>150</v>
      </c>
      <c r="D414" t="s">
        <v>3964</v>
      </c>
      <c r="E414" t="s">
        <v>1976</v>
      </c>
      <c r="F414" t="s">
        <v>1975</v>
      </c>
      <c r="G414" t="s">
        <v>6172</v>
      </c>
      <c r="I414" t="s">
        <v>6173</v>
      </c>
      <c r="J414" t="s">
        <v>5204</v>
      </c>
      <c r="K414" t="s">
        <v>5982</v>
      </c>
      <c r="L414">
        <v>40858</v>
      </c>
      <c r="M414">
        <v>0.22239999999999999</v>
      </c>
      <c r="N414" t="s">
        <v>3517</v>
      </c>
      <c r="O414" t="s">
        <v>1977</v>
      </c>
    </row>
    <row r="415" spans="1:15" x14ac:dyDescent="0.25">
      <c r="A415" t="s">
        <v>564</v>
      </c>
      <c r="B415" t="s">
        <v>30</v>
      </c>
      <c r="C415" t="s">
        <v>6174</v>
      </c>
      <c r="D415" t="s">
        <v>6175</v>
      </c>
      <c r="E415" t="s">
        <v>6176</v>
      </c>
      <c r="F415" t="s">
        <v>6177</v>
      </c>
      <c r="G415" t="s">
        <v>6178</v>
      </c>
      <c r="I415" t="s">
        <v>6179</v>
      </c>
      <c r="J415" t="s">
        <v>5341</v>
      </c>
      <c r="K415" t="s">
        <v>3880</v>
      </c>
      <c r="L415">
        <v>40479</v>
      </c>
      <c r="M415">
        <v>4.4299999999999999E-2</v>
      </c>
      <c r="N415" t="s">
        <v>3517</v>
      </c>
      <c r="O415" t="s">
        <v>6180</v>
      </c>
    </row>
    <row r="416" spans="1:15" x14ac:dyDescent="0.25">
      <c r="A416" t="s">
        <v>564</v>
      </c>
      <c r="B416" t="s">
        <v>30</v>
      </c>
      <c r="C416" t="s">
        <v>3569</v>
      </c>
      <c r="D416" t="s">
        <v>3570</v>
      </c>
      <c r="E416" t="s">
        <v>6181</v>
      </c>
      <c r="F416" t="s">
        <v>6182</v>
      </c>
      <c r="G416" t="s">
        <v>6183</v>
      </c>
      <c r="H416" t="s">
        <v>3564</v>
      </c>
      <c r="I416" t="s">
        <v>6184</v>
      </c>
      <c r="J416" t="s">
        <v>5083</v>
      </c>
      <c r="K416" t="s">
        <v>4370</v>
      </c>
      <c r="L416">
        <v>40378</v>
      </c>
      <c r="M416">
        <v>2.69E-2</v>
      </c>
      <c r="N416" t="s">
        <v>3517</v>
      </c>
      <c r="O416" t="s">
        <v>6185</v>
      </c>
    </row>
    <row r="417" spans="1:15" x14ac:dyDescent="0.25">
      <c r="A417" t="s">
        <v>564</v>
      </c>
      <c r="B417" t="s">
        <v>30</v>
      </c>
      <c r="C417" t="s">
        <v>5146</v>
      </c>
      <c r="D417" t="s">
        <v>5147</v>
      </c>
      <c r="E417" t="s">
        <v>6186</v>
      </c>
      <c r="F417" t="s">
        <v>6187</v>
      </c>
      <c r="G417" t="s">
        <v>6188</v>
      </c>
      <c r="I417" t="s">
        <v>6189</v>
      </c>
      <c r="J417" t="s">
        <v>5618</v>
      </c>
      <c r="K417" t="s">
        <v>4087</v>
      </c>
      <c r="L417">
        <v>39925</v>
      </c>
      <c r="M417">
        <v>7.4900000000000008E-2</v>
      </c>
      <c r="N417" t="s">
        <v>3517</v>
      </c>
      <c r="O417" t="s">
        <v>6190</v>
      </c>
    </row>
    <row r="418" spans="1:15" x14ac:dyDescent="0.25">
      <c r="A418" t="s">
        <v>564</v>
      </c>
      <c r="B418" t="s">
        <v>30</v>
      </c>
      <c r="C418" t="s">
        <v>4707</v>
      </c>
      <c r="D418" t="s">
        <v>4708</v>
      </c>
      <c r="E418" t="s">
        <v>6191</v>
      </c>
      <c r="F418" t="s">
        <v>6192</v>
      </c>
      <c r="G418" t="s">
        <v>6193</v>
      </c>
      <c r="I418" t="s">
        <v>6194</v>
      </c>
      <c r="J418" t="s">
        <v>3516</v>
      </c>
      <c r="K418" t="s">
        <v>6195</v>
      </c>
      <c r="L418">
        <v>39599</v>
      </c>
      <c r="M418">
        <v>0.161</v>
      </c>
      <c r="N418" t="s">
        <v>3517</v>
      </c>
      <c r="O418" t="s">
        <v>6196</v>
      </c>
    </row>
    <row r="419" spans="1:15" x14ac:dyDescent="0.25">
      <c r="A419" t="s">
        <v>564</v>
      </c>
      <c r="B419" t="s">
        <v>30</v>
      </c>
      <c r="C419" t="s">
        <v>150</v>
      </c>
      <c r="D419" t="s">
        <v>3964</v>
      </c>
      <c r="E419" t="s">
        <v>1985</v>
      </c>
      <c r="F419" t="s">
        <v>1984</v>
      </c>
      <c r="G419" t="s">
        <v>6197</v>
      </c>
      <c r="H419" t="s">
        <v>3564</v>
      </c>
      <c r="I419" t="s">
        <v>6198</v>
      </c>
      <c r="J419" t="s">
        <v>3625</v>
      </c>
      <c r="K419" t="s">
        <v>4587</v>
      </c>
      <c r="L419">
        <v>39541</v>
      </c>
      <c r="M419">
        <v>0.16439999999999999</v>
      </c>
      <c r="N419" t="s">
        <v>3517</v>
      </c>
      <c r="O419" t="s">
        <v>1986</v>
      </c>
    </row>
    <row r="420" spans="1:15" x14ac:dyDescent="0.25">
      <c r="A420" t="s">
        <v>564</v>
      </c>
      <c r="B420" t="s">
        <v>30</v>
      </c>
      <c r="C420" t="s">
        <v>150</v>
      </c>
      <c r="D420" t="s">
        <v>3964</v>
      </c>
      <c r="E420" t="s">
        <v>1990</v>
      </c>
      <c r="F420" t="s">
        <v>1989</v>
      </c>
      <c r="G420" t="s">
        <v>6199</v>
      </c>
      <c r="H420" t="s">
        <v>3564</v>
      </c>
      <c r="I420" t="s">
        <v>6200</v>
      </c>
      <c r="J420" t="s">
        <v>3697</v>
      </c>
      <c r="K420" t="s">
        <v>4131</v>
      </c>
      <c r="L420">
        <v>39454</v>
      </c>
      <c r="M420">
        <v>0.1991</v>
      </c>
      <c r="N420" t="s">
        <v>3517</v>
      </c>
      <c r="O420" t="s">
        <v>1991</v>
      </c>
    </row>
    <row r="421" spans="1:15" x14ac:dyDescent="0.25">
      <c r="A421" t="s">
        <v>564</v>
      </c>
      <c r="B421" t="s">
        <v>30</v>
      </c>
      <c r="C421" t="s">
        <v>5146</v>
      </c>
      <c r="D421" t="s">
        <v>5147</v>
      </c>
      <c r="E421" t="s">
        <v>6201</v>
      </c>
      <c r="F421" t="s">
        <v>6202</v>
      </c>
      <c r="G421" t="s">
        <v>6203</v>
      </c>
      <c r="H421" t="s">
        <v>3564</v>
      </c>
      <c r="I421" t="s">
        <v>6204</v>
      </c>
      <c r="J421" t="s">
        <v>3866</v>
      </c>
      <c r="K421" t="s">
        <v>4581</v>
      </c>
      <c r="L421">
        <v>39375</v>
      </c>
      <c r="M421">
        <v>0.06</v>
      </c>
      <c r="N421" t="s">
        <v>3517</v>
      </c>
      <c r="O421" t="s">
        <v>6205</v>
      </c>
    </row>
    <row r="422" spans="1:15" x14ac:dyDescent="0.25">
      <c r="A422" t="s">
        <v>564</v>
      </c>
      <c r="B422" t="s">
        <v>30</v>
      </c>
      <c r="C422" t="s">
        <v>393</v>
      </c>
      <c r="D422" t="s">
        <v>5808</v>
      </c>
      <c r="E422" t="s">
        <v>6206</v>
      </c>
      <c r="F422" t="s">
        <v>6207</v>
      </c>
      <c r="G422" t="s">
        <v>6208</v>
      </c>
      <c r="I422" t="s">
        <v>6209</v>
      </c>
      <c r="J422" t="s">
        <v>4027</v>
      </c>
      <c r="K422" t="s">
        <v>5833</v>
      </c>
      <c r="L422">
        <v>39074</v>
      </c>
      <c r="M422">
        <v>8.2299999999999998E-2</v>
      </c>
      <c r="N422" t="s">
        <v>3517</v>
      </c>
      <c r="O422" t="s">
        <v>6210</v>
      </c>
    </row>
    <row r="423" spans="1:15" x14ac:dyDescent="0.25">
      <c r="A423" t="s">
        <v>564</v>
      </c>
      <c r="B423" t="s">
        <v>30</v>
      </c>
      <c r="C423" t="s">
        <v>5955</v>
      </c>
      <c r="D423" t="s">
        <v>5956</v>
      </c>
      <c r="E423" t="s">
        <v>6211</v>
      </c>
      <c r="F423" t="s">
        <v>6212</v>
      </c>
      <c r="G423" t="s">
        <v>6213</v>
      </c>
      <c r="I423" t="s">
        <v>6214</v>
      </c>
      <c r="J423" t="s">
        <v>4180</v>
      </c>
      <c r="K423" t="s">
        <v>5920</v>
      </c>
      <c r="L423">
        <v>38926</v>
      </c>
      <c r="M423">
        <v>0.109</v>
      </c>
      <c r="N423" t="s">
        <v>3517</v>
      </c>
      <c r="O423" t="s">
        <v>6215</v>
      </c>
    </row>
    <row r="424" spans="1:15" x14ac:dyDescent="0.25">
      <c r="A424" t="s">
        <v>564</v>
      </c>
      <c r="B424" t="s">
        <v>30</v>
      </c>
      <c r="C424" t="s">
        <v>6216</v>
      </c>
      <c r="D424" t="s">
        <v>6217</v>
      </c>
      <c r="E424" t="s">
        <v>6218</v>
      </c>
      <c r="F424" t="s">
        <v>6219</v>
      </c>
      <c r="G424" t="s">
        <v>6220</v>
      </c>
      <c r="I424" t="s">
        <v>6221</v>
      </c>
      <c r="J424" t="s">
        <v>4327</v>
      </c>
      <c r="K424" t="s">
        <v>3995</v>
      </c>
      <c r="L424">
        <v>38593</v>
      </c>
      <c r="M424">
        <v>7.0099999999999996E-2</v>
      </c>
      <c r="N424" t="s">
        <v>3517</v>
      </c>
      <c r="O424" t="s">
        <v>6222</v>
      </c>
    </row>
    <row r="425" spans="1:15" x14ac:dyDescent="0.25">
      <c r="A425" t="s">
        <v>564</v>
      </c>
      <c r="B425" t="s">
        <v>30</v>
      </c>
      <c r="C425" t="s">
        <v>5709</v>
      </c>
      <c r="D425" t="s">
        <v>5710</v>
      </c>
      <c r="E425" t="s">
        <v>6223</v>
      </c>
      <c r="F425" t="s">
        <v>6224</v>
      </c>
      <c r="G425" t="s">
        <v>6225</v>
      </c>
      <c r="H425" t="s">
        <v>3564</v>
      </c>
      <c r="I425" t="s">
        <v>6226</v>
      </c>
      <c r="J425" t="s">
        <v>4482</v>
      </c>
      <c r="K425" t="s">
        <v>3649</v>
      </c>
      <c r="L425">
        <v>38590</v>
      </c>
      <c r="M425">
        <v>0.18329999999999999</v>
      </c>
      <c r="N425" t="s">
        <v>3517</v>
      </c>
      <c r="O425" t="s">
        <v>6227</v>
      </c>
    </row>
    <row r="426" spans="1:15" x14ac:dyDescent="0.25">
      <c r="A426" t="s">
        <v>564</v>
      </c>
      <c r="B426" t="s">
        <v>30</v>
      </c>
      <c r="C426" t="s">
        <v>390</v>
      </c>
      <c r="D426" t="s">
        <v>5428</v>
      </c>
      <c r="E426" t="s">
        <v>6228</v>
      </c>
      <c r="F426" t="s">
        <v>6229</v>
      </c>
      <c r="G426" t="s">
        <v>6230</v>
      </c>
      <c r="H426" t="s">
        <v>3564</v>
      </c>
      <c r="I426" t="s">
        <v>6231</v>
      </c>
      <c r="J426" t="s">
        <v>4624</v>
      </c>
      <c r="K426" t="s">
        <v>3697</v>
      </c>
      <c r="L426">
        <v>38396</v>
      </c>
      <c r="M426">
        <v>1.83E-2</v>
      </c>
      <c r="N426" t="s">
        <v>3517</v>
      </c>
      <c r="O426" t="s">
        <v>6232</v>
      </c>
    </row>
    <row r="427" spans="1:15" x14ac:dyDescent="0.25">
      <c r="A427" t="s">
        <v>564</v>
      </c>
      <c r="B427" t="s">
        <v>30</v>
      </c>
      <c r="C427" t="s">
        <v>6233</v>
      </c>
      <c r="D427" t="s">
        <v>6234</v>
      </c>
      <c r="E427" t="s">
        <v>6235</v>
      </c>
      <c r="F427" t="s">
        <v>6236</v>
      </c>
      <c r="G427" t="s">
        <v>6237</v>
      </c>
      <c r="H427" t="s">
        <v>3564</v>
      </c>
      <c r="I427" t="s">
        <v>6238</v>
      </c>
      <c r="J427" t="s">
        <v>4774</v>
      </c>
      <c r="K427" t="s">
        <v>5020</v>
      </c>
      <c r="L427">
        <v>37987</v>
      </c>
      <c r="M427">
        <v>9.4499999999999987E-2</v>
      </c>
      <c r="N427" t="s">
        <v>3517</v>
      </c>
      <c r="O427" t="s">
        <v>6239</v>
      </c>
    </row>
    <row r="428" spans="1:15" x14ac:dyDescent="0.25">
      <c r="A428" t="s">
        <v>564</v>
      </c>
      <c r="B428" t="s">
        <v>30</v>
      </c>
      <c r="C428" t="s">
        <v>6025</v>
      </c>
      <c r="D428" t="s">
        <v>6026</v>
      </c>
      <c r="E428" t="s">
        <v>6240</v>
      </c>
      <c r="F428" t="s">
        <v>6241</v>
      </c>
      <c r="G428" t="s">
        <v>6242</v>
      </c>
      <c r="I428" t="s">
        <v>6243</v>
      </c>
      <c r="J428" t="s">
        <v>4917</v>
      </c>
      <c r="K428" t="s">
        <v>4280</v>
      </c>
      <c r="L428">
        <v>37275</v>
      </c>
      <c r="M428">
        <v>8.5999999999999993E-2</v>
      </c>
      <c r="N428" t="s">
        <v>3517</v>
      </c>
      <c r="O428" t="s">
        <v>6244</v>
      </c>
    </row>
    <row r="429" spans="1:15" x14ac:dyDescent="0.25">
      <c r="A429" t="s">
        <v>564</v>
      </c>
      <c r="B429" t="s">
        <v>30</v>
      </c>
      <c r="C429" t="s">
        <v>5709</v>
      </c>
      <c r="D429" t="s">
        <v>5710</v>
      </c>
      <c r="E429" t="s">
        <v>6245</v>
      </c>
      <c r="F429" t="s">
        <v>6246</v>
      </c>
      <c r="G429" t="s">
        <v>6247</v>
      </c>
      <c r="H429" t="s">
        <v>3564</v>
      </c>
      <c r="I429" t="s">
        <v>6248</v>
      </c>
      <c r="J429" t="s">
        <v>5060</v>
      </c>
      <c r="K429" t="s">
        <v>3601</v>
      </c>
      <c r="L429">
        <v>36743</v>
      </c>
      <c r="M429">
        <v>0.14180000000000001</v>
      </c>
      <c r="N429" t="s">
        <v>3517</v>
      </c>
      <c r="O429" t="s">
        <v>6249</v>
      </c>
    </row>
    <row r="430" spans="1:15" x14ac:dyDescent="0.25">
      <c r="A430" t="s">
        <v>564</v>
      </c>
      <c r="B430" t="s">
        <v>30</v>
      </c>
      <c r="C430" t="s">
        <v>150</v>
      </c>
      <c r="D430" t="s">
        <v>3964</v>
      </c>
      <c r="E430" t="s">
        <v>1995</v>
      </c>
      <c r="F430" t="s">
        <v>1994</v>
      </c>
      <c r="G430" t="s">
        <v>6250</v>
      </c>
      <c r="H430" t="s">
        <v>3564</v>
      </c>
      <c r="I430" t="s">
        <v>6251</v>
      </c>
      <c r="J430" t="s">
        <v>5211</v>
      </c>
      <c r="K430" t="s">
        <v>3670</v>
      </c>
      <c r="L430">
        <v>36720</v>
      </c>
      <c r="M430">
        <v>2.63E-2</v>
      </c>
      <c r="N430" t="s">
        <v>3517</v>
      </c>
      <c r="O430" t="s">
        <v>1996</v>
      </c>
    </row>
    <row r="431" spans="1:15" x14ac:dyDescent="0.25">
      <c r="A431" t="s">
        <v>564</v>
      </c>
      <c r="B431" t="s">
        <v>30</v>
      </c>
      <c r="C431" t="s">
        <v>150</v>
      </c>
      <c r="D431" t="s">
        <v>3964</v>
      </c>
      <c r="E431" t="s">
        <v>2000</v>
      </c>
      <c r="F431" t="s">
        <v>1999</v>
      </c>
      <c r="G431" t="s">
        <v>6252</v>
      </c>
      <c r="H431" t="s">
        <v>3564</v>
      </c>
      <c r="I431" t="s">
        <v>6253</v>
      </c>
      <c r="J431" t="s">
        <v>4238</v>
      </c>
      <c r="K431" t="s">
        <v>4758</v>
      </c>
      <c r="L431">
        <v>36655</v>
      </c>
      <c r="M431">
        <v>0.1026</v>
      </c>
      <c r="N431" t="s">
        <v>3517</v>
      </c>
      <c r="O431" t="s">
        <v>2001</v>
      </c>
    </row>
    <row r="432" spans="1:15" x14ac:dyDescent="0.25">
      <c r="A432" t="s">
        <v>564</v>
      </c>
      <c r="B432" t="s">
        <v>30</v>
      </c>
      <c r="C432" t="s">
        <v>150</v>
      </c>
      <c r="D432" t="s">
        <v>3964</v>
      </c>
      <c r="E432" t="s">
        <v>2005</v>
      </c>
      <c r="F432" t="s">
        <v>2004</v>
      </c>
      <c r="G432" t="s">
        <v>6254</v>
      </c>
      <c r="H432" t="s">
        <v>3564</v>
      </c>
      <c r="I432" t="s">
        <v>6255</v>
      </c>
      <c r="J432" t="s">
        <v>5483</v>
      </c>
      <c r="K432" t="s">
        <v>4685</v>
      </c>
      <c r="L432">
        <v>36516</v>
      </c>
      <c r="M432">
        <v>0.14280000000000001</v>
      </c>
      <c r="N432" t="s">
        <v>3517</v>
      </c>
      <c r="O432" t="s">
        <v>2006</v>
      </c>
    </row>
    <row r="433" spans="1:15" x14ac:dyDescent="0.25">
      <c r="A433" t="s">
        <v>564</v>
      </c>
      <c r="B433" t="s">
        <v>30</v>
      </c>
      <c r="C433" t="s">
        <v>6256</v>
      </c>
      <c r="D433" t="s">
        <v>6257</v>
      </c>
      <c r="E433" t="s">
        <v>6258</v>
      </c>
      <c r="F433" t="s">
        <v>6259</v>
      </c>
      <c r="G433" t="s">
        <v>6260</v>
      </c>
      <c r="I433" t="s">
        <v>6261</v>
      </c>
      <c r="J433" t="s">
        <v>5624</v>
      </c>
      <c r="K433" t="s">
        <v>3535</v>
      </c>
      <c r="L433">
        <v>36146</v>
      </c>
      <c r="M433">
        <v>0.1201</v>
      </c>
      <c r="N433" t="s">
        <v>3517</v>
      </c>
      <c r="O433" t="s">
        <v>6262</v>
      </c>
    </row>
    <row r="434" spans="1:15" x14ac:dyDescent="0.25">
      <c r="A434" t="s">
        <v>564</v>
      </c>
      <c r="B434" t="s">
        <v>30</v>
      </c>
      <c r="C434" t="s">
        <v>6263</v>
      </c>
      <c r="D434" t="s">
        <v>6264</v>
      </c>
      <c r="E434" t="s">
        <v>6265</v>
      </c>
      <c r="F434" t="s">
        <v>6266</v>
      </c>
      <c r="G434" t="s">
        <v>6267</v>
      </c>
      <c r="I434" t="s">
        <v>6268</v>
      </c>
      <c r="J434" t="s">
        <v>3634</v>
      </c>
      <c r="K434" t="s">
        <v>132</v>
      </c>
      <c r="L434">
        <v>36057</v>
      </c>
      <c r="M434">
        <v>7.9399999999999998E-2</v>
      </c>
      <c r="N434" t="s">
        <v>3517</v>
      </c>
      <c r="O434" t="s">
        <v>6269</v>
      </c>
    </row>
    <row r="435" spans="1:15" x14ac:dyDescent="0.25">
      <c r="A435" t="s">
        <v>564</v>
      </c>
      <c r="B435" t="s">
        <v>30</v>
      </c>
      <c r="C435" t="s">
        <v>6270</v>
      </c>
      <c r="D435" t="s">
        <v>6271</v>
      </c>
      <c r="E435" t="s">
        <v>6272</v>
      </c>
      <c r="F435" t="s">
        <v>6273</v>
      </c>
      <c r="G435" t="s">
        <v>6274</v>
      </c>
      <c r="I435" t="s">
        <v>6275</v>
      </c>
      <c r="J435" t="s">
        <v>3704</v>
      </c>
      <c r="K435" t="s">
        <v>6276</v>
      </c>
      <c r="L435">
        <v>35928</v>
      </c>
      <c r="M435">
        <v>5.7200000000000001E-2</v>
      </c>
      <c r="N435" t="s">
        <v>3517</v>
      </c>
      <c r="O435" t="s">
        <v>6277</v>
      </c>
    </row>
    <row r="436" spans="1:15" x14ac:dyDescent="0.25">
      <c r="A436" t="s">
        <v>564</v>
      </c>
      <c r="B436" t="s">
        <v>30</v>
      </c>
      <c r="C436" t="s">
        <v>6216</v>
      </c>
      <c r="D436" t="s">
        <v>6217</v>
      </c>
      <c r="E436" t="s">
        <v>6278</v>
      </c>
      <c r="F436" t="s">
        <v>6279</v>
      </c>
      <c r="G436" t="s">
        <v>6280</v>
      </c>
      <c r="I436" t="s">
        <v>6281</v>
      </c>
      <c r="J436" t="s">
        <v>3872</v>
      </c>
      <c r="K436" t="s">
        <v>3650</v>
      </c>
      <c r="L436">
        <v>35653</v>
      </c>
      <c r="M436">
        <v>0.13489999999999999</v>
      </c>
      <c r="N436" t="s">
        <v>3517</v>
      </c>
      <c r="O436" t="s">
        <v>6282</v>
      </c>
    </row>
    <row r="437" spans="1:15" x14ac:dyDescent="0.25">
      <c r="A437" t="s">
        <v>564</v>
      </c>
      <c r="B437" t="s">
        <v>30</v>
      </c>
      <c r="C437" t="s">
        <v>6098</v>
      </c>
      <c r="D437" t="s">
        <v>6099</v>
      </c>
      <c r="E437" t="s">
        <v>6283</v>
      </c>
      <c r="F437" t="s">
        <v>6284</v>
      </c>
      <c r="G437" t="s">
        <v>6285</v>
      </c>
      <c r="I437" t="s">
        <v>6286</v>
      </c>
      <c r="J437" t="s">
        <v>4033</v>
      </c>
      <c r="K437" t="s">
        <v>6287</v>
      </c>
      <c r="L437">
        <v>35602</v>
      </c>
      <c r="M437">
        <v>4.8300000000000003E-2</v>
      </c>
      <c r="N437" t="s">
        <v>3517</v>
      </c>
      <c r="O437" t="s">
        <v>6288</v>
      </c>
    </row>
    <row r="438" spans="1:15" x14ac:dyDescent="0.25">
      <c r="A438" t="s">
        <v>564</v>
      </c>
      <c r="B438" t="s">
        <v>30</v>
      </c>
      <c r="C438" t="s">
        <v>5775</v>
      </c>
      <c r="D438" t="s">
        <v>5776</v>
      </c>
      <c r="E438" t="s">
        <v>6289</v>
      </c>
      <c r="F438" t="s">
        <v>6290</v>
      </c>
      <c r="G438" t="s">
        <v>6291</v>
      </c>
      <c r="I438" t="s">
        <v>6292</v>
      </c>
      <c r="J438" t="s">
        <v>4186</v>
      </c>
      <c r="K438" t="s">
        <v>5035</v>
      </c>
      <c r="L438">
        <v>35432</v>
      </c>
      <c r="M438">
        <v>5.91E-2</v>
      </c>
      <c r="N438" t="s">
        <v>3517</v>
      </c>
      <c r="O438" t="s">
        <v>6293</v>
      </c>
    </row>
    <row r="439" spans="1:15" x14ac:dyDescent="0.25">
      <c r="A439" t="s">
        <v>564</v>
      </c>
      <c r="B439" t="s">
        <v>30</v>
      </c>
      <c r="C439" t="s">
        <v>349</v>
      </c>
      <c r="D439" t="s">
        <v>4529</v>
      </c>
      <c r="E439" t="s">
        <v>6294</v>
      </c>
      <c r="F439" t="s">
        <v>6295</v>
      </c>
      <c r="G439" t="s">
        <v>6296</v>
      </c>
      <c r="H439" t="s">
        <v>3564</v>
      </c>
      <c r="I439" t="s">
        <v>6297</v>
      </c>
      <c r="J439" t="s">
        <v>4334</v>
      </c>
      <c r="K439" t="s">
        <v>3601</v>
      </c>
      <c r="L439">
        <v>35299</v>
      </c>
      <c r="M439">
        <v>8.43E-2</v>
      </c>
      <c r="N439" t="s">
        <v>3517</v>
      </c>
      <c r="O439" t="s">
        <v>6298</v>
      </c>
    </row>
    <row r="440" spans="1:15" x14ac:dyDescent="0.25">
      <c r="A440" t="s">
        <v>564</v>
      </c>
      <c r="B440" t="s">
        <v>30</v>
      </c>
      <c r="C440" t="s">
        <v>6299</v>
      </c>
      <c r="D440" t="s">
        <v>6300</v>
      </c>
      <c r="E440" t="s">
        <v>6301</v>
      </c>
      <c r="F440" t="s">
        <v>6302</v>
      </c>
      <c r="G440" t="s">
        <v>6303</v>
      </c>
      <c r="H440" t="s">
        <v>3140</v>
      </c>
      <c r="I440" t="s">
        <v>6304</v>
      </c>
      <c r="J440" t="s">
        <v>4489</v>
      </c>
      <c r="K440" t="s">
        <v>132</v>
      </c>
      <c r="L440">
        <v>34710</v>
      </c>
      <c r="M440">
        <v>0.15529999999999999</v>
      </c>
      <c r="N440" t="s">
        <v>3517</v>
      </c>
      <c r="O440" t="s">
        <v>6305</v>
      </c>
    </row>
    <row r="441" spans="1:15" x14ac:dyDescent="0.25">
      <c r="A441" t="s">
        <v>564</v>
      </c>
      <c r="B441" t="s">
        <v>30</v>
      </c>
      <c r="C441" t="s">
        <v>150</v>
      </c>
      <c r="D441" t="s">
        <v>3964</v>
      </c>
      <c r="E441" t="s">
        <v>2009</v>
      </c>
      <c r="F441" t="s">
        <v>2008</v>
      </c>
      <c r="G441" t="s">
        <v>6306</v>
      </c>
      <c r="H441" t="s">
        <v>3564</v>
      </c>
      <c r="I441" t="s">
        <v>6307</v>
      </c>
      <c r="J441" t="s">
        <v>4630</v>
      </c>
      <c r="K441" t="s">
        <v>3873</v>
      </c>
      <c r="L441">
        <v>34574</v>
      </c>
      <c r="M441">
        <v>0.21199999999999999</v>
      </c>
      <c r="N441" t="s">
        <v>3517</v>
      </c>
      <c r="O441" t="s">
        <v>2010</v>
      </c>
    </row>
    <row r="442" spans="1:15" x14ac:dyDescent="0.25">
      <c r="A442" t="s">
        <v>564</v>
      </c>
      <c r="B442" t="s">
        <v>30</v>
      </c>
      <c r="C442" t="s">
        <v>390</v>
      </c>
      <c r="D442" t="s">
        <v>5428</v>
      </c>
      <c r="E442" t="s">
        <v>6308</v>
      </c>
      <c r="F442" t="s">
        <v>6309</v>
      </c>
      <c r="G442" t="s">
        <v>6310</v>
      </c>
      <c r="I442" t="s">
        <v>6311</v>
      </c>
      <c r="J442" t="s">
        <v>4782</v>
      </c>
      <c r="K442" t="s">
        <v>5625</v>
      </c>
      <c r="L442">
        <v>34284</v>
      </c>
      <c r="M442">
        <v>5.2900000000000003E-2</v>
      </c>
      <c r="N442" t="s">
        <v>3517</v>
      </c>
      <c r="O442" t="s">
        <v>6312</v>
      </c>
    </row>
    <row r="443" spans="1:15" x14ac:dyDescent="0.25">
      <c r="A443" t="s">
        <v>564</v>
      </c>
      <c r="B443" t="s">
        <v>30</v>
      </c>
      <c r="C443" t="s">
        <v>6313</v>
      </c>
      <c r="D443" t="s">
        <v>6314</v>
      </c>
      <c r="E443" t="s">
        <v>6315</v>
      </c>
      <c r="F443" t="s">
        <v>6316</v>
      </c>
      <c r="G443" t="s">
        <v>6317</v>
      </c>
      <c r="I443" t="s">
        <v>6318</v>
      </c>
      <c r="J443" t="s">
        <v>4924</v>
      </c>
      <c r="K443" t="s">
        <v>4003</v>
      </c>
      <c r="L443">
        <v>33874</v>
      </c>
      <c r="M443">
        <v>4.6500000000000007E-2</v>
      </c>
      <c r="N443" t="s">
        <v>3517</v>
      </c>
      <c r="O443" t="s">
        <v>6319</v>
      </c>
    </row>
    <row r="444" spans="1:15" x14ac:dyDescent="0.25">
      <c r="A444" t="s">
        <v>564</v>
      </c>
      <c r="B444" t="s">
        <v>30</v>
      </c>
      <c r="C444" t="s">
        <v>6134</v>
      </c>
      <c r="D444" t="s">
        <v>6135</v>
      </c>
      <c r="E444" t="s">
        <v>6320</v>
      </c>
      <c r="F444" t="s">
        <v>6321</v>
      </c>
      <c r="G444" t="s">
        <v>6322</v>
      </c>
      <c r="I444" t="s">
        <v>6323</v>
      </c>
      <c r="J444" t="s">
        <v>5068</v>
      </c>
      <c r="K444" t="s">
        <v>132</v>
      </c>
      <c r="L444">
        <v>33832</v>
      </c>
      <c r="M444">
        <v>0.16639999999999999</v>
      </c>
      <c r="N444" t="s">
        <v>3517</v>
      </c>
      <c r="O444" t="s">
        <v>6324</v>
      </c>
    </row>
    <row r="445" spans="1:15" x14ac:dyDescent="0.25">
      <c r="A445" t="s">
        <v>564</v>
      </c>
      <c r="B445" t="s">
        <v>30</v>
      </c>
      <c r="C445" t="s">
        <v>6325</v>
      </c>
      <c r="D445" t="s">
        <v>6326</v>
      </c>
      <c r="E445" t="s">
        <v>6327</v>
      </c>
      <c r="F445" t="s">
        <v>6328</v>
      </c>
      <c r="G445" t="s">
        <v>6329</v>
      </c>
      <c r="H445" t="s">
        <v>3140</v>
      </c>
      <c r="I445" t="s">
        <v>6330</v>
      </c>
      <c r="J445" t="s">
        <v>5217</v>
      </c>
      <c r="K445" t="s">
        <v>132</v>
      </c>
      <c r="L445">
        <v>33669</v>
      </c>
      <c r="M445">
        <v>3.7499999999999999E-2</v>
      </c>
      <c r="N445" t="s">
        <v>3517</v>
      </c>
      <c r="O445" t="s">
        <v>6331</v>
      </c>
    </row>
    <row r="446" spans="1:15" x14ac:dyDescent="0.25">
      <c r="A446" t="s">
        <v>564</v>
      </c>
      <c r="B446" t="s">
        <v>30</v>
      </c>
      <c r="C446" t="s">
        <v>6332</v>
      </c>
      <c r="D446" t="s">
        <v>6333</v>
      </c>
      <c r="E446" t="s">
        <v>6334</v>
      </c>
      <c r="F446" t="s">
        <v>6335</v>
      </c>
      <c r="G446" t="s">
        <v>6336</v>
      </c>
      <c r="I446" t="s">
        <v>6337</v>
      </c>
      <c r="J446" t="s">
        <v>5354</v>
      </c>
      <c r="K446" t="s">
        <v>3754</v>
      </c>
      <c r="L446">
        <v>33438</v>
      </c>
      <c r="M446">
        <v>0.12920000000000001</v>
      </c>
      <c r="N446" t="s">
        <v>3517</v>
      </c>
      <c r="O446" t="s">
        <v>6338</v>
      </c>
    </row>
    <row r="447" spans="1:15" x14ac:dyDescent="0.25">
      <c r="A447" t="s">
        <v>564</v>
      </c>
      <c r="B447" t="s">
        <v>30</v>
      </c>
      <c r="C447" t="s">
        <v>393</v>
      </c>
      <c r="D447" t="s">
        <v>5808</v>
      </c>
      <c r="E447" t="s">
        <v>6339</v>
      </c>
      <c r="F447" t="s">
        <v>6340</v>
      </c>
      <c r="G447" t="s">
        <v>6341</v>
      </c>
      <c r="I447" t="s">
        <v>6342</v>
      </c>
      <c r="J447" t="s">
        <v>5491</v>
      </c>
      <c r="K447" t="s">
        <v>6343</v>
      </c>
      <c r="L447">
        <v>33011</v>
      </c>
      <c r="M447">
        <v>9.3699999999999992E-2</v>
      </c>
      <c r="N447" t="s">
        <v>3517</v>
      </c>
      <c r="O447" t="s">
        <v>6344</v>
      </c>
    </row>
    <row r="448" spans="1:15" x14ac:dyDescent="0.25">
      <c r="A448" t="s">
        <v>564</v>
      </c>
      <c r="B448" t="s">
        <v>30</v>
      </c>
      <c r="C448" t="s">
        <v>6345</v>
      </c>
      <c r="D448" t="s">
        <v>6346</v>
      </c>
      <c r="E448" t="s">
        <v>6347</v>
      </c>
      <c r="F448" t="s">
        <v>6348</v>
      </c>
      <c r="G448" t="s">
        <v>6349</v>
      </c>
      <c r="I448" t="s">
        <v>6350</v>
      </c>
      <c r="J448" t="s">
        <v>5633</v>
      </c>
      <c r="K448" t="s">
        <v>4445</v>
      </c>
      <c r="L448">
        <v>32802</v>
      </c>
      <c r="M448">
        <v>0.1527</v>
      </c>
      <c r="N448" t="s">
        <v>3517</v>
      </c>
      <c r="O448" t="s">
        <v>6351</v>
      </c>
    </row>
    <row r="449" spans="1:15" x14ac:dyDescent="0.25">
      <c r="A449" t="s">
        <v>564</v>
      </c>
      <c r="B449" t="s">
        <v>30</v>
      </c>
      <c r="C449" t="s">
        <v>6134</v>
      </c>
      <c r="D449" t="s">
        <v>6135</v>
      </c>
      <c r="E449" t="s">
        <v>6352</v>
      </c>
      <c r="F449" t="s">
        <v>6353</v>
      </c>
      <c r="G449" t="s">
        <v>6354</v>
      </c>
      <c r="I449" t="s">
        <v>6355</v>
      </c>
      <c r="J449" t="s">
        <v>3713</v>
      </c>
      <c r="K449" t="s">
        <v>4514</v>
      </c>
      <c r="L449">
        <v>32553</v>
      </c>
      <c r="M449">
        <v>0.11219999999999999</v>
      </c>
      <c r="N449" t="s">
        <v>3517</v>
      </c>
      <c r="O449" t="s">
        <v>6356</v>
      </c>
    </row>
    <row r="450" spans="1:15" x14ac:dyDescent="0.25">
      <c r="A450" t="s">
        <v>564</v>
      </c>
      <c r="B450" t="s">
        <v>30</v>
      </c>
      <c r="C450" t="s">
        <v>4707</v>
      </c>
      <c r="D450" t="s">
        <v>4708</v>
      </c>
      <c r="E450" t="s">
        <v>6357</v>
      </c>
      <c r="F450" t="s">
        <v>6358</v>
      </c>
      <c r="G450" t="s">
        <v>6359</v>
      </c>
      <c r="I450" t="s">
        <v>6360</v>
      </c>
      <c r="J450" t="s">
        <v>3879</v>
      </c>
      <c r="K450" t="s">
        <v>6361</v>
      </c>
      <c r="L450">
        <v>32030</v>
      </c>
      <c r="M450">
        <v>9.1799999999999993E-2</v>
      </c>
      <c r="N450" t="s">
        <v>3517</v>
      </c>
      <c r="O450" t="s">
        <v>6362</v>
      </c>
    </row>
    <row r="451" spans="1:15" x14ac:dyDescent="0.25">
      <c r="A451" t="s">
        <v>564</v>
      </c>
      <c r="B451" t="s">
        <v>30</v>
      </c>
      <c r="C451" t="s">
        <v>6299</v>
      </c>
      <c r="D451" t="s">
        <v>6300</v>
      </c>
      <c r="E451" t="s">
        <v>6363</v>
      </c>
      <c r="F451" t="s">
        <v>6364</v>
      </c>
      <c r="G451" t="s">
        <v>6365</v>
      </c>
      <c r="I451" t="s">
        <v>6366</v>
      </c>
      <c r="J451" t="s">
        <v>4039</v>
      </c>
      <c r="K451" t="s">
        <v>6367</v>
      </c>
      <c r="L451">
        <v>31886</v>
      </c>
      <c r="M451">
        <v>7.7100000000000002E-2</v>
      </c>
      <c r="N451" t="s">
        <v>3517</v>
      </c>
      <c r="O451" t="s">
        <v>6368</v>
      </c>
    </row>
    <row r="452" spans="1:15" x14ac:dyDescent="0.25">
      <c r="A452" t="s">
        <v>564</v>
      </c>
      <c r="B452" t="s">
        <v>30</v>
      </c>
      <c r="C452" t="s">
        <v>6052</v>
      </c>
      <c r="D452" t="s">
        <v>6053</v>
      </c>
      <c r="E452" t="s">
        <v>6369</v>
      </c>
      <c r="F452" t="s">
        <v>6370</v>
      </c>
      <c r="G452" t="s">
        <v>6371</v>
      </c>
      <c r="I452" t="s">
        <v>6372</v>
      </c>
      <c r="J452" t="s">
        <v>4195</v>
      </c>
      <c r="K452" t="s">
        <v>6373</v>
      </c>
      <c r="L452">
        <v>31797</v>
      </c>
      <c r="M452">
        <v>4.3999999999999997E-2</v>
      </c>
      <c r="N452" t="s">
        <v>3517</v>
      </c>
      <c r="O452" t="s">
        <v>6374</v>
      </c>
    </row>
    <row r="453" spans="1:15" x14ac:dyDescent="0.25">
      <c r="A453" t="s">
        <v>564</v>
      </c>
      <c r="B453" t="s">
        <v>30</v>
      </c>
      <c r="C453" t="s">
        <v>150</v>
      </c>
      <c r="D453" t="s">
        <v>3964</v>
      </c>
      <c r="E453" t="s">
        <v>2014</v>
      </c>
      <c r="F453" t="s">
        <v>2013</v>
      </c>
      <c r="G453" t="s">
        <v>6375</v>
      </c>
      <c r="H453" t="s">
        <v>3564</v>
      </c>
      <c r="I453" t="s">
        <v>6376</v>
      </c>
      <c r="J453" t="s">
        <v>4341</v>
      </c>
      <c r="K453" t="s">
        <v>132</v>
      </c>
      <c r="L453">
        <v>31731</v>
      </c>
      <c r="M453">
        <v>0.17929999999999999</v>
      </c>
      <c r="N453" t="s">
        <v>3517</v>
      </c>
      <c r="O453" t="s">
        <v>2015</v>
      </c>
    </row>
    <row r="454" spans="1:15" x14ac:dyDescent="0.25">
      <c r="A454" t="s">
        <v>564</v>
      </c>
      <c r="B454" t="s">
        <v>30</v>
      </c>
      <c r="C454" t="s">
        <v>6377</v>
      </c>
      <c r="D454" t="s">
        <v>6378</v>
      </c>
      <c r="E454" t="s">
        <v>6379</v>
      </c>
      <c r="F454" t="s">
        <v>6380</v>
      </c>
      <c r="G454" t="s">
        <v>6381</v>
      </c>
      <c r="H454" t="s">
        <v>3140</v>
      </c>
      <c r="I454" t="s">
        <v>6382</v>
      </c>
      <c r="J454" t="s">
        <v>4496</v>
      </c>
      <c r="K454" t="s">
        <v>132</v>
      </c>
      <c r="L454">
        <v>31605</v>
      </c>
      <c r="M454">
        <v>0.13450000000000001</v>
      </c>
      <c r="N454" t="s">
        <v>3517</v>
      </c>
      <c r="O454" t="s">
        <v>6383</v>
      </c>
    </row>
    <row r="455" spans="1:15" x14ac:dyDescent="0.25">
      <c r="A455" t="s">
        <v>564</v>
      </c>
      <c r="B455" t="s">
        <v>30</v>
      </c>
      <c r="C455" t="s">
        <v>5822</v>
      </c>
      <c r="D455" t="s">
        <v>5823</v>
      </c>
      <c r="E455" t="s">
        <v>6384</v>
      </c>
      <c r="F455" t="s">
        <v>6385</v>
      </c>
      <c r="G455" t="s">
        <v>6386</v>
      </c>
      <c r="I455" t="s">
        <v>6387</v>
      </c>
      <c r="J455" t="s">
        <v>3930</v>
      </c>
      <c r="K455" t="s">
        <v>4514</v>
      </c>
      <c r="L455">
        <v>31542</v>
      </c>
      <c r="M455">
        <v>7.3399999999999993E-2</v>
      </c>
      <c r="N455" t="s">
        <v>3517</v>
      </c>
      <c r="O455" t="s">
        <v>6388</v>
      </c>
    </row>
    <row r="456" spans="1:15" x14ac:dyDescent="0.25">
      <c r="A456" t="s">
        <v>564</v>
      </c>
      <c r="B456" t="s">
        <v>30</v>
      </c>
      <c r="C456" t="s">
        <v>150</v>
      </c>
      <c r="D456" t="s">
        <v>3964</v>
      </c>
      <c r="E456" t="s">
        <v>2025</v>
      </c>
      <c r="F456" t="s">
        <v>2024</v>
      </c>
      <c r="G456" t="s">
        <v>6389</v>
      </c>
      <c r="H456" t="s">
        <v>3564</v>
      </c>
      <c r="I456" t="s">
        <v>6390</v>
      </c>
      <c r="J456" t="s">
        <v>4791</v>
      </c>
      <c r="K456" t="s">
        <v>3857</v>
      </c>
      <c r="L456">
        <v>30918</v>
      </c>
      <c r="M456">
        <v>3.1399999999999997E-2</v>
      </c>
      <c r="N456" t="s">
        <v>3517</v>
      </c>
      <c r="O456" t="s">
        <v>2026</v>
      </c>
    </row>
    <row r="457" spans="1:15" x14ac:dyDescent="0.25">
      <c r="A457" t="s">
        <v>564</v>
      </c>
      <c r="B457" t="s">
        <v>30</v>
      </c>
      <c r="C457" t="s">
        <v>150</v>
      </c>
      <c r="D457" t="s">
        <v>3964</v>
      </c>
      <c r="E457" t="s">
        <v>2030</v>
      </c>
      <c r="F457" t="s">
        <v>2029</v>
      </c>
      <c r="G457" t="s">
        <v>6391</v>
      </c>
      <c r="H457" t="s">
        <v>3152</v>
      </c>
      <c r="I457" t="s">
        <v>6392</v>
      </c>
      <c r="J457" t="s">
        <v>4929</v>
      </c>
      <c r="K457" t="s">
        <v>132</v>
      </c>
      <c r="L457">
        <v>30776</v>
      </c>
      <c r="M457">
        <v>2.5700000000000001E-2</v>
      </c>
      <c r="N457" t="s">
        <v>3517</v>
      </c>
      <c r="O457" t="s">
        <v>2031</v>
      </c>
    </row>
    <row r="458" spans="1:15" x14ac:dyDescent="0.25">
      <c r="A458" t="s">
        <v>564</v>
      </c>
      <c r="B458" t="s">
        <v>30</v>
      </c>
      <c r="C458" t="s">
        <v>5734</v>
      </c>
      <c r="D458" t="s">
        <v>5735</v>
      </c>
      <c r="E458" t="s">
        <v>6393</v>
      </c>
      <c r="F458" t="s">
        <v>6394</v>
      </c>
      <c r="G458" t="s">
        <v>6395</v>
      </c>
      <c r="I458" t="s">
        <v>6396</v>
      </c>
      <c r="J458" t="s">
        <v>5076</v>
      </c>
      <c r="K458" t="s">
        <v>132</v>
      </c>
      <c r="L458">
        <v>30549</v>
      </c>
      <c r="M458">
        <v>4.6999999999999993E-3</v>
      </c>
      <c r="N458" t="s">
        <v>3517</v>
      </c>
      <c r="O458" t="s">
        <v>6397</v>
      </c>
    </row>
    <row r="459" spans="1:15" x14ac:dyDescent="0.25">
      <c r="A459" t="s">
        <v>564</v>
      </c>
      <c r="B459" t="s">
        <v>30</v>
      </c>
      <c r="C459" t="s">
        <v>6398</v>
      </c>
      <c r="D459" t="s">
        <v>6399</v>
      </c>
      <c r="E459" t="s">
        <v>6400</v>
      </c>
      <c r="F459" t="s">
        <v>6401</v>
      </c>
      <c r="G459" t="s">
        <v>6402</v>
      </c>
      <c r="I459" t="s">
        <v>6403</v>
      </c>
      <c r="J459" t="s">
        <v>5225</v>
      </c>
      <c r="K459" t="s">
        <v>3689</v>
      </c>
      <c r="L459">
        <v>30457</v>
      </c>
      <c r="M459">
        <v>9.1300000000000006E-2</v>
      </c>
      <c r="N459" t="s">
        <v>3517</v>
      </c>
      <c r="O459" t="s">
        <v>6404</v>
      </c>
    </row>
    <row r="460" spans="1:15" x14ac:dyDescent="0.25">
      <c r="A460" t="s">
        <v>564</v>
      </c>
      <c r="B460" t="s">
        <v>30</v>
      </c>
      <c r="C460" t="s">
        <v>6405</v>
      </c>
      <c r="D460" t="s">
        <v>6406</v>
      </c>
      <c r="E460" t="s">
        <v>6407</v>
      </c>
      <c r="F460" t="s">
        <v>6408</v>
      </c>
      <c r="G460" t="s">
        <v>6409</v>
      </c>
      <c r="I460" t="s">
        <v>6410</v>
      </c>
      <c r="J460" t="s">
        <v>5360</v>
      </c>
      <c r="K460" t="s">
        <v>4123</v>
      </c>
      <c r="L460">
        <v>30377</v>
      </c>
      <c r="M460">
        <v>0.1004</v>
      </c>
      <c r="N460" t="s">
        <v>3517</v>
      </c>
      <c r="O460" t="s">
        <v>6411</v>
      </c>
    </row>
    <row r="461" spans="1:15" x14ac:dyDescent="0.25">
      <c r="A461" t="s">
        <v>564</v>
      </c>
      <c r="B461" t="s">
        <v>30</v>
      </c>
      <c r="C461" t="s">
        <v>150</v>
      </c>
      <c r="D461" t="s">
        <v>3964</v>
      </c>
      <c r="E461" t="s">
        <v>2035</v>
      </c>
      <c r="F461" t="s">
        <v>2034</v>
      </c>
      <c r="G461" t="s">
        <v>6412</v>
      </c>
      <c r="H461" t="s">
        <v>3564</v>
      </c>
      <c r="I461" t="s">
        <v>6413</v>
      </c>
      <c r="J461" t="s">
        <v>5499</v>
      </c>
      <c r="K461" t="s">
        <v>5198</v>
      </c>
      <c r="L461">
        <v>30320</v>
      </c>
      <c r="M461">
        <v>0.1208</v>
      </c>
      <c r="N461" t="s">
        <v>3517</v>
      </c>
      <c r="O461" t="s">
        <v>2036</v>
      </c>
    </row>
    <row r="462" spans="1:15" x14ac:dyDescent="0.25">
      <c r="A462" t="s">
        <v>564</v>
      </c>
      <c r="B462" t="s">
        <v>30</v>
      </c>
      <c r="C462" t="s">
        <v>6414</v>
      </c>
      <c r="D462" t="s">
        <v>6415</v>
      </c>
      <c r="E462" t="s">
        <v>6416</v>
      </c>
      <c r="F462" t="s">
        <v>6417</v>
      </c>
      <c r="G462" t="s">
        <v>6418</v>
      </c>
      <c r="I462" t="s">
        <v>6419</v>
      </c>
      <c r="J462" t="s">
        <v>5639</v>
      </c>
      <c r="K462" t="s">
        <v>6420</v>
      </c>
      <c r="L462">
        <v>29819</v>
      </c>
      <c r="M462">
        <v>0.21579999999999999</v>
      </c>
      <c r="N462" t="s">
        <v>3517</v>
      </c>
      <c r="O462" t="s">
        <v>6421</v>
      </c>
    </row>
    <row r="463" spans="1:15" x14ac:dyDescent="0.25">
      <c r="A463" t="s">
        <v>564</v>
      </c>
      <c r="B463" t="s">
        <v>30</v>
      </c>
      <c r="C463" t="s">
        <v>6422</v>
      </c>
      <c r="D463" t="s">
        <v>6423</v>
      </c>
      <c r="E463" t="s">
        <v>6424</v>
      </c>
      <c r="F463" t="s">
        <v>6425</v>
      </c>
      <c r="G463" t="s">
        <v>6426</v>
      </c>
      <c r="H463" t="s">
        <v>3564</v>
      </c>
      <c r="I463" t="s">
        <v>6427</v>
      </c>
      <c r="J463" t="s">
        <v>3721</v>
      </c>
      <c r="K463" t="s">
        <v>3649</v>
      </c>
      <c r="L463">
        <v>29771</v>
      </c>
      <c r="M463">
        <v>7.8899999999999998E-2</v>
      </c>
      <c r="N463" t="s">
        <v>3517</v>
      </c>
      <c r="O463" t="s">
        <v>6428</v>
      </c>
    </row>
    <row r="464" spans="1:15" x14ac:dyDescent="0.25">
      <c r="A464" t="s">
        <v>564</v>
      </c>
      <c r="B464" t="s">
        <v>30</v>
      </c>
      <c r="C464" t="s">
        <v>150</v>
      </c>
      <c r="D464" t="s">
        <v>3964</v>
      </c>
      <c r="E464" t="s">
        <v>2039</v>
      </c>
      <c r="F464" t="s">
        <v>1960</v>
      </c>
      <c r="G464" t="s">
        <v>6429</v>
      </c>
      <c r="H464" t="s">
        <v>3564</v>
      </c>
      <c r="I464" t="s">
        <v>6430</v>
      </c>
      <c r="J464" t="s">
        <v>3888</v>
      </c>
      <c r="K464" t="s">
        <v>5177</v>
      </c>
      <c r="L464">
        <v>29498</v>
      </c>
      <c r="M464">
        <v>3.5799999999999998E-2</v>
      </c>
      <c r="N464" t="s">
        <v>3517</v>
      </c>
      <c r="O464" t="s">
        <v>2040</v>
      </c>
    </row>
    <row r="465" spans="1:15" x14ac:dyDescent="0.25">
      <c r="A465" t="s">
        <v>564</v>
      </c>
      <c r="B465" t="s">
        <v>30</v>
      </c>
      <c r="C465" t="s">
        <v>6431</v>
      </c>
      <c r="D465" t="s">
        <v>6432</v>
      </c>
      <c r="E465" t="s">
        <v>6433</v>
      </c>
      <c r="F465" t="s">
        <v>6434</v>
      </c>
      <c r="G465" t="s">
        <v>6435</v>
      </c>
      <c r="H465" t="s">
        <v>3140</v>
      </c>
      <c r="I465" t="s">
        <v>6436</v>
      </c>
      <c r="J465" t="s">
        <v>4048</v>
      </c>
      <c r="K465" t="s">
        <v>6437</v>
      </c>
      <c r="L465">
        <v>29274</v>
      </c>
      <c r="M465">
        <v>0.1002</v>
      </c>
      <c r="N465" t="s">
        <v>3517</v>
      </c>
      <c r="O465" t="s">
        <v>6438</v>
      </c>
    </row>
    <row r="466" spans="1:15" x14ac:dyDescent="0.25">
      <c r="A466" t="s">
        <v>564</v>
      </c>
      <c r="B466" t="s">
        <v>30</v>
      </c>
      <c r="C466" t="s">
        <v>390</v>
      </c>
      <c r="D466" t="s">
        <v>5428</v>
      </c>
      <c r="E466" t="s">
        <v>6439</v>
      </c>
      <c r="F466" t="s">
        <v>6440</v>
      </c>
      <c r="G466" t="s">
        <v>6441</v>
      </c>
      <c r="H466" t="s">
        <v>3564</v>
      </c>
      <c r="I466" t="s">
        <v>6442</v>
      </c>
      <c r="J466" t="s">
        <v>4201</v>
      </c>
      <c r="K466" t="s">
        <v>5076</v>
      </c>
      <c r="L466">
        <v>29156</v>
      </c>
      <c r="M466">
        <v>9.7999999999999997E-3</v>
      </c>
      <c r="N466" t="s">
        <v>3517</v>
      </c>
      <c r="O466" t="s">
        <v>6443</v>
      </c>
    </row>
    <row r="467" spans="1:15" x14ac:dyDescent="0.25">
      <c r="A467" t="s">
        <v>564</v>
      </c>
      <c r="B467" t="s">
        <v>30</v>
      </c>
      <c r="C467" t="s">
        <v>6233</v>
      </c>
      <c r="D467" t="s">
        <v>6234</v>
      </c>
      <c r="E467" t="s">
        <v>6444</v>
      </c>
      <c r="F467" t="s">
        <v>6445</v>
      </c>
      <c r="G467" t="s">
        <v>6446</v>
      </c>
      <c r="H467" t="s">
        <v>3564</v>
      </c>
      <c r="I467" t="s">
        <v>6447</v>
      </c>
      <c r="J467" t="s">
        <v>4349</v>
      </c>
      <c r="K467" t="s">
        <v>5341</v>
      </c>
      <c r="L467">
        <v>29067</v>
      </c>
      <c r="M467">
        <v>8.72E-2</v>
      </c>
      <c r="N467" t="s">
        <v>3517</v>
      </c>
      <c r="O467" t="s">
        <v>6448</v>
      </c>
    </row>
    <row r="468" spans="1:15" x14ac:dyDescent="0.25">
      <c r="A468" t="s">
        <v>564</v>
      </c>
      <c r="B468" t="s">
        <v>30</v>
      </c>
      <c r="C468" t="s">
        <v>6449</v>
      </c>
      <c r="D468" t="s">
        <v>6450</v>
      </c>
      <c r="E468" t="s">
        <v>6451</v>
      </c>
      <c r="F468" t="s">
        <v>5857</v>
      </c>
      <c r="G468" t="s">
        <v>6452</v>
      </c>
      <c r="H468" t="s">
        <v>3143</v>
      </c>
      <c r="I468" t="s">
        <v>6453</v>
      </c>
      <c r="J468" t="s">
        <v>4504</v>
      </c>
      <c r="K468" t="s">
        <v>132</v>
      </c>
      <c r="L468">
        <v>28628</v>
      </c>
      <c r="M468">
        <v>9.5100000000000004E-2</v>
      </c>
      <c r="N468" t="s">
        <v>3517</v>
      </c>
      <c r="O468" t="s">
        <v>6454</v>
      </c>
    </row>
    <row r="469" spans="1:15" x14ac:dyDescent="0.25">
      <c r="A469" t="s">
        <v>564</v>
      </c>
      <c r="B469" t="s">
        <v>30</v>
      </c>
      <c r="C469" t="s">
        <v>390</v>
      </c>
      <c r="D469" t="s">
        <v>5428</v>
      </c>
      <c r="E469" t="s">
        <v>6455</v>
      </c>
      <c r="F469" t="s">
        <v>6456</v>
      </c>
      <c r="G469" t="s">
        <v>6457</v>
      </c>
      <c r="H469" t="s">
        <v>3141</v>
      </c>
      <c r="I469" t="s">
        <v>6458</v>
      </c>
      <c r="J469" t="s">
        <v>4639</v>
      </c>
      <c r="K469" t="s">
        <v>132</v>
      </c>
      <c r="L469">
        <v>28362</v>
      </c>
      <c r="M469">
        <v>4.9599999999999998E-2</v>
      </c>
      <c r="N469" t="s">
        <v>3517</v>
      </c>
      <c r="O469" t="s">
        <v>6459</v>
      </c>
    </row>
    <row r="470" spans="1:15" x14ac:dyDescent="0.25">
      <c r="A470" t="s">
        <v>564</v>
      </c>
      <c r="B470" t="s">
        <v>30</v>
      </c>
      <c r="C470" t="s">
        <v>4707</v>
      </c>
      <c r="D470" t="s">
        <v>4708</v>
      </c>
      <c r="E470" t="s">
        <v>6460</v>
      </c>
      <c r="F470" t="s">
        <v>6461</v>
      </c>
      <c r="G470" t="s">
        <v>6462</v>
      </c>
      <c r="I470" t="s">
        <v>6463</v>
      </c>
      <c r="J470" t="s">
        <v>4797</v>
      </c>
      <c r="K470" t="s">
        <v>5205</v>
      </c>
      <c r="L470">
        <v>28279</v>
      </c>
      <c r="M470">
        <v>0.19620000000000001</v>
      </c>
      <c r="N470" t="s">
        <v>3517</v>
      </c>
      <c r="O470" t="s">
        <v>6464</v>
      </c>
    </row>
    <row r="471" spans="1:15" x14ac:dyDescent="0.25">
      <c r="A471" t="s">
        <v>564</v>
      </c>
      <c r="B471" t="s">
        <v>30</v>
      </c>
      <c r="C471" t="s">
        <v>6122</v>
      </c>
      <c r="D471" t="s">
        <v>6123</v>
      </c>
      <c r="E471" t="s">
        <v>6465</v>
      </c>
      <c r="F471" t="s">
        <v>6466</v>
      </c>
      <c r="G471" t="s">
        <v>6467</v>
      </c>
      <c r="I471" t="s">
        <v>6468</v>
      </c>
      <c r="J471" t="s">
        <v>4934</v>
      </c>
      <c r="K471" t="s">
        <v>3831</v>
      </c>
      <c r="L471">
        <v>28137</v>
      </c>
      <c r="M471">
        <v>9.3200000000000005E-2</v>
      </c>
      <c r="N471" t="s">
        <v>3517</v>
      </c>
      <c r="O471" t="s">
        <v>6469</v>
      </c>
    </row>
    <row r="472" spans="1:15" x14ac:dyDescent="0.25">
      <c r="A472" t="s">
        <v>564</v>
      </c>
      <c r="B472" t="s">
        <v>30</v>
      </c>
      <c r="C472" t="s">
        <v>349</v>
      </c>
      <c r="D472" t="s">
        <v>4529</v>
      </c>
      <c r="E472" t="s">
        <v>6470</v>
      </c>
      <c r="F472" t="s">
        <v>6471</v>
      </c>
      <c r="G472" t="s">
        <v>6472</v>
      </c>
      <c r="I472" t="s">
        <v>6473</v>
      </c>
      <c r="J472" t="s">
        <v>5082</v>
      </c>
      <c r="K472" t="s">
        <v>3972</v>
      </c>
      <c r="L472">
        <v>27816</v>
      </c>
      <c r="M472">
        <v>9.4700000000000006E-2</v>
      </c>
      <c r="N472" t="s">
        <v>3517</v>
      </c>
      <c r="O472" t="s">
        <v>6474</v>
      </c>
    </row>
    <row r="473" spans="1:15" x14ac:dyDescent="0.25">
      <c r="A473" t="s">
        <v>564</v>
      </c>
      <c r="B473" t="s">
        <v>30</v>
      </c>
      <c r="C473" t="s">
        <v>5709</v>
      </c>
      <c r="D473" t="s">
        <v>5710</v>
      </c>
      <c r="E473" t="s">
        <v>6475</v>
      </c>
      <c r="F473" t="s">
        <v>6476</v>
      </c>
      <c r="G473" t="s">
        <v>6477</v>
      </c>
      <c r="H473" t="s">
        <v>3564</v>
      </c>
      <c r="I473" t="s">
        <v>6478</v>
      </c>
      <c r="J473" t="s">
        <v>5231</v>
      </c>
      <c r="K473" t="s">
        <v>4758</v>
      </c>
      <c r="L473">
        <v>27742</v>
      </c>
      <c r="M473">
        <v>5.1999999999999998E-2</v>
      </c>
      <c r="N473" t="s">
        <v>3517</v>
      </c>
      <c r="O473" t="s">
        <v>6479</v>
      </c>
    </row>
    <row r="474" spans="1:15" x14ac:dyDescent="0.25">
      <c r="A474" t="s">
        <v>564</v>
      </c>
      <c r="B474" t="s">
        <v>30</v>
      </c>
      <c r="C474" t="s">
        <v>3569</v>
      </c>
      <c r="D474" t="s">
        <v>3570</v>
      </c>
      <c r="E474" t="s">
        <v>6480</v>
      </c>
      <c r="F474" t="s">
        <v>6481</v>
      </c>
      <c r="G474" t="s">
        <v>6482</v>
      </c>
      <c r="I474" t="s">
        <v>6483</v>
      </c>
      <c r="J474" t="s">
        <v>5367</v>
      </c>
      <c r="K474" t="s">
        <v>132</v>
      </c>
      <c r="L474">
        <v>27222</v>
      </c>
      <c r="M474">
        <v>0.02</v>
      </c>
      <c r="N474" t="s">
        <v>3517</v>
      </c>
      <c r="O474" t="s">
        <v>6484</v>
      </c>
    </row>
    <row r="475" spans="1:15" x14ac:dyDescent="0.25">
      <c r="A475" t="s">
        <v>564</v>
      </c>
      <c r="B475" t="s">
        <v>30</v>
      </c>
      <c r="C475" t="s">
        <v>5822</v>
      </c>
      <c r="D475" t="s">
        <v>5823</v>
      </c>
      <c r="E475" t="s">
        <v>6485</v>
      </c>
      <c r="F475" t="s">
        <v>6486</v>
      </c>
      <c r="G475" t="s">
        <v>6487</v>
      </c>
      <c r="I475" t="s">
        <v>6488</v>
      </c>
      <c r="J475" t="s">
        <v>5508</v>
      </c>
      <c r="K475" t="s">
        <v>6489</v>
      </c>
      <c r="L475">
        <v>27192</v>
      </c>
      <c r="M475">
        <v>0.1052</v>
      </c>
      <c r="N475" t="s">
        <v>3517</v>
      </c>
      <c r="O475" t="s">
        <v>6490</v>
      </c>
    </row>
    <row r="476" spans="1:15" x14ac:dyDescent="0.25">
      <c r="A476" t="s">
        <v>564</v>
      </c>
      <c r="B476" t="s">
        <v>30</v>
      </c>
      <c r="C476" t="s">
        <v>150</v>
      </c>
      <c r="D476" t="s">
        <v>3964</v>
      </c>
      <c r="E476" t="s">
        <v>2044</v>
      </c>
      <c r="F476" t="s">
        <v>2043</v>
      </c>
      <c r="G476" t="s">
        <v>6491</v>
      </c>
      <c r="H476" t="s">
        <v>3564</v>
      </c>
      <c r="I476" t="s">
        <v>6492</v>
      </c>
      <c r="J476" t="s">
        <v>4985</v>
      </c>
      <c r="K476" t="s">
        <v>4307</v>
      </c>
      <c r="L476">
        <v>27081</v>
      </c>
      <c r="M476">
        <v>0.21840000000000001</v>
      </c>
      <c r="N476" t="s">
        <v>3517</v>
      </c>
      <c r="O476" t="s">
        <v>2045</v>
      </c>
    </row>
    <row r="477" spans="1:15" x14ac:dyDescent="0.25">
      <c r="A477" t="s">
        <v>564</v>
      </c>
      <c r="B477" t="s">
        <v>30</v>
      </c>
      <c r="C477" t="s">
        <v>150</v>
      </c>
      <c r="D477" t="s">
        <v>3964</v>
      </c>
      <c r="E477" t="s">
        <v>2049</v>
      </c>
      <c r="F477" t="s">
        <v>2048</v>
      </c>
      <c r="G477" t="s">
        <v>6493</v>
      </c>
      <c r="H477" t="s">
        <v>3564</v>
      </c>
      <c r="I477" t="s">
        <v>6494</v>
      </c>
      <c r="J477" t="s">
        <v>3730</v>
      </c>
      <c r="K477" t="s">
        <v>4909</v>
      </c>
      <c r="L477">
        <v>26940</v>
      </c>
      <c r="M477">
        <v>0.18099999999999999</v>
      </c>
      <c r="N477" t="s">
        <v>3517</v>
      </c>
      <c r="O477" t="s">
        <v>2050</v>
      </c>
    </row>
    <row r="478" spans="1:15" x14ac:dyDescent="0.25">
      <c r="A478" t="s">
        <v>564</v>
      </c>
      <c r="B478" t="s">
        <v>30</v>
      </c>
      <c r="C478" t="s">
        <v>6495</v>
      </c>
      <c r="D478" t="s">
        <v>6496</v>
      </c>
      <c r="E478" t="s">
        <v>6497</v>
      </c>
      <c r="F478" t="s">
        <v>6498</v>
      </c>
      <c r="G478" t="s">
        <v>6499</v>
      </c>
      <c r="H478" t="s">
        <v>3786</v>
      </c>
      <c r="I478" t="s">
        <v>6500</v>
      </c>
      <c r="J478" t="s">
        <v>3897</v>
      </c>
      <c r="K478" t="s">
        <v>132</v>
      </c>
      <c r="L478">
        <v>26878</v>
      </c>
      <c r="M478">
        <v>2.0299999999999999E-2</v>
      </c>
      <c r="N478" t="s">
        <v>3517</v>
      </c>
      <c r="O478" t="s">
        <v>6501</v>
      </c>
    </row>
    <row r="479" spans="1:15" x14ac:dyDescent="0.25">
      <c r="A479" t="s">
        <v>564</v>
      </c>
      <c r="B479" t="s">
        <v>30</v>
      </c>
      <c r="C479" t="s">
        <v>5775</v>
      </c>
      <c r="D479" t="s">
        <v>5776</v>
      </c>
      <c r="E479" t="s">
        <v>6502</v>
      </c>
      <c r="F479" t="s">
        <v>6503</v>
      </c>
      <c r="G479" t="s">
        <v>6504</v>
      </c>
      <c r="I479" t="s">
        <v>6505</v>
      </c>
      <c r="J479" t="s">
        <v>4054</v>
      </c>
      <c r="K479" t="s">
        <v>4145</v>
      </c>
      <c r="L479">
        <v>26579</v>
      </c>
      <c r="M479">
        <v>7.2300000000000003E-2</v>
      </c>
      <c r="N479" t="s">
        <v>3517</v>
      </c>
      <c r="O479" t="s">
        <v>6506</v>
      </c>
    </row>
    <row r="480" spans="1:15" x14ac:dyDescent="0.25">
      <c r="A480" t="s">
        <v>564</v>
      </c>
      <c r="B480" t="s">
        <v>30</v>
      </c>
      <c r="C480" t="s">
        <v>150</v>
      </c>
      <c r="D480" t="s">
        <v>3964</v>
      </c>
      <c r="E480" t="s">
        <v>2059</v>
      </c>
      <c r="F480" t="s">
        <v>2058</v>
      </c>
      <c r="G480" t="s">
        <v>6507</v>
      </c>
      <c r="H480" t="s">
        <v>3564</v>
      </c>
      <c r="I480" t="s">
        <v>6508</v>
      </c>
      <c r="J480" t="s">
        <v>4207</v>
      </c>
      <c r="K480" t="s">
        <v>5177</v>
      </c>
      <c r="L480">
        <v>25623</v>
      </c>
      <c r="M480">
        <v>0.16270000000000001</v>
      </c>
      <c r="N480" t="s">
        <v>3517</v>
      </c>
      <c r="O480" t="s">
        <v>2060</v>
      </c>
    </row>
    <row r="481" spans="1:15" x14ac:dyDescent="0.25">
      <c r="A481" t="s">
        <v>564</v>
      </c>
      <c r="B481" t="s">
        <v>30</v>
      </c>
      <c r="C481" t="s">
        <v>6025</v>
      </c>
      <c r="D481" t="s">
        <v>6026</v>
      </c>
      <c r="E481" t="s">
        <v>6509</v>
      </c>
      <c r="F481" t="s">
        <v>6510</v>
      </c>
      <c r="G481" t="s">
        <v>6511</v>
      </c>
      <c r="I481" t="s">
        <v>6512</v>
      </c>
      <c r="J481" t="s">
        <v>4358</v>
      </c>
      <c r="K481" t="s">
        <v>5169</v>
      </c>
      <c r="L481">
        <v>25494</v>
      </c>
      <c r="M481">
        <v>0.219</v>
      </c>
      <c r="N481" t="s">
        <v>3517</v>
      </c>
      <c r="O481" t="s">
        <v>6513</v>
      </c>
    </row>
    <row r="482" spans="1:15" x14ac:dyDescent="0.25">
      <c r="A482" t="s">
        <v>564</v>
      </c>
      <c r="B482" t="s">
        <v>30</v>
      </c>
      <c r="C482" t="s">
        <v>150</v>
      </c>
      <c r="D482" t="s">
        <v>3964</v>
      </c>
      <c r="E482" t="s">
        <v>2064</v>
      </c>
      <c r="F482" t="s">
        <v>2063</v>
      </c>
      <c r="G482" t="s">
        <v>6514</v>
      </c>
      <c r="H482" t="s">
        <v>3564</v>
      </c>
      <c r="I482" t="s">
        <v>6515</v>
      </c>
      <c r="J482" t="s">
        <v>4513</v>
      </c>
      <c r="K482" t="s">
        <v>5311</v>
      </c>
      <c r="L482">
        <v>25485</v>
      </c>
      <c r="M482">
        <v>0.12809999999999999</v>
      </c>
      <c r="N482" t="s">
        <v>3517</v>
      </c>
      <c r="O482" t="s">
        <v>2065</v>
      </c>
    </row>
    <row r="483" spans="1:15" x14ac:dyDescent="0.25">
      <c r="A483" t="s">
        <v>564</v>
      </c>
      <c r="B483" t="s">
        <v>30</v>
      </c>
      <c r="C483" t="s">
        <v>5146</v>
      </c>
      <c r="D483" t="s">
        <v>5147</v>
      </c>
      <c r="E483" t="s">
        <v>6516</v>
      </c>
      <c r="F483" t="s">
        <v>6517</v>
      </c>
      <c r="G483" t="s">
        <v>6518</v>
      </c>
      <c r="I483" t="s">
        <v>6519</v>
      </c>
      <c r="J483" t="s">
        <v>4646</v>
      </c>
      <c r="K483" t="s">
        <v>3731</v>
      </c>
      <c r="L483">
        <v>25433</v>
      </c>
      <c r="M483">
        <v>5.0199999999999988E-2</v>
      </c>
      <c r="N483" t="s">
        <v>3517</v>
      </c>
      <c r="O483" t="s">
        <v>6520</v>
      </c>
    </row>
    <row r="484" spans="1:15" x14ac:dyDescent="0.25">
      <c r="A484" t="s">
        <v>564</v>
      </c>
      <c r="B484" t="s">
        <v>30</v>
      </c>
      <c r="C484" t="s">
        <v>5146</v>
      </c>
      <c r="D484" t="s">
        <v>5147</v>
      </c>
      <c r="E484" t="s">
        <v>6521</v>
      </c>
      <c r="F484" t="s">
        <v>6522</v>
      </c>
      <c r="G484" t="s">
        <v>6523</v>
      </c>
      <c r="H484" t="s">
        <v>3564</v>
      </c>
      <c r="I484" t="s">
        <v>6524</v>
      </c>
      <c r="J484" t="s">
        <v>4803</v>
      </c>
      <c r="K484" t="s">
        <v>4528</v>
      </c>
      <c r="L484">
        <v>25387</v>
      </c>
      <c r="M484">
        <v>0.18140000000000001</v>
      </c>
      <c r="N484" t="s">
        <v>3517</v>
      </c>
      <c r="O484" t="s">
        <v>6525</v>
      </c>
    </row>
    <row r="485" spans="1:15" x14ac:dyDescent="0.25">
      <c r="A485" t="s">
        <v>564</v>
      </c>
      <c r="B485" t="s">
        <v>30</v>
      </c>
      <c r="C485" t="s">
        <v>150</v>
      </c>
      <c r="D485" t="s">
        <v>3964</v>
      </c>
      <c r="E485" t="s">
        <v>2069</v>
      </c>
      <c r="F485" t="s">
        <v>2068</v>
      </c>
      <c r="G485" t="s">
        <v>6526</v>
      </c>
      <c r="I485" t="s">
        <v>6527</v>
      </c>
      <c r="J485" t="s">
        <v>4942</v>
      </c>
      <c r="K485" t="s">
        <v>132</v>
      </c>
      <c r="L485">
        <v>25279</v>
      </c>
      <c r="M485">
        <v>0.76859999999999995</v>
      </c>
      <c r="N485" t="s">
        <v>3517</v>
      </c>
      <c r="O485" t="s">
        <v>2070</v>
      </c>
    </row>
    <row r="486" spans="1:15" x14ac:dyDescent="0.25">
      <c r="A486" t="s">
        <v>564</v>
      </c>
      <c r="B486" t="s">
        <v>30</v>
      </c>
      <c r="C486" t="s">
        <v>391</v>
      </c>
      <c r="D486" t="s">
        <v>4118</v>
      </c>
      <c r="E486" t="s">
        <v>6528</v>
      </c>
      <c r="F486" t="s">
        <v>6529</v>
      </c>
      <c r="G486" t="s">
        <v>6530</v>
      </c>
      <c r="H486" t="s">
        <v>3140</v>
      </c>
      <c r="I486" t="s">
        <v>6531</v>
      </c>
      <c r="J486" t="s">
        <v>5091</v>
      </c>
      <c r="K486" t="s">
        <v>132</v>
      </c>
      <c r="L486">
        <v>25049</v>
      </c>
      <c r="M486">
        <v>9.1300000000000006E-2</v>
      </c>
      <c r="N486" t="s">
        <v>3517</v>
      </c>
      <c r="O486" t="s">
        <v>6532</v>
      </c>
    </row>
    <row r="487" spans="1:15" x14ac:dyDescent="0.25">
      <c r="A487" t="s">
        <v>564</v>
      </c>
      <c r="B487" t="s">
        <v>30</v>
      </c>
      <c r="C487" t="s">
        <v>6533</v>
      </c>
      <c r="D487" t="s">
        <v>6534</v>
      </c>
      <c r="E487" t="s">
        <v>6535</v>
      </c>
      <c r="F487" t="s">
        <v>6536</v>
      </c>
      <c r="G487" t="s">
        <v>6537</v>
      </c>
      <c r="I487" t="s">
        <v>6538</v>
      </c>
      <c r="J487" t="s">
        <v>5237</v>
      </c>
      <c r="K487" t="s">
        <v>3649</v>
      </c>
      <c r="L487">
        <v>24502</v>
      </c>
      <c r="M487">
        <v>4.7E-2</v>
      </c>
      <c r="N487" t="s">
        <v>3517</v>
      </c>
      <c r="O487" t="s">
        <v>6539</v>
      </c>
    </row>
    <row r="488" spans="1:15" x14ac:dyDescent="0.25">
      <c r="A488" t="s">
        <v>564</v>
      </c>
      <c r="B488" t="s">
        <v>30</v>
      </c>
      <c r="C488" t="s">
        <v>390</v>
      </c>
      <c r="D488" t="s">
        <v>5428</v>
      </c>
      <c r="E488" t="s">
        <v>6540</v>
      </c>
      <c r="F488" t="s">
        <v>6541</v>
      </c>
      <c r="G488" t="s">
        <v>6542</v>
      </c>
      <c r="H488" t="s">
        <v>3564</v>
      </c>
      <c r="I488" t="s">
        <v>6543</v>
      </c>
      <c r="J488" t="s">
        <v>5373</v>
      </c>
      <c r="K488" t="s">
        <v>3730</v>
      </c>
      <c r="L488">
        <v>24483</v>
      </c>
      <c r="M488">
        <v>1.1900000000000001E-2</v>
      </c>
      <c r="N488" t="s">
        <v>3517</v>
      </c>
      <c r="O488" t="s">
        <v>6544</v>
      </c>
    </row>
    <row r="489" spans="1:15" x14ac:dyDescent="0.25">
      <c r="A489" t="s">
        <v>564</v>
      </c>
      <c r="B489" t="s">
        <v>30</v>
      </c>
      <c r="C489" t="s">
        <v>6122</v>
      </c>
      <c r="D489" t="s">
        <v>6123</v>
      </c>
      <c r="E489" t="s">
        <v>6545</v>
      </c>
      <c r="F489" t="s">
        <v>6546</v>
      </c>
      <c r="G489" t="s">
        <v>6547</v>
      </c>
      <c r="I489" t="s">
        <v>6548</v>
      </c>
      <c r="J489" t="s">
        <v>5514</v>
      </c>
      <c r="K489" t="s">
        <v>3143</v>
      </c>
      <c r="L489">
        <v>24268</v>
      </c>
      <c r="M489">
        <v>7.1500000000000008E-2</v>
      </c>
      <c r="N489" t="s">
        <v>3517</v>
      </c>
      <c r="O489" t="s">
        <v>6549</v>
      </c>
    </row>
    <row r="490" spans="1:15" x14ac:dyDescent="0.25">
      <c r="A490" t="s">
        <v>564</v>
      </c>
      <c r="B490" t="s">
        <v>30</v>
      </c>
      <c r="C490" t="s">
        <v>5709</v>
      </c>
      <c r="D490" t="s">
        <v>5710</v>
      </c>
      <c r="E490" t="s">
        <v>6550</v>
      </c>
      <c r="F490" t="s">
        <v>6551</v>
      </c>
      <c r="G490" t="s">
        <v>6552</v>
      </c>
      <c r="I490" t="s">
        <v>6553</v>
      </c>
      <c r="J490" t="s">
        <v>5650</v>
      </c>
      <c r="K490" t="s">
        <v>6554</v>
      </c>
      <c r="L490">
        <v>24174</v>
      </c>
      <c r="M490">
        <v>6.0199999999999997E-2</v>
      </c>
      <c r="N490" t="s">
        <v>3517</v>
      </c>
      <c r="O490" t="s">
        <v>6555</v>
      </c>
    </row>
    <row r="491" spans="1:15" x14ac:dyDescent="0.25">
      <c r="A491" t="s">
        <v>564</v>
      </c>
      <c r="B491" t="s">
        <v>30</v>
      </c>
      <c r="C491" t="s">
        <v>6405</v>
      </c>
      <c r="D491" t="s">
        <v>6406</v>
      </c>
      <c r="E491" t="s">
        <v>6556</v>
      </c>
      <c r="F491" t="s">
        <v>6557</v>
      </c>
      <c r="G491" t="s">
        <v>6558</v>
      </c>
      <c r="H491" t="s">
        <v>3140</v>
      </c>
      <c r="I491" t="s">
        <v>6559</v>
      </c>
      <c r="J491" t="s">
        <v>3736</v>
      </c>
      <c r="K491" t="s">
        <v>132</v>
      </c>
      <c r="L491">
        <v>23875</v>
      </c>
      <c r="M491">
        <v>0.1701</v>
      </c>
      <c r="N491" t="s">
        <v>3517</v>
      </c>
      <c r="O491" t="s">
        <v>6560</v>
      </c>
    </row>
    <row r="492" spans="1:15" x14ac:dyDescent="0.25">
      <c r="A492" t="s">
        <v>564</v>
      </c>
      <c r="B492" t="s">
        <v>30</v>
      </c>
      <c r="C492" t="s">
        <v>6141</v>
      </c>
      <c r="D492" t="s">
        <v>6142</v>
      </c>
      <c r="E492" t="s">
        <v>6561</v>
      </c>
      <c r="F492" t="s">
        <v>6562</v>
      </c>
      <c r="G492" t="s">
        <v>6563</v>
      </c>
      <c r="H492" t="s">
        <v>3140</v>
      </c>
      <c r="I492" t="s">
        <v>6564</v>
      </c>
      <c r="J492" t="s">
        <v>3906</v>
      </c>
      <c r="K492" t="s">
        <v>132</v>
      </c>
      <c r="L492">
        <v>23816</v>
      </c>
      <c r="M492">
        <v>4.5100000000000001E-2</v>
      </c>
      <c r="N492" t="s">
        <v>3517</v>
      </c>
      <c r="O492" t="s">
        <v>6565</v>
      </c>
    </row>
    <row r="493" spans="1:15" x14ac:dyDescent="0.25">
      <c r="A493" t="s">
        <v>564</v>
      </c>
      <c r="B493" t="s">
        <v>30</v>
      </c>
      <c r="C493" t="s">
        <v>6566</v>
      </c>
      <c r="D493" t="s">
        <v>6567</v>
      </c>
      <c r="E493" t="s">
        <v>6568</v>
      </c>
      <c r="F493" t="s">
        <v>6569</v>
      </c>
      <c r="G493" t="s">
        <v>6570</v>
      </c>
      <c r="I493" t="s">
        <v>6571</v>
      </c>
      <c r="J493" t="s">
        <v>4063</v>
      </c>
      <c r="K493" t="s">
        <v>6572</v>
      </c>
      <c r="L493">
        <v>23385</v>
      </c>
      <c r="M493">
        <v>0.19409999999999999</v>
      </c>
      <c r="N493" t="s">
        <v>3517</v>
      </c>
      <c r="O493" t="s">
        <v>6573</v>
      </c>
    </row>
    <row r="494" spans="1:15" x14ac:dyDescent="0.25">
      <c r="A494" t="s">
        <v>564</v>
      </c>
      <c r="B494" t="s">
        <v>30</v>
      </c>
      <c r="C494" t="s">
        <v>5146</v>
      </c>
      <c r="D494" t="s">
        <v>5147</v>
      </c>
      <c r="E494" t="s">
        <v>6574</v>
      </c>
      <c r="F494" t="s">
        <v>6575</v>
      </c>
      <c r="G494" t="s">
        <v>6576</v>
      </c>
      <c r="I494" t="s">
        <v>6577</v>
      </c>
      <c r="J494" t="s">
        <v>4216</v>
      </c>
      <c r="K494" t="s">
        <v>4542</v>
      </c>
      <c r="L494">
        <v>23289</v>
      </c>
      <c r="M494">
        <v>0.13150000000000001</v>
      </c>
      <c r="N494" t="s">
        <v>3517</v>
      </c>
      <c r="O494" t="s">
        <v>6578</v>
      </c>
    </row>
    <row r="495" spans="1:15" x14ac:dyDescent="0.25">
      <c r="A495" t="s">
        <v>564</v>
      </c>
      <c r="B495" t="s">
        <v>30</v>
      </c>
      <c r="C495" t="s">
        <v>6134</v>
      </c>
      <c r="D495" t="s">
        <v>6135</v>
      </c>
      <c r="E495" t="s">
        <v>6579</v>
      </c>
      <c r="F495" t="s">
        <v>6580</v>
      </c>
      <c r="G495" t="s">
        <v>6581</v>
      </c>
      <c r="H495" t="s">
        <v>3140</v>
      </c>
      <c r="I495" t="s">
        <v>6582</v>
      </c>
      <c r="J495" t="s">
        <v>4362</v>
      </c>
      <c r="K495" t="s">
        <v>132</v>
      </c>
      <c r="L495">
        <v>22722</v>
      </c>
      <c r="M495">
        <v>0.1142</v>
      </c>
      <c r="N495" t="s">
        <v>3517</v>
      </c>
      <c r="O495" t="s">
        <v>6583</v>
      </c>
    </row>
    <row r="496" spans="1:15" x14ac:dyDescent="0.25">
      <c r="A496" t="s">
        <v>564</v>
      </c>
      <c r="B496" t="s">
        <v>30</v>
      </c>
      <c r="C496" t="s">
        <v>6233</v>
      </c>
      <c r="D496" t="s">
        <v>6234</v>
      </c>
      <c r="E496" t="s">
        <v>6584</v>
      </c>
      <c r="F496" t="s">
        <v>6585</v>
      </c>
      <c r="G496" t="s">
        <v>6586</v>
      </c>
      <c r="H496" t="s">
        <v>3140</v>
      </c>
      <c r="I496" t="s">
        <v>6587</v>
      </c>
      <c r="J496" t="s">
        <v>4522</v>
      </c>
      <c r="K496" t="s">
        <v>132</v>
      </c>
      <c r="L496">
        <v>22677</v>
      </c>
      <c r="M496">
        <v>9.3100000000000002E-2</v>
      </c>
      <c r="N496" t="s">
        <v>3517</v>
      </c>
      <c r="O496" t="s">
        <v>6588</v>
      </c>
    </row>
    <row r="497" spans="1:15" x14ac:dyDescent="0.25">
      <c r="A497" t="s">
        <v>564</v>
      </c>
      <c r="B497" t="s">
        <v>30</v>
      </c>
      <c r="C497" t="s">
        <v>6589</v>
      </c>
      <c r="D497" t="s">
        <v>6590</v>
      </c>
      <c r="E497" t="s">
        <v>6591</v>
      </c>
      <c r="F497" t="s">
        <v>6592</v>
      </c>
      <c r="G497" t="s">
        <v>6593</v>
      </c>
      <c r="I497" t="s">
        <v>6594</v>
      </c>
      <c r="J497" t="s">
        <v>4654</v>
      </c>
      <c r="K497" t="s">
        <v>3731</v>
      </c>
      <c r="L497">
        <v>22524</v>
      </c>
      <c r="M497">
        <v>8.8399999999999992E-2</v>
      </c>
      <c r="N497" t="s">
        <v>3517</v>
      </c>
      <c r="O497" t="s">
        <v>6595</v>
      </c>
    </row>
    <row r="498" spans="1:15" x14ac:dyDescent="0.25">
      <c r="A498" t="s">
        <v>564</v>
      </c>
      <c r="B498" t="s">
        <v>30</v>
      </c>
      <c r="C498" t="s">
        <v>6449</v>
      </c>
      <c r="D498" t="s">
        <v>6450</v>
      </c>
      <c r="E498" t="s">
        <v>6596</v>
      </c>
      <c r="F498" t="s">
        <v>6597</v>
      </c>
      <c r="G498" t="s">
        <v>6598</v>
      </c>
      <c r="H498" t="s">
        <v>3140</v>
      </c>
      <c r="I498" t="s">
        <v>6599</v>
      </c>
      <c r="J498" t="s">
        <v>4811</v>
      </c>
      <c r="K498" t="s">
        <v>132</v>
      </c>
      <c r="L498">
        <v>22472</v>
      </c>
      <c r="M498">
        <v>9.7799999999999998E-2</v>
      </c>
      <c r="N498" t="s">
        <v>3517</v>
      </c>
      <c r="O498" t="s">
        <v>6600</v>
      </c>
    </row>
    <row r="499" spans="1:15" x14ac:dyDescent="0.25">
      <c r="A499" t="s">
        <v>564</v>
      </c>
      <c r="B499" t="s">
        <v>30</v>
      </c>
      <c r="C499" t="s">
        <v>391</v>
      </c>
      <c r="D499" t="s">
        <v>4118</v>
      </c>
      <c r="E499" t="s">
        <v>6601</v>
      </c>
      <c r="F499" t="s">
        <v>6602</v>
      </c>
      <c r="G499" t="s">
        <v>6603</v>
      </c>
      <c r="I499" t="s">
        <v>6604</v>
      </c>
      <c r="J499" t="s">
        <v>4948</v>
      </c>
      <c r="K499" t="s">
        <v>3967</v>
      </c>
      <c r="L499">
        <v>22288</v>
      </c>
      <c r="M499">
        <v>5.9499999999999997E-2</v>
      </c>
      <c r="N499" t="s">
        <v>3517</v>
      </c>
      <c r="O499" t="s">
        <v>6605</v>
      </c>
    </row>
    <row r="500" spans="1:15" x14ac:dyDescent="0.25">
      <c r="A500" t="s">
        <v>564</v>
      </c>
      <c r="B500" t="s">
        <v>30</v>
      </c>
      <c r="C500" t="s">
        <v>6606</v>
      </c>
      <c r="D500" t="s">
        <v>6607</v>
      </c>
      <c r="E500" t="s">
        <v>6608</v>
      </c>
      <c r="F500" t="s">
        <v>6609</v>
      </c>
      <c r="G500" t="s">
        <v>6610</v>
      </c>
      <c r="I500" t="s">
        <v>6611</v>
      </c>
      <c r="J500" t="s">
        <v>5098</v>
      </c>
      <c r="K500" t="s">
        <v>4108</v>
      </c>
      <c r="L500">
        <v>22157</v>
      </c>
      <c r="M500">
        <v>0.17199999999999999</v>
      </c>
      <c r="N500" t="s">
        <v>3517</v>
      </c>
      <c r="O500" t="s">
        <v>6612</v>
      </c>
    </row>
    <row r="501" spans="1:15" x14ac:dyDescent="0.25">
      <c r="A501" t="s">
        <v>564</v>
      </c>
      <c r="B501" t="s">
        <v>30</v>
      </c>
      <c r="C501" t="s">
        <v>5984</v>
      </c>
      <c r="D501" t="s">
        <v>5985</v>
      </c>
      <c r="E501" t="s">
        <v>6613</v>
      </c>
      <c r="F501" t="s">
        <v>6614</v>
      </c>
      <c r="G501" t="s">
        <v>6615</v>
      </c>
      <c r="H501" t="s">
        <v>3657</v>
      </c>
      <c r="I501" t="s">
        <v>6616</v>
      </c>
      <c r="J501" t="s">
        <v>5243</v>
      </c>
      <c r="K501" t="s">
        <v>132</v>
      </c>
      <c r="L501">
        <v>22034</v>
      </c>
      <c r="M501">
        <v>0.1454</v>
      </c>
      <c r="N501" t="s">
        <v>3517</v>
      </c>
      <c r="O501" t="s">
        <v>6617</v>
      </c>
    </row>
    <row r="502" spans="1:15" x14ac:dyDescent="0.25">
      <c r="A502" t="s">
        <v>564</v>
      </c>
      <c r="B502" t="s">
        <v>30</v>
      </c>
      <c r="C502" t="s">
        <v>390</v>
      </c>
      <c r="D502" t="s">
        <v>5428</v>
      </c>
      <c r="E502" t="s">
        <v>6618</v>
      </c>
      <c r="F502" t="s">
        <v>6619</v>
      </c>
      <c r="G502" t="s">
        <v>6620</v>
      </c>
      <c r="H502" t="s">
        <v>3564</v>
      </c>
      <c r="I502" t="s">
        <v>6621</v>
      </c>
      <c r="J502" t="s">
        <v>5379</v>
      </c>
      <c r="K502" t="s">
        <v>4459</v>
      </c>
      <c r="L502">
        <v>21800</v>
      </c>
      <c r="M502">
        <v>2.12E-2</v>
      </c>
      <c r="N502" t="s">
        <v>3517</v>
      </c>
      <c r="O502" t="s">
        <v>6622</v>
      </c>
    </row>
    <row r="503" spans="1:15" x14ac:dyDescent="0.25">
      <c r="A503" t="s">
        <v>564</v>
      </c>
      <c r="B503" t="s">
        <v>30</v>
      </c>
      <c r="C503" t="s">
        <v>6270</v>
      </c>
      <c r="D503" t="s">
        <v>6271</v>
      </c>
      <c r="E503" t="s">
        <v>6623</v>
      </c>
      <c r="F503" t="s">
        <v>6624</v>
      </c>
      <c r="G503" t="s">
        <v>6625</v>
      </c>
      <c r="I503" t="s">
        <v>6626</v>
      </c>
      <c r="J503" t="s">
        <v>5520</v>
      </c>
      <c r="K503" t="s">
        <v>4949</v>
      </c>
      <c r="L503">
        <v>21633</v>
      </c>
      <c r="M503">
        <v>6.54E-2</v>
      </c>
      <c r="N503" t="s">
        <v>3517</v>
      </c>
      <c r="O503" t="s">
        <v>6627</v>
      </c>
    </row>
    <row r="504" spans="1:15" x14ac:dyDescent="0.25">
      <c r="A504" t="s">
        <v>564</v>
      </c>
      <c r="B504" t="s">
        <v>30</v>
      </c>
      <c r="C504" t="s">
        <v>6628</v>
      </c>
      <c r="D504" t="s">
        <v>6629</v>
      </c>
      <c r="E504" t="s">
        <v>6630</v>
      </c>
      <c r="F504" t="s">
        <v>6631</v>
      </c>
      <c r="G504" t="s">
        <v>6632</v>
      </c>
      <c r="I504" t="s">
        <v>6633</v>
      </c>
      <c r="J504" t="s">
        <v>3962</v>
      </c>
      <c r="K504" t="s">
        <v>6373</v>
      </c>
      <c r="L504">
        <v>21488</v>
      </c>
      <c r="M504">
        <v>0.1769</v>
      </c>
      <c r="N504" t="s">
        <v>3517</v>
      </c>
      <c r="O504" t="s">
        <v>6634</v>
      </c>
    </row>
    <row r="505" spans="1:15" x14ac:dyDescent="0.25">
      <c r="A505" t="s">
        <v>564</v>
      </c>
      <c r="B505" t="s">
        <v>30</v>
      </c>
      <c r="C505" t="s">
        <v>394</v>
      </c>
      <c r="D505" t="s">
        <v>5728</v>
      </c>
      <c r="E505" t="s">
        <v>6635</v>
      </c>
      <c r="F505" t="s">
        <v>6636</v>
      </c>
      <c r="G505" t="s">
        <v>6637</v>
      </c>
      <c r="I505" t="s">
        <v>6638</v>
      </c>
      <c r="J505" t="s">
        <v>3744</v>
      </c>
      <c r="K505" t="s">
        <v>132</v>
      </c>
      <c r="L505">
        <v>21239</v>
      </c>
      <c r="M505">
        <v>0.1056</v>
      </c>
      <c r="N505" t="s">
        <v>3517</v>
      </c>
      <c r="O505" t="s">
        <v>6639</v>
      </c>
    </row>
    <row r="506" spans="1:15" x14ac:dyDescent="0.25">
      <c r="A506" t="s">
        <v>564</v>
      </c>
      <c r="B506" t="s">
        <v>30</v>
      </c>
      <c r="C506" t="s">
        <v>150</v>
      </c>
      <c r="D506" t="s">
        <v>3964</v>
      </c>
      <c r="E506" t="s">
        <v>2074</v>
      </c>
      <c r="F506" t="s">
        <v>2073</v>
      </c>
      <c r="G506" t="s">
        <v>6640</v>
      </c>
      <c r="H506" t="s">
        <v>3564</v>
      </c>
      <c r="I506" t="s">
        <v>6641</v>
      </c>
      <c r="J506" t="s">
        <v>3915</v>
      </c>
      <c r="K506" t="s">
        <v>5324</v>
      </c>
      <c r="L506">
        <v>21222</v>
      </c>
      <c r="M506">
        <v>0.2</v>
      </c>
      <c r="N506" t="s">
        <v>3517</v>
      </c>
      <c r="O506" t="s">
        <v>2075</v>
      </c>
    </row>
    <row r="507" spans="1:15" x14ac:dyDescent="0.25">
      <c r="A507" t="s">
        <v>564</v>
      </c>
      <c r="B507" t="s">
        <v>30</v>
      </c>
      <c r="C507" t="s">
        <v>5936</v>
      </c>
      <c r="D507" t="s">
        <v>5937</v>
      </c>
      <c r="E507" t="s">
        <v>6642</v>
      </c>
      <c r="F507" t="s">
        <v>6643</v>
      </c>
      <c r="G507" t="s">
        <v>6644</v>
      </c>
      <c r="H507" t="s">
        <v>3140</v>
      </c>
      <c r="I507" t="s">
        <v>6645</v>
      </c>
      <c r="J507" t="s">
        <v>4071</v>
      </c>
      <c r="K507" t="s">
        <v>132</v>
      </c>
      <c r="L507">
        <v>21160</v>
      </c>
      <c r="M507">
        <v>4.4900000000000002E-2</v>
      </c>
      <c r="N507" t="s">
        <v>3517</v>
      </c>
      <c r="O507" t="s">
        <v>6646</v>
      </c>
    </row>
    <row r="508" spans="1:15" x14ac:dyDescent="0.25">
      <c r="A508" t="s">
        <v>564</v>
      </c>
      <c r="B508" t="s">
        <v>30</v>
      </c>
      <c r="C508" t="s">
        <v>150</v>
      </c>
      <c r="D508" t="s">
        <v>3964</v>
      </c>
      <c r="E508" t="s">
        <v>2078</v>
      </c>
      <c r="F508" t="s">
        <v>1960</v>
      </c>
      <c r="G508" t="s">
        <v>6647</v>
      </c>
      <c r="I508" t="s">
        <v>6648</v>
      </c>
      <c r="J508" t="s">
        <v>4224</v>
      </c>
      <c r="K508" t="s">
        <v>4542</v>
      </c>
      <c r="L508">
        <v>20915</v>
      </c>
      <c r="M508">
        <v>3.6799999999999999E-2</v>
      </c>
      <c r="N508" t="s">
        <v>3517</v>
      </c>
      <c r="O508" t="s">
        <v>2079</v>
      </c>
    </row>
    <row r="509" spans="1:15" x14ac:dyDescent="0.25">
      <c r="A509" t="s">
        <v>564</v>
      </c>
      <c r="B509" t="s">
        <v>30</v>
      </c>
      <c r="C509" t="s">
        <v>5948</v>
      </c>
      <c r="D509" t="s">
        <v>5949</v>
      </c>
      <c r="E509" t="s">
        <v>6649</v>
      </c>
      <c r="F509" t="s">
        <v>6650</v>
      </c>
      <c r="G509" t="s">
        <v>6651</v>
      </c>
      <c r="H509" t="s">
        <v>3140</v>
      </c>
      <c r="I509" t="s">
        <v>6652</v>
      </c>
      <c r="J509" t="s">
        <v>4369</v>
      </c>
      <c r="K509" t="s">
        <v>132</v>
      </c>
      <c r="L509">
        <v>20607</v>
      </c>
      <c r="M509">
        <v>8.3499999999999991E-2</v>
      </c>
      <c r="N509" t="s">
        <v>3517</v>
      </c>
      <c r="O509" t="s">
        <v>6653</v>
      </c>
    </row>
    <row r="510" spans="1:15" x14ac:dyDescent="0.25">
      <c r="A510" t="s">
        <v>564</v>
      </c>
      <c r="B510" t="s">
        <v>30</v>
      </c>
      <c r="C510" t="s">
        <v>6414</v>
      </c>
      <c r="D510" t="s">
        <v>6415</v>
      </c>
      <c r="E510" t="s">
        <v>6654</v>
      </c>
      <c r="F510" t="s">
        <v>6655</v>
      </c>
      <c r="G510" t="s">
        <v>6656</v>
      </c>
      <c r="I510" t="s">
        <v>6657</v>
      </c>
      <c r="J510" t="s">
        <v>4527</v>
      </c>
      <c r="K510" t="s">
        <v>4949</v>
      </c>
      <c r="L510">
        <v>20449</v>
      </c>
      <c r="M510">
        <v>0.1191</v>
      </c>
      <c r="N510" t="s">
        <v>3517</v>
      </c>
      <c r="O510" t="s">
        <v>6658</v>
      </c>
    </row>
    <row r="511" spans="1:15" x14ac:dyDescent="0.25">
      <c r="A511" t="s">
        <v>564</v>
      </c>
      <c r="B511" t="s">
        <v>30</v>
      </c>
      <c r="C511" t="s">
        <v>5775</v>
      </c>
      <c r="D511" t="s">
        <v>5776</v>
      </c>
      <c r="E511" t="s">
        <v>6659</v>
      </c>
      <c r="F511" t="s">
        <v>6660</v>
      </c>
      <c r="G511" t="s">
        <v>6661</v>
      </c>
      <c r="H511" t="s">
        <v>3140</v>
      </c>
      <c r="I511" t="s">
        <v>6662</v>
      </c>
      <c r="J511" t="s">
        <v>4662</v>
      </c>
      <c r="K511" t="s">
        <v>132</v>
      </c>
      <c r="L511">
        <v>20361</v>
      </c>
      <c r="M511">
        <v>8.4499999999999992E-2</v>
      </c>
      <c r="N511" t="s">
        <v>3517</v>
      </c>
      <c r="O511" t="s">
        <v>6663</v>
      </c>
    </row>
    <row r="512" spans="1:15" x14ac:dyDescent="0.25">
      <c r="A512" t="s">
        <v>564</v>
      </c>
      <c r="B512" t="s">
        <v>30</v>
      </c>
      <c r="C512" t="s">
        <v>391</v>
      </c>
      <c r="D512" t="s">
        <v>4118</v>
      </c>
      <c r="E512" t="s">
        <v>6664</v>
      </c>
      <c r="F512" t="s">
        <v>6665</v>
      </c>
      <c r="G512" t="s">
        <v>6666</v>
      </c>
      <c r="H512" t="s">
        <v>3140</v>
      </c>
      <c r="I512" t="s">
        <v>6667</v>
      </c>
      <c r="J512" t="s">
        <v>4818</v>
      </c>
      <c r="K512" t="s">
        <v>132</v>
      </c>
      <c r="L512">
        <v>20243</v>
      </c>
      <c r="M512">
        <v>2.6100000000000002E-2</v>
      </c>
      <c r="N512" t="s">
        <v>3517</v>
      </c>
      <c r="O512" t="s">
        <v>6668</v>
      </c>
    </row>
    <row r="513" spans="1:15" x14ac:dyDescent="0.25">
      <c r="A513" t="s">
        <v>564</v>
      </c>
      <c r="B513" t="s">
        <v>30</v>
      </c>
      <c r="C513" t="s">
        <v>6068</v>
      </c>
      <c r="D513" t="s">
        <v>6069</v>
      </c>
      <c r="E513" t="s">
        <v>6669</v>
      </c>
      <c r="F513" t="s">
        <v>6670</v>
      </c>
      <c r="G513" t="s">
        <v>6671</v>
      </c>
      <c r="H513" t="s">
        <v>3140</v>
      </c>
      <c r="I513" t="s">
        <v>6672</v>
      </c>
      <c r="J513" t="s">
        <v>4955</v>
      </c>
      <c r="K513" t="s">
        <v>132</v>
      </c>
      <c r="L513">
        <v>20207</v>
      </c>
      <c r="M513">
        <v>2.6800000000000001E-2</v>
      </c>
      <c r="N513" t="s">
        <v>3517</v>
      </c>
      <c r="O513" t="s">
        <v>6673</v>
      </c>
    </row>
    <row r="514" spans="1:15" x14ac:dyDescent="0.25">
      <c r="A514" t="s">
        <v>564</v>
      </c>
      <c r="B514" t="s">
        <v>30</v>
      </c>
      <c r="C514" t="s">
        <v>5948</v>
      </c>
      <c r="D514" t="s">
        <v>5949</v>
      </c>
      <c r="E514" t="s">
        <v>6674</v>
      </c>
      <c r="F514" t="s">
        <v>6675</v>
      </c>
      <c r="G514" t="s">
        <v>6676</v>
      </c>
      <c r="H514" t="s">
        <v>3564</v>
      </c>
      <c r="I514" t="s">
        <v>6677</v>
      </c>
      <c r="J514" t="s">
        <v>5104</v>
      </c>
      <c r="K514" t="s">
        <v>5311</v>
      </c>
      <c r="L514">
        <v>20172</v>
      </c>
      <c r="M514">
        <v>4.0999999999999986E-3</v>
      </c>
      <c r="N514" t="s">
        <v>3517</v>
      </c>
      <c r="O514" t="s">
        <v>6678</v>
      </c>
    </row>
    <row r="515" spans="1:15" x14ac:dyDescent="0.25">
      <c r="A515" t="s">
        <v>564</v>
      </c>
      <c r="B515" t="s">
        <v>30</v>
      </c>
      <c r="C515" t="s">
        <v>6679</v>
      </c>
      <c r="D515" t="s">
        <v>6680</v>
      </c>
      <c r="E515" t="s">
        <v>6681</v>
      </c>
      <c r="F515" t="s">
        <v>6682</v>
      </c>
      <c r="G515" t="s">
        <v>6683</v>
      </c>
      <c r="H515" t="s">
        <v>3140</v>
      </c>
      <c r="I515" t="s">
        <v>6684</v>
      </c>
      <c r="J515" t="s">
        <v>5249</v>
      </c>
      <c r="K515" t="s">
        <v>132</v>
      </c>
      <c r="L515">
        <v>20163</v>
      </c>
      <c r="M515">
        <v>0.13450000000000001</v>
      </c>
      <c r="N515" t="s">
        <v>3517</v>
      </c>
      <c r="O515" t="s">
        <v>6685</v>
      </c>
    </row>
    <row r="516" spans="1:15" x14ac:dyDescent="0.25">
      <c r="A516" t="s">
        <v>564</v>
      </c>
      <c r="B516" t="s">
        <v>30</v>
      </c>
      <c r="C516" t="s">
        <v>4415</v>
      </c>
      <c r="D516" t="s">
        <v>4416</v>
      </c>
      <c r="E516" t="s">
        <v>6686</v>
      </c>
      <c r="F516" t="s">
        <v>6687</v>
      </c>
      <c r="G516" t="s">
        <v>6688</v>
      </c>
      <c r="I516" t="s">
        <v>6689</v>
      </c>
      <c r="J516" t="s">
        <v>5384</v>
      </c>
      <c r="K516" t="s">
        <v>3808</v>
      </c>
      <c r="L516">
        <v>19999</v>
      </c>
      <c r="M516">
        <v>0.2258</v>
      </c>
      <c r="N516" t="s">
        <v>3517</v>
      </c>
      <c r="O516" t="s">
        <v>6690</v>
      </c>
    </row>
    <row r="517" spans="1:15" x14ac:dyDescent="0.25">
      <c r="A517" t="s">
        <v>564</v>
      </c>
      <c r="B517" t="s">
        <v>30</v>
      </c>
      <c r="C517" t="s">
        <v>4021</v>
      </c>
      <c r="D517" t="s">
        <v>4022</v>
      </c>
      <c r="E517" t="s">
        <v>6691</v>
      </c>
      <c r="F517" t="s">
        <v>6692</v>
      </c>
      <c r="G517" t="s">
        <v>6693</v>
      </c>
      <c r="I517" t="s">
        <v>6694</v>
      </c>
      <c r="J517" t="s">
        <v>5526</v>
      </c>
      <c r="K517" t="s">
        <v>3141</v>
      </c>
      <c r="L517">
        <v>19978</v>
      </c>
      <c r="M517">
        <v>8.1900000000000001E-2</v>
      </c>
      <c r="N517" t="s">
        <v>3517</v>
      </c>
      <c r="O517" t="s">
        <v>6695</v>
      </c>
    </row>
    <row r="518" spans="1:15" x14ac:dyDescent="0.25">
      <c r="A518" t="s">
        <v>564</v>
      </c>
      <c r="B518" t="s">
        <v>30</v>
      </c>
      <c r="C518" t="s">
        <v>6122</v>
      </c>
      <c r="D518" t="s">
        <v>6123</v>
      </c>
      <c r="E518" t="s">
        <v>6696</v>
      </c>
      <c r="F518" t="s">
        <v>6697</v>
      </c>
      <c r="G518" t="s">
        <v>6698</v>
      </c>
      <c r="H518" t="s">
        <v>3140</v>
      </c>
      <c r="I518" t="s">
        <v>6699</v>
      </c>
      <c r="J518" t="s">
        <v>5663</v>
      </c>
      <c r="K518" t="s">
        <v>132</v>
      </c>
      <c r="L518">
        <v>19812</v>
      </c>
      <c r="M518">
        <v>6.2899999999999998E-2</v>
      </c>
      <c r="N518" t="s">
        <v>3517</v>
      </c>
      <c r="O518" t="s">
        <v>6700</v>
      </c>
    </row>
    <row r="519" spans="1:15" x14ac:dyDescent="0.25">
      <c r="A519" t="s">
        <v>564</v>
      </c>
      <c r="B519" t="s">
        <v>30</v>
      </c>
      <c r="C519" t="s">
        <v>6216</v>
      </c>
      <c r="D519" t="s">
        <v>6217</v>
      </c>
      <c r="E519" t="s">
        <v>6701</v>
      </c>
      <c r="F519" t="s">
        <v>6702</v>
      </c>
      <c r="G519" t="s">
        <v>6703</v>
      </c>
      <c r="I519" t="s">
        <v>6704</v>
      </c>
      <c r="J519" t="s">
        <v>3753</v>
      </c>
      <c r="K519" t="s">
        <v>6705</v>
      </c>
      <c r="L519">
        <v>19745</v>
      </c>
      <c r="M519">
        <v>5.0700000000000002E-2</v>
      </c>
      <c r="N519" t="s">
        <v>3517</v>
      </c>
      <c r="O519" t="s">
        <v>6706</v>
      </c>
    </row>
    <row r="520" spans="1:15" x14ac:dyDescent="0.25">
      <c r="A520" t="s">
        <v>564</v>
      </c>
      <c r="B520" t="s">
        <v>30</v>
      </c>
      <c r="C520" t="s">
        <v>6707</v>
      </c>
      <c r="D520" t="s">
        <v>6708</v>
      </c>
      <c r="E520" t="s">
        <v>6709</v>
      </c>
      <c r="F520" t="s">
        <v>6710</v>
      </c>
      <c r="G520" t="s">
        <v>6711</v>
      </c>
      <c r="I520" t="s">
        <v>6712</v>
      </c>
      <c r="J520" t="s">
        <v>3923</v>
      </c>
      <c r="K520" t="s">
        <v>4286</v>
      </c>
      <c r="L520">
        <v>19654</v>
      </c>
      <c r="M520">
        <v>5.67E-2</v>
      </c>
      <c r="N520" t="s">
        <v>3517</v>
      </c>
      <c r="O520" t="s">
        <v>6713</v>
      </c>
    </row>
    <row r="521" spans="1:15" x14ac:dyDescent="0.25">
      <c r="A521" t="s">
        <v>564</v>
      </c>
      <c r="B521" t="s">
        <v>30</v>
      </c>
      <c r="C521" t="s">
        <v>349</v>
      </c>
      <c r="D521" t="s">
        <v>4529</v>
      </c>
      <c r="E521" t="s">
        <v>6714</v>
      </c>
      <c r="F521" t="s">
        <v>6715</v>
      </c>
      <c r="G521" t="s">
        <v>6716</v>
      </c>
      <c r="H521" t="s">
        <v>3564</v>
      </c>
      <c r="I521" t="s">
        <v>6717</v>
      </c>
      <c r="J521" t="s">
        <v>4077</v>
      </c>
      <c r="K521" t="s">
        <v>3722</v>
      </c>
      <c r="L521">
        <v>19478</v>
      </c>
      <c r="M521">
        <v>5.7099999999999998E-2</v>
      </c>
      <c r="N521" t="s">
        <v>3517</v>
      </c>
      <c r="O521" t="s">
        <v>6718</v>
      </c>
    </row>
    <row r="522" spans="1:15" x14ac:dyDescent="0.25">
      <c r="A522" t="s">
        <v>564</v>
      </c>
      <c r="B522" t="s">
        <v>30</v>
      </c>
      <c r="C522" t="s">
        <v>150</v>
      </c>
      <c r="D522" t="s">
        <v>3964</v>
      </c>
      <c r="E522" t="s">
        <v>2083</v>
      </c>
      <c r="F522" t="s">
        <v>2082</v>
      </c>
      <c r="G522" t="s">
        <v>6719</v>
      </c>
      <c r="H522" t="s">
        <v>3564</v>
      </c>
      <c r="I522" t="s">
        <v>6720</v>
      </c>
      <c r="J522" t="s">
        <v>4232</v>
      </c>
      <c r="K522" t="s">
        <v>3830</v>
      </c>
      <c r="L522">
        <v>19454</v>
      </c>
      <c r="M522">
        <v>0.20219999999999999</v>
      </c>
      <c r="N522" t="s">
        <v>3517</v>
      </c>
      <c r="O522" t="s">
        <v>2084</v>
      </c>
    </row>
    <row r="523" spans="1:15" x14ac:dyDescent="0.25">
      <c r="A523" t="s">
        <v>564</v>
      </c>
      <c r="B523" t="s">
        <v>30</v>
      </c>
      <c r="C523" t="s">
        <v>393</v>
      </c>
      <c r="D523" t="s">
        <v>5808</v>
      </c>
      <c r="E523" t="s">
        <v>6721</v>
      </c>
      <c r="F523" t="s">
        <v>6722</v>
      </c>
      <c r="G523" t="s">
        <v>6723</v>
      </c>
      <c r="I523" t="s">
        <v>6724</v>
      </c>
      <c r="J523" t="s">
        <v>4376</v>
      </c>
      <c r="K523" t="s">
        <v>3649</v>
      </c>
      <c r="L523">
        <v>19290</v>
      </c>
      <c r="M523">
        <v>0.13439999999999999</v>
      </c>
      <c r="N523" t="s">
        <v>3517</v>
      </c>
      <c r="O523" t="s">
        <v>6725</v>
      </c>
    </row>
    <row r="524" spans="1:15" x14ac:dyDescent="0.25">
      <c r="A524" t="s">
        <v>564</v>
      </c>
      <c r="B524" t="s">
        <v>30</v>
      </c>
      <c r="C524" t="s">
        <v>150</v>
      </c>
      <c r="D524" t="s">
        <v>3964</v>
      </c>
      <c r="E524" t="s">
        <v>2089</v>
      </c>
      <c r="F524" t="s">
        <v>2088</v>
      </c>
      <c r="G524" t="s">
        <v>6726</v>
      </c>
      <c r="H524" t="s">
        <v>3564</v>
      </c>
      <c r="I524" t="s">
        <v>6727</v>
      </c>
      <c r="J524" t="s">
        <v>4534</v>
      </c>
      <c r="K524" t="s">
        <v>4758</v>
      </c>
      <c r="L524">
        <v>19255</v>
      </c>
      <c r="M524">
        <v>0.1051</v>
      </c>
      <c r="N524" t="s">
        <v>3517</v>
      </c>
      <c r="O524" t="s">
        <v>2090</v>
      </c>
    </row>
    <row r="525" spans="1:15" x14ac:dyDescent="0.25">
      <c r="A525" t="s">
        <v>564</v>
      </c>
      <c r="B525" t="s">
        <v>30</v>
      </c>
      <c r="C525" t="s">
        <v>6270</v>
      </c>
      <c r="D525" t="s">
        <v>6271</v>
      </c>
      <c r="E525" t="s">
        <v>6728</v>
      </c>
      <c r="F525" t="s">
        <v>6729</v>
      </c>
      <c r="G525" t="s">
        <v>6730</v>
      </c>
      <c r="I525" t="s">
        <v>6731</v>
      </c>
      <c r="J525" t="s">
        <v>4668</v>
      </c>
      <c r="K525" t="s">
        <v>132</v>
      </c>
      <c r="L525">
        <v>19153</v>
      </c>
      <c r="M525">
        <v>6.6699999999999995E-2</v>
      </c>
      <c r="N525" t="s">
        <v>3517</v>
      </c>
      <c r="O525" t="s">
        <v>6732</v>
      </c>
    </row>
    <row r="526" spans="1:15" x14ac:dyDescent="0.25">
      <c r="A526" t="s">
        <v>564</v>
      </c>
      <c r="B526" t="s">
        <v>30</v>
      </c>
      <c r="C526" t="s">
        <v>390</v>
      </c>
      <c r="D526" t="s">
        <v>5428</v>
      </c>
      <c r="E526" t="s">
        <v>6733</v>
      </c>
      <c r="F526" t="s">
        <v>6734</v>
      </c>
      <c r="G526" t="s">
        <v>6735</v>
      </c>
      <c r="H526" t="s">
        <v>3564</v>
      </c>
      <c r="I526" t="s">
        <v>6736</v>
      </c>
      <c r="J526" t="s">
        <v>4824</v>
      </c>
      <c r="K526" t="s">
        <v>3953</v>
      </c>
      <c r="L526">
        <v>19093</v>
      </c>
      <c r="M526">
        <v>5.5500000000000001E-2</v>
      </c>
      <c r="N526" t="s">
        <v>3517</v>
      </c>
      <c r="O526" t="s">
        <v>6737</v>
      </c>
    </row>
    <row r="527" spans="1:15" x14ac:dyDescent="0.25">
      <c r="A527" t="s">
        <v>564</v>
      </c>
      <c r="B527" t="s">
        <v>30</v>
      </c>
      <c r="C527" t="s">
        <v>6738</v>
      </c>
      <c r="D527" t="s">
        <v>6739</v>
      </c>
      <c r="E527" t="s">
        <v>6740</v>
      </c>
      <c r="F527" t="s">
        <v>6476</v>
      </c>
      <c r="G527" t="s">
        <v>6741</v>
      </c>
      <c r="I527" t="s">
        <v>6742</v>
      </c>
      <c r="J527" t="s">
        <v>4961</v>
      </c>
      <c r="K527" t="s">
        <v>4087</v>
      </c>
      <c r="L527">
        <v>18831</v>
      </c>
      <c r="M527">
        <v>6.9699999999999998E-2</v>
      </c>
      <c r="N527" t="s">
        <v>3517</v>
      </c>
      <c r="O527" t="s">
        <v>6743</v>
      </c>
    </row>
    <row r="528" spans="1:15" x14ac:dyDescent="0.25">
      <c r="A528" t="s">
        <v>564</v>
      </c>
      <c r="B528" t="s">
        <v>30</v>
      </c>
      <c r="C528" t="s">
        <v>6270</v>
      </c>
      <c r="D528" t="s">
        <v>6271</v>
      </c>
      <c r="E528" t="s">
        <v>6744</v>
      </c>
      <c r="F528" t="s">
        <v>6745</v>
      </c>
      <c r="G528" t="s">
        <v>6746</v>
      </c>
      <c r="H528" t="s">
        <v>3564</v>
      </c>
      <c r="I528" t="s">
        <v>6747</v>
      </c>
      <c r="J528" t="s">
        <v>5111</v>
      </c>
      <c r="K528" t="s">
        <v>3593</v>
      </c>
      <c r="L528">
        <v>18681</v>
      </c>
      <c r="M528">
        <v>5.4899999999999997E-2</v>
      </c>
      <c r="N528" t="s">
        <v>3517</v>
      </c>
      <c r="O528" t="s">
        <v>6748</v>
      </c>
    </row>
    <row r="529" spans="1:15" x14ac:dyDescent="0.25">
      <c r="A529" t="s">
        <v>564</v>
      </c>
      <c r="B529" t="s">
        <v>30</v>
      </c>
      <c r="C529" t="s">
        <v>390</v>
      </c>
      <c r="D529" t="s">
        <v>5428</v>
      </c>
      <c r="E529" t="s">
        <v>6749</v>
      </c>
      <c r="F529" t="s">
        <v>6750</v>
      </c>
      <c r="G529" t="s">
        <v>6746</v>
      </c>
      <c r="H529" t="s">
        <v>3564</v>
      </c>
      <c r="I529" t="s">
        <v>6751</v>
      </c>
      <c r="J529" t="s">
        <v>5257</v>
      </c>
      <c r="K529" t="s">
        <v>4195</v>
      </c>
      <c r="L529">
        <v>18681</v>
      </c>
      <c r="M529">
        <v>4.87E-2</v>
      </c>
      <c r="N529" t="s">
        <v>3517</v>
      </c>
      <c r="O529" t="s">
        <v>6752</v>
      </c>
    </row>
    <row r="530" spans="1:15" x14ac:dyDescent="0.25">
      <c r="A530" t="s">
        <v>564</v>
      </c>
      <c r="B530" t="s">
        <v>30</v>
      </c>
      <c r="C530" t="s">
        <v>150</v>
      </c>
      <c r="D530" t="s">
        <v>3964</v>
      </c>
      <c r="E530" t="s">
        <v>2094</v>
      </c>
      <c r="F530" t="s">
        <v>2093</v>
      </c>
      <c r="G530" t="s">
        <v>6753</v>
      </c>
      <c r="H530" t="s">
        <v>3564</v>
      </c>
      <c r="I530" t="s">
        <v>6754</v>
      </c>
      <c r="J530" t="s">
        <v>5390</v>
      </c>
      <c r="K530" t="s">
        <v>4307</v>
      </c>
      <c r="L530">
        <v>18627</v>
      </c>
      <c r="M530">
        <v>0.12889999999999999</v>
      </c>
      <c r="N530" t="s">
        <v>3517</v>
      </c>
      <c r="O530" t="s">
        <v>2095</v>
      </c>
    </row>
    <row r="531" spans="1:15" x14ac:dyDescent="0.25">
      <c r="A531" t="s">
        <v>564</v>
      </c>
      <c r="B531" t="s">
        <v>30</v>
      </c>
      <c r="C531" t="s">
        <v>6755</v>
      </c>
      <c r="D531" t="s">
        <v>6756</v>
      </c>
      <c r="E531" t="s">
        <v>6757</v>
      </c>
      <c r="F531" t="s">
        <v>6758</v>
      </c>
      <c r="G531" t="s">
        <v>6759</v>
      </c>
      <c r="I531" t="s">
        <v>6760</v>
      </c>
      <c r="J531" t="s">
        <v>5534</v>
      </c>
      <c r="K531" t="s">
        <v>132</v>
      </c>
      <c r="L531">
        <v>18484</v>
      </c>
      <c r="M531">
        <v>7.0300000000000001E-2</v>
      </c>
      <c r="N531" t="s">
        <v>3517</v>
      </c>
      <c r="O531" t="s">
        <v>6761</v>
      </c>
    </row>
    <row r="532" spans="1:15" x14ac:dyDescent="0.25">
      <c r="A532" t="s">
        <v>564</v>
      </c>
      <c r="B532" t="s">
        <v>30</v>
      </c>
      <c r="C532" t="s">
        <v>393</v>
      </c>
      <c r="D532" t="s">
        <v>5808</v>
      </c>
      <c r="E532" t="s">
        <v>6762</v>
      </c>
      <c r="F532" t="s">
        <v>6763</v>
      </c>
      <c r="G532" t="s">
        <v>6764</v>
      </c>
      <c r="I532" t="s">
        <v>6765</v>
      </c>
      <c r="J532" t="s">
        <v>5669</v>
      </c>
      <c r="K532" t="s">
        <v>132</v>
      </c>
      <c r="L532">
        <v>18437</v>
      </c>
      <c r="M532">
        <v>0.13739999999999999</v>
      </c>
      <c r="N532" t="s">
        <v>3517</v>
      </c>
      <c r="O532" t="s">
        <v>6766</v>
      </c>
    </row>
    <row r="533" spans="1:15" x14ac:dyDescent="0.25">
      <c r="A533" t="s">
        <v>564</v>
      </c>
      <c r="B533" t="s">
        <v>30</v>
      </c>
      <c r="C533" t="s">
        <v>6134</v>
      </c>
      <c r="D533" t="s">
        <v>6135</v>
      </c>
      <c r="E533" t="s">
        <v>6767</v>
      </c>
      <c r="F533" t="s">
        <v>6768</v>
      </c>
      <c r="G533" t="s">
        <v>6769</v>
      </c>
      <c r="I533" t="s">
        <v>6770</v>
      </c>
      <c r="J533" t="s">
        <v>3762</v>
      </c>
      <c r="K533" t="s">
        <v>132</v>
      </c>
      <c r="L533">
        <v>18358</v>
      </c>
      <c r="M533">
        <v>0.15970000000000001</v>
      </c>
      <c r="N533" t="s">
        <v>3517</v>
      </c>
      <c r="O533" t="s">
        <v>6771</v>
      </c>
    </row>
    <row r="534" spans="1:15" x14ac:dyDescent="0.25">
      <c r="A534" t="s">
        <v>564</v>
      </c>
      <c r="B534" t="s">
        <v>30</v>
      </c>
      <c r="C534" t="s">
        <v>150</v>
      </c>
      <c r="D534" t="s">
        <v>3964</v>
      </c>
      <c r="E534" t="s">
        <v>2099</v>
      </c>
      <c r="F534" t="s">
        <v>2098</v>
      </c>
      <c r="G534" t="s">
        <v>6772</v>
      </c>
      <c r="H534" t="s">
        <v>3140</v>
      </c>
      <c r="I534" t="s">
        <v>6773</v>
      </c>
      <c r="J534" t="s">
        <v>3929</v>
      </c>
      <c r="K534" t="s">
        <v>132</v>
      </c>
      <c r="L534">
        <v>18131</v>
      </c>
      <c r="M534">
        <v>3.2199999999999999E-2</v>
      </c>
      <c r="N534" t="s">
        <v>3517</v>
      </c>
      <c r="O534" t="s">
        <v>2100</v>
      </c>
    </row>
    <row r="535" spans="1:15" x14ac:dyDescent="0.25">
      <c r="A535" t="s">
        <v>564</v>
      </c>
      <c r="B535" t="s">
        <v>30</v>
      </c>
      <c r="C535" t="s">
        <v>6774</v>
      </c>
      <c r="D535" t="s">
        <v>6775</v>
      </c>
      <c r="E535" t="s">
        <v>6776</v>
      </c>
      <c r="F535" t="s">
        <v>6777</v>
      </c>
      <c r="G535" t="s">
        <v>6778</v>
      </c>
      <c r="H535" t="s">
        <v>4970</v>
      </c>
      <c r="I535" t="s">
        <v>6779</v>
      </c>
      <c r="J535" t="s">
        <v>4086</v>
      </c>
      <c r="K535" t="s">
        <v>132</v>
      </c>
      <c r="L535">
        <v>18125</v>
      </c>
      <c r="M535">
        <v>8.48E-2</v>
      </c>
      <c r="N535" t="s">
        <v>3517</v>
      </c>
      <c r="O535" t="s">
        <v>6780</v>
      </c>
    </row>
    <row r="536" spans="1:15" x14ac:dyDescent="0.25">
      <c r="A536" t="s">
        <v>564</v>
      </c>
      <c r="B536" t="s">
        <v>30</v>
      </c>
      <c r="C536" t="s">
        <v>150</v>
      </c>
      <c r="D536" t="s">
        <v>3964</v>
      </c>
      <c r="E536" t="s">
        <v>2104</v>
      </c>
      <c r="F536" t="s">
        <v>2103</v>
      </c>
      <c r="G536" t="s">
        <v>6781</v>
      </c>
      <c r="I536" t="s">
        <v>6782</v>
      </c>
      <c r="J536" t="s">
        <v>4237</v>
      </c>
      <c r="K536" t="s">
        <v>3731</v>
      </c>
      <c r="L536">
        <v>18118</v>
      </c>
      <c r="M536">
        <v>4.8499999999999988E-2</v>
      </c>
      <c r="N536" t="s">
        <v>3517</v>
      </c>
      <c r="O536" t="s">
        <v>2105</v>
      </c>
    </row>
    <row r="537" spans="1:15" x14ac:dyDescent="0.25">
      <c r="A537" t="s">
        <v>564</v>
      </c>
      <c r="B537" t="s">
        <v>30</v>
      </c>
      <c r="C537" t="s">
        <v>393</v>
      </c>
      <c r="D537" t="s">
        <v>5808</v>
      </c>
      <c r="E537" t="s">
        <v>6783</v>
      </c>
      <c r="F537" t="s">
        <v>6784</v>
      </c>
      <c r="G537" t="s">
        <v>6785</v>
      </c>
      <c r="H537" t="s">
        <v>3564</v>
      </c>
      <c r="I537" t="s">
        <v>6786</v>
      </c>
      <c r="J537" t="s">
        <v>4383</v>
      </c>
      <c r="K537" t="s">
        <v>4362</v>
      </c>
      <c r="L537">
        <v>18115</v>
      </c>
      <c r="M537">
        <v>6.4000000000000001E-2</v>
      </c>
      <c r="N537" t="s">
        <v>3517</v>
      </c>
      <c r="O537" t="s">
        <v>6787</v>
      </c>
    </row>
    <row r="538" spans="1:15" x14ac:dyDescent="0.25">
      <c r="A538" t="s">
        <v>564</v>
      </c>
      <c r="B538" t="s">
        <v>30</v>
      </c>
      <c r="C538" t="s">
        <v>4707</v>
      </c>
      <c r="D538" t="s">
        <v>4708</v>
      </c>
      <c r="E538" t="s">
        <v>6788</v>
      </c>
      <c r="F538" t="s">
        <v>6789</v>
      </c>
      <c r="G538" t="s">
        <v>6790</v>
      </c>
      <c r="H538" t="s">
        <v>3564</v>
      </c>
      <c r="I538" t="s">
        <v>6791</v>
      </c>
      <c r="J538" t="s">
        <v>4541</v>
      </c>
      <c r="K538" t="s">
        <v>5183</v>
      </c>
      <c r="L538">
        <v>17997</v>
      </c>
      <c r="M538">
        <v>0.1003</v>
      </c>
      <c r="N538" t="s">
        <v>3517</v>
      </c>
      <c r="O538" t="s">
        <v>6792</v>
      </c>
    </row>
    <row r="539" spans="1:15" x14ac:dyDescent="0.25">
      <c r="A539" t="s">
        <v>564</v>
      </c>
      <c r="B539" t="s">
        <v>30</v>
      </c>
      <c r="C539" t="s">
        <v>390</v>
      </c>
      <c r="D539" t="s">
        <v>5428</v>
      </c>
      <c r="E539" t="s">
        <v>6793</v>
      </c>
      <c r="F539" t="s">
        <v>6794</v>
      </c>
      <c r="G539" t="s">
        <v>6795</v>
      </c>
      <c r="H539" t="s">
        <v>3564</v>
      </c>
      <c r="I539" t="s">
        <v>6796</v>
      </c>
      <c r="J539" t="s">
        <v>4676</v>
      </c>
      <c r="K539" t="s">
        <v>4909</v>
      </c>
      <c r="L539">
        <v>17953</v>
      </c>
      <c r="M539">
        <v>4.8000000000000001E-2</v>
      </c>
      <c r="N539" t="s">
        <v>3517</v>
      </c>
      <c r="O539" t="s">
        <v>6797</v>
      </c>
    </row>
    <row r="540" spans="1:15" x14ac:dyDescent="0.25">
      <c r="A540" t="s">
        <v>564</v>
      </c>
      <c r="B540" t="s">
        <v>30</v>
      </c>
      <c r="C540" t="s">
        <v>6798</v>
      </c>
      <c r="D540" t="s">
        <v>6799</v>
      </c>
      <c r="E540" t="s">
        <v>6800</v>
      </c>
      <c r="F540" t="s">
        <v>6801</v>
      </c>
      <c r="G540" t="s">
        <v>6802</v>
      </c>
      <c r="H540" t="s">
        <v>3564</v>
      </c>
      <c r="I540" t="s">
        <v>6803</v>
      </c>
      <c r="J540" t="s">
        <v>4830</v>
      </c>
      <c r="K540" t="s">
        <v>4917</v>
      </c>
      <c r="L540">
        <v>17913</v>
      </c>
      <c r="M540">
        <v>2.12E-2</v>
      </c>
      <c r="N540" t="s">
        <v>3517</v>
      </c>
      <c r="O540" t="s">
        <v>6804</v>
      </c>
    </row>
    <row r="541" spans="1:15" x14ac:dyDescent="0.25">
      <c r="A541" t="s">
        <v>564</v>
      </c>
      <c r="B541" t="s">
        <v>30</v>
      </c>
      <c r="C541" t="s">
        <v>6805</v>
      </c>
      <c r="D541" t="s">
        <v>6806</v>
      </c>
      <c r="E541" t="s">
        <v>6807</v>
      </c>
      <c r="F541" t="s">
        <v>6808</v>
      </c>
      <c r="G541" t="s">
        <v>6809</v>
      </c>
      <c r="I541" t="s">
        <v>6810</v>
      </c>
      <c r="J541" t="s">
        <v>4970</v>
      </c>
      <c r="K541" t="s">
        <v>132</v>
      </c>
      <c r="L541">
        <v>17820</v>
      </c>
      <c r="M541">
        <v>0.33339999999999997</v>
      </c>
      <c r="N541" t="s">
        <v>3517</v>
      </c>
      <c r="O541" t="s">
        <v>6811</v>
      </c>
    </row>
    <row r="542" spans="1:15" x14ac:dyDescent="0.25">
      <c r="A542" t="s">
        <v>564</v>
      </c>
      <c r="B542" t="s">
        <v>30</v>
      </c>
      <c r="C542" t="s">
        <v>6812</v>
      </c>
      <c r="D542" t="s">
        <v>6813</v>
      </c>
      <c r="E542" t="s">
        <v>6814</v>
      </c>
      <c r="F542" t="s">
        <v>6815</v>
      </c>
      <c r="G542" t="s">
        <v>6816</v>
      </c>
      <c r="H542" t="s">
        <v>3140</v>
      </c>
      <c r="I542" t="s">
        <v>6817</v>
      </c>
      <c r="J542" t="s">
        <v>5119</v>
      </c>
      <c r="K542" t="s">
        <v>132</v>
      </c>
      <c r="L542">
        <v>17707</v>
      </c>
      <c r="M542">
        <v>0.1033</v>
      </c>
      <c r="N542" t="s">
        <v>3517</v>
      </c>
      <c r="O542" t="s">
        <v>6818</v>
      </c>
    </row>
    <row r="543" spans="1:15" x14ac:dyDescent="0.25">
      <c r="A543" t="s">
        <v>564</v>
      </c>
      <c r="B543" t="s">
        <v>30</v>
      </c>
      <c r="C543" t="s">
        <v>349</v>
      </c>
      <c r="D543" t="s">
        <v>4529</v>
      </c>
      <c r="E543" t="s">
        <v>6819</v>
      </c>
      <c r="F543" t="s">
        <v>6820</v>
      </c>
      <c r="G543" t="s">
        <v>6821</v>
      </c>
      <c r="I543" t="s">
        <v>6822</v>
      </c>
      <c r="J543" t="s">
        <v>5265</v>
      </c>
      <c r="K543" t="s">
        <v>3143</v>
      </c>
      <c r="L543">
        <v>17543</v>
      </c>
      <c r="M543">
        <v>0.1205</v>
      </c>
      <c r="N543" t="s">
        <v>3517</v>
      </c>
      <c r="O543" t="s">
        <v>6823</v>
      </c>
    </row>
    <row r="544" spans="1:15" x14ac:dyDescent="0.25">
      <c r="A544" t="s">
        <v>564</v>
      </c>
      <c r="B544" t="s">
        <v>30</v>
      </c>
      <c r="C544" t="s">
        <v>150</v>
      </c>
      <c r="D544" t="s">
        <v>3964</v>
      </c>
      <c r="E544" t="s">
        <v>2109</v>
      </c>
      <c r="F544" t="s">
        <v>2108</v>
      </c>
      <c r="G544" t="s">
        <v>6824</v>
      </c>
      <c r="H544" t="s">
        <v>3564</v>
      </c>
      <c r="I544" t="s">
        <v>6825</v>
      </c>
      <c r="J544" t="s">
        <v>5396</v>
      </c>
      <c r="K544" t="s">
        <v>5034</v>
      </c>
      <c r="L544">
        <v>17436</v>
      </c>
      <c r="M544">
        <v>0.12640000000000001</v>
      </c>
      <c r="N544" t="s">
        <v>3517</v>
      </c>
      <c r="O544" t="s">
        <v>2110</v>
      </c>
    </row>
    <row r="545" spans="1:15" x14ac:dyDescent="0.25">
      <c r="A545" t="s">
        <v>564</v>
      </c>
      <c r="B545" t="s">
        <v>30</v>
      </c>
      <c r="C545" t="s">
        <v>3519</v>
      </c>
      <c r="D545" t="s">
        <v>3520</v>
      </c>
      <c r="E545" t="s">
        <v>6826</v>
      </c>
      <c r="F545" t="s">
        <v>6827</v>
      </c>
      <c r="G545" t="s">
        <v>6828</v>
      </c>
      <c r="I545" t="s">
        <v>6829</v>
      </c>
      <c r="J545" t="s">
        <v>5542</v>
      </c>
      <c r="K545" t="s">
        <v>4918</v>
      </c>
      <c r="L545">
        <v>17304</v>
      </c>
      <c r="M545">
        <v>7.5700000000000003E-2</v>
      </c>
      <c r="N545" t="s">
        <v>3517</v>
      </c>
      <c r="O545" t="s">
        <v>6830</v>
      </c>
    </row>
    <row r="546" spans="1:15" x14ac:dyDescent="0.25">
      <c r="A546" t="s">
        <v>564</v>
      </c>
      <c r="B546" t="s">
        <v>30</v>
      </c>
      <c r="C546" t="s">
        <v>5775</v>
      </c>
      <c r="D546" t="s">
        <v>5776</v>
      </c>
      <c r="E546" t="s">
        <v>6831</v>
      </c>
      <c r="F546" t="s">
        <v>6832</v>
      </c>
      <c r="G546" t="s">
        <v>6833</v>
      </c>
      <c r="I546" t="s">
        <v>6834</v>
      </c>
      <c r="J546" t="s">
        <v>5677</v>
      </c>
      <c r="K546" t="s">
        <v>3808</v>
      </c>
      <c r="L546">
        <v>17142</v>
      </c>
      <c r="M546">
        <v>0.1215</v>
      </c>
      <c r="N546" t="s">
        <v>3517</v>
      </c>
      <c r="O546" t="s">
        <v>6835</v>
      </c>
    </row>
    <row r="547" spans="1:15" x14ac:dyDescent="0.25">
      <c r="A547" t="s">
        <v>564</v>
      </c>
      <c r="B547" t="s">
        <v>30</v>
      </c>
      <c r="C547" t="s">
        <v>6836</v>
      </c>
      <c r="D547" t="s">
        <v>6837</v>
      </c>
      <c r="E547" t="s">
        <v>6838</v>
      </c>
      <c r="F547" t="s">
        <v>6839</v>
      </c>
      <c r="G547" t="s">
        <v>6840</v>
      </c>
      <c r="H547" t="s">
        <v>3564</v>
      </c>
      <c r="I547" t="s">
        <v>6841</v>
      </c>
      <c r="J547" t="s">
        <v>3769</v>
      </c>
      <c r="K547" t="s">
        <v>4962</v>
      </c>
      <c r="L547">
        <v>17033</v>
      </c>
      <c r="M547">
        <v>0.11509999999999999</v>
      </c>
      <c r="N547" t="s">
        <v>3517</v>
      </c>
      <c r="O547" t="s">
        <v>6842</v>
      </c>
    </row>
    <row r="548" spans="1:15" x14ac:dyDescent="0.25">
      <c r="A548" t="s">
        <v>564</v>
      </c>
      <c r="B548" t="s">
        <v>30</v>
      </c>
      <c r="C548" t="s">
        <v>5897</v>
      </c>
      <c r="D548" t="s">
        <v>5898</v>
      </c>
      <c r="E548" t="s">
        <v>6843</v>
      </c>
      <c r="F548" t="s">
        <v>6844</v>
      </c>
      <c r="G548" t="s">
        <v>6845</v>
      </c>
      <c r="I548" t="s">
        <v>6846</v>
      </c>
      <c r="J548" t="s">
        <v>3938</v>
      </c>
      <c r="K548" t="s">
        <v>132</v>
      </c>
      <c r="L548">
        <v>16626</v>
      </c>
      <c r="M548">
        <v>0.13020000000000001</v>
      </c>
      <c r="N548" t="s">
        <v>3517</v>
      </c>
      <c r="O548" t="s">
        <v>6847</v>
      </c>
    </row>
    <row r="549" spans="1:15" x14ac:dyDescent="0.25">
      <c r="A549" t="s">
        <v>564</v>
      </c>
      <c r="B549" t="s">
        <v>30</v>
      </c>
      <c r="C549" t="s">
        <v>6848</v>
      </c>
      <c r="D549" t="s">
        <v>6849</v>
      </c>
      <c r="E549" t="s">
        <v>6850</v>
      </c>
      <c r="F549" t="s">
        <v>6851</v>
      </c>
      <c r="G549" t="s">
        <v>6852</v>
      </c>
      <c r="H549" t="s">
        <v>3866</v>
      </c>
      <c r="I549" t="s">
        <v>6853</v>
      </c>
      <c r="J549" t="s">
        <v>4095</v>
      </c>
      <c r="K549" t="s">
        <v>132</v>
      </c>
      <c r="L549">
        <v>16606</v>
      </c>
      <c r="M549">
        <v>6.4199999999999993E-2</v>
      </c>
      <c r="N549" t="s">
        <v>3517</v>
      </c>
      <c r="O549" t="s">
        <v>6854</v>
      </c>
    </row>
    <row r="550" spans="1:15" x14ac:dyDescent="0.25">
      <c r="A550" t="s">
        <v>564</v>
      </c>
      <c r="B550" t="s">
        <v>30</v>
      </c>
      <c r="C550" t="s">
        <v>5948</v>
      </c>
      <c r="D550" t="s">
        <v>5949</v>
      </c>
      <c r="E550" t="s">
        <v>6855</v>
      </c>
      <c r="F550" t="s">
        <v>6856</v>
      </c>
      <c r="G550" t="s">
        <v>6857</v>
      </c>
      <c r="I550" t="s">
        <v>6858</v>
      </c>
      <c r="J550" t="s">
        <v>4245</v>
      </c>
      <c r="K550" t="s">
        <v>3535</v>
      </c>
      <c r="L550">
        <v>16597</v>
      </c>
      <c r="M550">
        <v>0.14360000000000001</v>
      </c>
      <c r="N550" t="s">
        <v>3517</v>
      </c>
      <c r="O550" t="s">
        <v>6859</v>
      </c>
    </row>
    <row r="551" spans="1:15" x14ac:dyDescent="0.25">
      <c r="A551" t="s">
        <v>564</v>
      </c>
      <c r="B551" t="s">
        <v>30</v>
      </c>
      <c r="C551" t="s">
        <v>6860</v>
      </c>
      <c r="D551" t="s">
        <v>6861</v>
      </c>
      <c r="E551" t="s">
        <v>6862</v>
      </c>
      <c r="F551" t="s">
        <v>5857</v>
      </c>
      <c r="G551" t="s">
        <v>6863</v>
      </c>
      <c r="H551" t="s">
        <v>3140</v>
      </c>
      <c r="I551" t="s">
        <v>6864</v>
      </c>
      <c r="J551" t="s">
        <v>4392</v>
      </c>
      <c r="K551" t="s">
        <v>132</v>
      </c>
      <c r="L551">
        <v>16457</v>
      </c>
      <c r="M551">
        <v>7.3700000000000002E-2</v>
      </c>
      <c r="N551" t="s">
        <v>3517</v>
      </c>
      <c r="O551" t="s">
        <v>6865</v>
      </c>
    </row>
    <row r="552" spans="1:15" x14ac:dyDescent="0.25">
      <c r="A552" t="s">
        <v>564</v>
      </c>
      <c r="B552" t="s">
        <v>30</v>
      </c>
      <c r="C552" t="s">
        <v>4707</v>
      </c>
      <c r="D552" t="s">
        <v>4708</v>
      </c>
      <c r="E552" t="s">
        <v>6866</v>
      </c>
      <c r="F552" t="s">
        <v>6867</v>
      </c>
      <c r="G552" t="s">
        <v>6868</v>
      </c>
      <c r="I552" t="s">
        <v>6869</v>
      </c>
      <c r="J552" t="s">
        <v>4550</v>
      </c>
      <c r="K552" t="s">
        <v>6420</v>
      </c>
      <c r="L552">
        <v>16454</v>
      </c>
      <c r="M552">
        <v>0.20549999999999999</v>
      </c>
      <c r="N552" t="s">
        <v>3517</v>
      </c>
      <c r="O552" t="s">
        <v>6870</v>
      </c>
    </row>
    <row r="553" spans="1:15" x14ac:dyDescent="0.25">
      <c r="A553" t="s">
        <v>564</v>
      </c>
      <c r="B553" t="s">
        <v>30</v>
      </c>
      <c r="C553" t="s">
        <v>6871</v>
      </c>
      <c r="D553" t="s">
        <v>6872</v>
      </c>
      <c r="E553" t="s">
        <v>6873</v>
      </c>
      <c r="F553" t="s">
        <v>6874</v>
      </c>
      <c r="G553" t="s">
        <v>6875</v>
      </c>
      <c r="I553" t="s">
        <v>6876</v>
      </c>
      <c r="J553" t="s">
        <v>4684</v>
      </c>
      <c r="K553" t="s">
        <v>6877</v>
      </c>
      <c r="L553">
        <v>16369</v>
      </c>
      <c r="M553">
        <v>2.1399999999999999E-2</v>
      </c>
      <c r="N553" t="s">
        <v>3517</v>
      </c>
      <c r="O553" t="s">
        <v>6878</v>
      </c>
    </row>
    <row r="554" spans="1:15" x14ac:dyDescent="0.25">
      <c r="A554" t="s">
        <v>564</v>
      </c>
      <c r="B554" t="s">
        <v>30</v>
      </c>
      <c r="C554" t="s">
        <v>6414</v>
      </c>
      <c r="D554" t="s">
        <v>6415</v>
      </c>
      <c r="E554" t="s">
        <v>6879</v>
      </c>
      <c r="F554" t="s">
        <v>6880</v>
      </c>
      <c r="G554" t="s">
        <v>6881</v>
      </c>
      <c r="I554" t="s">
        <v>6882</v>
      </c>
      <c r="J554" t="s">
        <v>4838</v>
      </c>
      <c r="K554" t="s">
        <v>3140</v>
      </c>
      <c r="L554">
        <v>16310</v>
      </c>
      <c r="M554">
        <v>0.2127</v>
      </c>
      <c r="N554" t="s">
        <v>3517</v>
      </c>
      <c r="O554" t="s">
        <v>6883</v>
      </c>
    </row>
    <row r="555" spans="1:15" x14ac:dyDescent="0.25">
      <c r="A555" t="s">
        <v>564</v>
      </c>
      <c r="B555" t="s">
        <v>30</v>
      </c>
      <c r="C555" t="s">
        <v>5709</v>
      </c>
      <c r="D555" t="s">
        <v>5710</v>
      </c>
      <c r="E555" t="s">
        <v>6884</v>
      </c>
      <c r="F555" t="s">
        <v>6885</v>
      </c>
      <c r="G555" t="s">
        <v>6886</v>
      </c>
      <c r="I555" t="s">
        <v>6887</v>
      </c>
      <c r="J555" t="s">
        <v>4978</v>
      </c>
      <c r="K555" t="s">
        <v>4685</v>
      </c>
      <c r="L555">
        <v>16254</v>
      </c>
      <c r="M555">
        <v>3.1199999999999999E-2</v>
      </c>
      <c r="N555" t="s">
        <v>3517</v>
      </c>
      <c r="O555" t="s">
        <v>6888</v>
      </c>
    </row>
    <row r="556" spans="1:15" x14ac:dyDescent="0.25">
      <c r="A556" t="s">
        <v>564</v>
      </c>
      <c r="B556" t="s">
        <v>30</v>
      </c>
      <c r="C556" t="s">
        <v>6141</v>
      </c>
      <c r="D556" t="s">
        <v>6142</v>
      </c>
      <c r="E556" t="s">
        <v>6889</v>
      </c>
      <c r="F556" t="s">
        <v>6890</v>
      </c>
      <c r="G556" t="s">
        <v>6891</v>
      </c>
      <c r="H556" t="s">
        <v>4280</v>
      </c>
      <c r="I556" t="s">
        <v>6892</v>
      </c>
      <c r="J556" t="s">
        <v>5125</v>
      </c>
      <c r="K556" t="s">
        <v>132</v>
      </c>
      <c r="L556">
        <v>16231</v>
      </c>
      <c r="M556">
        <v>5.67E-2</v>
      </c>
      <c r="N556" t="s">
        <v>3517</v>
      </c>
      <c r="O556" t="s">
        <v>6893</v>
      </c>
    </row>
    <row r="557" spans="1:15" x14ac:dyDescent="0.25">
      <c r="A557" t="s">
        <v>564</v>
      </c>
      <c r="B557" t="s">
        <v>30</v>
      </c>
      <c r="C557" t="s">
        <v>6894</v>
      </c>
      <c r="D557" t="s">
        <v>6895</v>
      </c>
      <c r="E557" t="s">
        <v>6896</v>
      </c>
      <c r="F557" t="s">
        <v>6897</v>
      </c>
      <c r="G557" t="s">
        <v>6898</v>
      </c>
      <c r="I557" t="s">
        <v>6899</v>
      </c>
      <c r="J557" t="s">
        <v>5271</v>
      </c>
      <c r="K557" t="s">
        <v>132</v>
      </c>
      <c r="L557">
        <v>16223</v>
      </c>
      <c r="M557">
        <v>7.0300000000000001E-2</v>
      </c>
      <c r="N557" t="s">
        <v>3517</v>
      </c>
      <c r="O557" t="s">
        <v>6900</v>
      </c>
    </row>
    <row r="558" spans="1:15" x14ac:dyDescent="0.25">
      <c r="A558" t="s">
        <v>564</v>
      </c>
      <c r="B558" t="s">
        <v>30</v>
      </c>
      <c r="C558" t="s">
        <v>6098</v>
      </c>
      <c r="D558" t="s">
        <v>6099</v>
      </c>
      <c r="E558" t="s">
        <v>6901</v>
      </c>
      <c r="F558" t="s">
        <v>6902</v>
      </c>
      <c r="G558" t="s">
        <v>6903</v>
      </c>
      <c r="I558" t="s">
        <v>6904</v>
      </c>
      <c r="J558" t="s">
        <v>5404</v>
      </c>
      <c r="K558" t="s">
        <v>3526</v>
      </c>
      <c r="L558">
        <v>16196</v>
      </c>
      <c r="M558">
        <v>0.1076</v>
      </c>
      <c r="N558" t="s">
        <v>3517</v>
      </c>
      <c r="O558" t="s">
        <v>6905</v>
      </c>
    </row>
    <row r="559" spans="1:15" x14ac:dyDescent="0.25">
      <c r="A559" t="s">
        <v>564</v>
      </c>
      <c r="B559" t="s">
        <v>30</v>
      </c>
      <c r="C559" t="s">
        <v>6025</v>
      </c>
      <c r="D559" t="s">
        <v>6026</v>
      </c>
      <c r="E559" t="s">
        <v>6906</v>
      </c>
      <c r="F559" t="s">
        <v>6907</v>
      </c>
      <c r="G559" t="s">
        <v>6908</v>
      </c>
      <c r="I559" t="s">
        <v>6909</v>
      </c>
      <c r="J559" t="s">
        <v>5548</v>
      </c>
      <c r="K559" t="s">
        <v>3642</v>
      </c>
      <c r="L559">
        <v>16143</v>
      </c>
      <c r="M559">
        <v>0.1673</v>
      </c>
      <c r="N559" t="s">
        <v>3517</v>
      </c>
      <c r="O559" t="s">
        <v>6910</v>
      </c>
    </row>
    <row r="560" spans="1:15" x14ac:dyDescent="0.25">
      <c r="A560" t="s">
        <v>564</v>
      </c>
      <c r="B560" t="s">
        <v>30</v>
      </c>
      <c r="C560" t="s">
        <v>6707</v>
      </c>
      <c r="D560" t="s">
        <v>6708</v>
      </c>
      <c r="E560" t="s">
        <v>6911</v>
      </c>
      <c r="F560" t="s">
        <v>6912</v>
      </c>
      <c r="G560" t="s">
        <v>6913</v>
      </c>
      <c r="H560" t="s">
        <v>3564</v>
      </c>
      <c r="I560" t="s">
        <v>6914</v>
      </c>
      <c r="J560" t="s">
        <v>5683</v>
      </c>
      <c r="K560" t="s">
        <v>5183</v>
      </c>
      <c r="L560">
        <v>16032</v>
      </c>
      <c r="M560">
        <v>5.8899999999999987E-2</v>
      </c>
      <c r="N560" t="s">
        <v>3517</v>
      </c>
      <c r="O560" t="s">
        <v>6915</v>
      </c>
    </row>
    <row r="561" spans="1:15" x14ac:dyDescent="0.25">
      <c r="A561" t="s">
        <v>564</v>
      </c>
      <c r="B561" t="s">
        <v>30</v>
      </c>
      <c r="C561" t="s">
        <v>349</v>
      </c>
      <c r="D561" t="s">
        <v>4529</v>
      </c>
      <c r="E561" t="s">
        <v>6916</v>
      </c>
      <c r="F561" t="s">
        <v>6917</v>
      </c>
      <c r="G561" t="s">
        <v>6918</v>
      </c>
      <c r="I561" t="s">
        <v>6919</v>
      </c>
      <c r="J561" t="s">
        <v>3777</v>
      </c>
      <c r="K561" t="s">
        <v>3635</v>
      </c>
      <c r="L561">
        <v>15990</v>
      </c>
      <c r="M561">
        <v>9.3200000000000005E-2</v>
      </c>
      <c r="N561" t="s">
        <v>3517</v>
      </c>
      <c r="O561" t="s">
        <v>6920</v>
      </c>
    </row>
    <row r="562" spans="1:15" x14ac:dyDescent="0.25">
      <c r="A562" t="s">
        <v>564</v>
      </c>
      <c r="B562" t="s">
        <v>30</v>
      </c>
      <c r="C562" t="s">
        <v>6589</v>
      </c>
      <c r="D562" t="s">
        <v>6590</v>
      </c>
      <c r="E562" t="s">
        <v>6921</v>
      </c>
      <c r="F562" t="s">
        <v>6922</v>
      </c>
      <c r="G562" t="s">
        <v>6923</v>
      </c>
      <c r="I562" t="s">
        <v>6924</v>
      </c>
      <c r="J562" t="s">
        <v>3944</v>
      </c>
      <c r="K562" t="s">
        <v>3898</v>
      </c>
      <c r="L562">
        <v>15931</v>
      </c>
      <c r="M562">
        <v>7.6499999999999999E-2</v>
      </c>
      <c r="N562" t="s">
        <v>3517</v>
      </c>
      <c r="O562" t="s">
        <v>6925</v>
      </c>
    </row>
    <row r="563" spans="1:15" x14ac:dyDescent="0.25">
      <c r="A563" t="s">
        <v>564</v>
      </c>
      <c r="B563" t="s">
        <v>30</v>
      </c>
      <c r="C563" t="s">
        <v>6414</v>
      </c>
      <c r="D563" t="s">
        <v>6415</v>
      </c>
      <c r="E563" t="s">
        <v>6926</v>
      </c>
      <c r="F563" t="s">
        <v>6927</v>
      </c>
      <c r="G563" t="s">
        <v>6928</v>
      </c>
      <c r="I563" t="s">
        <v>6929</v>
      </c>
      <c r="J563" t="s">
        <v>4101</v>
      </c>
      <c r="K563" t="s">
        <v>132</v>
      </c>
      <c r="L563">
        <v>15820</v>
      </c>
      <c r="M563">
        <v>0.35899999999999999</v>
      </c>
      <c r="N563" t="s">
        <v>3517</v>
      </c>
      <c r="O563" t="s">
        <v>6930</v>
      </c>
    </row>
    <row r="564" spans="1:15" x14ac:dyDescent="0.25">
      <c r="A564" t="s">
        <v>564</v>
      </c>
      <c r="B564" t="s">
        <v>30</v>
      </c>
      <c r="C564" t="s">
        <v>6931</v>
      </c>
      <c r="D564" t="s">
        <v>6932</v>
      </c>
      <c r="E564" t="s">
        <v>6933</v>
      </c>
      <c r="F564" t="s">
        <v>6934</v>
      </c>
      <c r="G564" t="s">
        <v>6935</v>
      </c>
      <c r="H564" t="s">
        <v>3140</v>
      </c>
      <c r="I564" t="s">
        <v>6936</v>
      </c>
      <c r="J564" t="s">
        <v>4253</v>
      </c>
      <c r="K564" t="s">
        <v>132</v>
      </c>
      <c r="L564">
        <v>15735</v>
      </c>
      <c r="M564">
        <v>0.1211</v>
      </c>
      <c r="N564" t="s">
        <v>3517</v>
      </c>
      <c r="O564" t="s">
        <v>6937</v>
      </c>
    </row>
    <row r="565" spans="1:15" x14ac:dyDescent="0.25">
      <c r="A565" t="s">
        <v>564</v>
      </c>
      <c r="B565" t="s">
        <v>30</v>
      </c>
      <c r="C565" t="s">
        <v>150</v>
      </c>
      <c r="D565" t="s">
        <v>3964</v>
      </c>
      <c r="E565" t="s">
        <v>2114</v>
      </c>
      <c r="F565" t="s">
        <v>2113</v>
      </c>
      <c r="G565" t="s">
        <v>6938</v>
      </c>
      <c r="H565" t="s">
        <v>3564</v>
      </c>
      <c r="I565" t="s">
        <v>6939</v>
      </c>
      <c r="J565" t="s">
        <v>4400</v>
      </c>
      <c r="K565" t="s">
        <v>4327</v>
      </c>
      <c r="L565">
        <v>15706</v>
      </c>
      <c r="M565">
        <v>4.6600000000000003E-2</v>
      </c>
      <c r="N565" t="s">
        <v>3517</v>
      </c>
      <c r="O565" t="s">
        <v>2115</v>
      </c>
    </row>
    <row r="566" spans="1:15" x14ac:dyDescent="0.25">
      <c r="A566" t="s">
        <v>564</v>
      </c>
      <c r="B566" t="s">
        <v>30</v>
      </c>
      <c r="C566" t="s">
        <v>5146</v>
      </c>
      <c r="D566" t="s">
        <v>5147</v>
      </c>
      <c r="E566" t="s">
        <v>6940</v>
      </c>
      <c r="F566" t="s">
        <v>6941</v>
      </c>
      <c r="G566" t="s">
        <v>6942</v>
      </c>
      <c r="H566" t="s">
        <v>3564</v>
      </c>
      <c r="I566" t="s">
        <v>6943</v>
      </c>
      <c r="J566" t="s">
        <v>4554</v>
      </c>
      <c r="K566" t="s">
        <v>4009</v>
      </c>
      <c r="L566">
        <v>15543</v>
      </c>
      <c r="M566">
        <v>0.10009999999999999</v>
      </c>
      <c r="N566" t="s">
        <v>3517</v>
      </c>
      <c r="O566" t="s">
        <v>6944</v>
      </c>
    </row>
    <row r="567" spans="1:15" x14ac:dyDescent="0.25">
      <c r="A567" t="s">
        <v>564</v>
      </c>
      <c r="B567" t="s">
        <v>30</v>
      </c>
      <c r="C567" t="s">
        <v>6945</v>
      </c>
      <c r="D567" t="s">
        <v>6946</v>
      </c>
      <c r="E567" t="s">
        <v>6947</v>
      </c>
      <c r="F567" t="s">
        <v>6948</v>
      </c>
      <c r="G567" t="s">
        <v>6949</v>
      </c>
      <c r="I567" t="s">
        <v>6950</v>
      </c>
      <c r="J567" t="s">
        <v>4691</v>
      </c>
      <c r="K567" t="s">
        <v>132</v>
      </c>
      <c r="L567">
        <v>15506</v>
      </c>
      <c r="M567">
        <v>3.9300000000000002E-2</v>
      </c>
      <c r="N567" t="s">
        <v>3517</v>
      </c>
      <c r="O567" t="s">
        <v>6951</v>
      </c>
    </row>
    <row r="568" spans="1:15" x14ac:dyDescent="0.25">
      <c r="A568" t="s">
        <v>564</v>
      </c>
      <c r="B568" t="s">
        <v>30</v>
      </c>
      <c r="C568" t="s">
        <v>5775</v>
      </c>
      <c r="D568" t="s">
        <v>5776</v>
      </c>
      <c r="E568" t="s">
        <v>6952</v>
      </c>
      <c r="F568" t="s">
        <v>6953</v>
      </c>
      <c r="G568" t="s">
        <v>6954</v>
      </c>
      <c r="H568" t="s">
        <v>5152</v>
      </c>
      <c r="I568" t="s">
        <v>6955</v>
      </c>
      <c r="J568" t="s">
        <v>4846</v>
      </c>
      <c r="K568" t="s">
        <v>132</v>
      </c>
      <c r="L568">
        <v>15478</v>
      </c>
      <c r="M568">
        <v>4.5599999999999988E-2</v>
      </c>
      <c r="N568" t="s">
        <v>3517</v>
      </c>
      <c r="O568" t="s">
        <v>6956</v>
      </c>
    </row>
    <row r="569" spans="1:15" x14ac:dyDescent="0.25">
      <c r="A569" t="s">
        <v>564</v>
      </c>
      <c r="B569" t="s">
        <v>30</v>
      </c>
      <c r="C569" t="s">
        <v>6957</v>
      </c>
      <c r="D569" t="s">
        <v>6958</v>
      </c>
      <c r="E569" t="s">
        <v>6959</v>
      </c>
      <c r="F569" t="s">
        <v>6960</v>
      </c>
      <c r="G569" t="s">
        <v>6961</v>
      </c>
      <c r="H569" t="s">
        <v>3140</v>
      </c>
      <c r="I569" t="s">
        <v>6962</v>
      </c>
      <c r="J569" t="s">
        <v>4984</v>
      </c>
      <c r="K569" t="s">
        <v>132</v>
      </c>
      <c r="L569">
        <v>15368</v>
      </c>
      <c r="M569">
        <v>0.1191</v>
      </c>
      <c r="N569" t="s">
        <v>3517</v>
      </c>
      <c r="O569" t="s">
        <v>6963</v>
      </c>
    </row>
    <row r="570" spans="1:15" x14ac:dyDescent="0.25">
      <c r="A570" t="s">
        <v>564</v>
      </c>
      <c r="B570" t="s">
        <v>30</v>
      </c>
      <c r="C570" t="s">
        <v>393</v>
      </c>
      <c r="D570" t="s">
        <v>5808</v>
      </c>
      <c r="E570" t="s">
        <v>6964</v>
      </c>
      <c r="F570" t="s">
        <v>6965</v>
      </c>
      <c r="G570" t="s">
        <v>6966</v>
      </c>
      <c r="I570" t="s">
        <v>6967</v>
      </c>
      <c r="J570" t="s">
        <v>5279</v>
      </c>
      <c r="K570" t="s">
        <v>132</v>
      </c>
      <c r="L570">
        <v>15110</v>
      </c>
      <c r="M570">
        <v>9.5899999999999999E-2</v>
      </c>
      <c r="N570" t="s">
        <v>3517</v>
      </c>
      <c r="O570" t="s">
        <v>6968</v>
      </c>
    </row>
    <row r="571" spans="1:15" x14ac:dyDescent="0.25">
      <c r="A571" t="s">
        <v>564</v>
      </c>
      <c r="B571" t="s">
        <v>30</v>
      </c>
      <c r="C571" t="s">
        <v>6969</v>
      </c>
      <c r="D571" t="s">
        <v>6970</v>
      </c>
      <c r="E571" t="s">
        <v>6971</v>
      </c>
      <c r="F571" t="s">
        <v>6972</v>
      </c>
      <c r="G571" t="s">
        <v>6973</v>
      </c>
      <c r="I571" t="s">
        <v>6318</v>
      </c>
      <c r="J571" t="s">
        <v>5412</v>
      </c>
      <c r="K571" t="s">
        <v>6043</v>
      </c>
      <c r="L571">
        <v>15040</v>
      </c>
      <c r="M571">
        <v>4.6500000000000007E-2</v>
      </c>
      <c r="N571" t="s">
        <v>3517</v>
      </c>
      <c r="O571" t="s">
        <v>6974</v>
      </c>
    </row>
    <row r="572" spans="1:15" x14ac:dyDescent="0.25">
      <c r="A572" t="s">
        <v>564</v>
      </c>
      <c r="B572" t="s">
        <v>30</v>
      </c>
      <c r="C572" t="s">
        <v>6325</v>
      </c>
      <c r="D572" t="s">
        <v>6326</v>
      </c>
      <c r="E572" t="s">
        <v>6975</v>
      </c>
      <c r="F572" t="s">
        <v>6976</v>
      </c>
      <c r="G572" t="s">
        <v>6977</v>
      </c>
      <c r="I572" t="s">
        <v>6978</v>
      </c>
      <c r="J572" t="s">
        <v>5554</v>
      </c>
      <c r="K572" t="s">
        <v>6043</v>
      </c>
      <c r="L572">
        <v>15004</v>
      </c>
      <c r="M572">
        <v>5.4100000000000002E-2</v>
      </c>
      <c r="N572" t="s">
        <v>3517</v>
      </c>
      <c r="O572" t="s">
        <v>6979</v>
      </c>
    </row>
    <row r="573" spans="1:15" x14ac:dyDescent="0.25">
      <c r="A573" t="s">
        <v>564</v>
      </c>
      <c r="B573" t="s">
        <v>30</v>
      </c>
      <c r="C573" t="s">
        <v>5897</v>
      </c>
      <c r="D573" t="s">
        <v>5898</v>
      </c>
      <c r="E573" t="s">
        <v>6980</v>
      </c>
      <c r="F573" t="s">
        <v>6981</v>
      </c>
      <c r="G573" t="s">
        <v>6982</v>
      </c>
      <c r="I573" t="s">
        <v>6983</v>
      </c>
      <c r="J573" t="s">
        <v>5691</v>
      </c>
      <c r="K573" t="s">
        <v>3705</v>
      </c>
      <c r="L573">
        <v>14977</v>
      </c>
      <c r="M573">
        <v>0.11749999999999999</v>
      </c>
      <c r="N573" t="s">
        <v>3517</v>
      </c>
      <c r="O573" t="s">
        <v>6984</v>
      </c>
    </row>
    <row r="574" spans="1:15" x14ac:dyDescent="0.25">
      <c r="A574" t="s">
        <v>564</v>
      </c>
      <c r="B574" t="s">
        <v>30</v>
      </c>
      <c r="C574" t="s">
        <v>349</v>
      </c>
      <c r="D574" t="s">
        <v>4529</v>
      </c>
      <c r="E574" t="s">
        <v>6985</v>
      </c>
      <c r="F574" t="s">
        <v>6986</v>
      </c>
      <c r="G574" t="s">
        <v>6987</v>
      </c>
      <c r="I574" t="s">
        <v>6988</v>
      </c>
      <c r="J574" t="s">
        <v>3785</v>
      </c>
      <c r="K574" t="s">
        <v>3567</v>
      </c>
      <c r="L574">
        <v>14904</v>
      </c>
      <c r="M574">
        <v>4.4499999999999998E-2</v>
      </c>
      <c r="N574" t="s">
        <v>3517</v>
      </c>
      <c r="O574" t="s">
        <v>6989</v>
      </c>
    </row>
    <row r="575" spans="1:15" x14ac:dyDescent="0.25">
      <c r="A575" t="s">
        <v>564</v>
      </c>
      <c r="B575" t="s">
        <v>30</v>
      </c>
      <c r="C575" t="s">
        <v>6990</v>
      </c>
      <c r="D575" t="s">
        <v>6991</v>
      </c>
      <c r="E575" t="s">
        <v>6992</v>
      </c>
      <c r="F575" t="s">
        <v>6993</v>
      </c>
      <c r="G575" t="s">
        <v>6994</v>
      </c>
      <c r="I575" t="s">
        <v>6995</v>
      </c>
      <c r="J575" t="s">
        <v>3952</v>
      </c>
      <c r="K575" t="s">
        <v>132</v>
      </c>
      <c r="L575">
        <v>14722</v>
      </c>
      <c r="M575">
        <v>0.17150000000000001</v>
      </c>
      <c r="N575" t="s">
        <v>3517</v>
      </c>
      <c r="O575" t="s">
        <v>6996</v>
      </c>
    </row>
    <row r="576" spans="1:15" x14ac:dyDescent="0.25">
      <c r="A576" t="s">
        <v>564</v>
      </c>
      <c r="B576" t="s">
        <v>30</v>
      </c>
      <c r="C576" t="s">
        <v>6122</v>
      </c>
      <c r="D576" t="s">
        <v>6123</v>
      </c>
      <c r="E576" t="s">
        <v>6997</v>
      </c>
      <c r="F576" t="s">
        <v>6998</v>
      </c>
      <c r="G576" t="s">
        <v>6999</v>
      </c>
      <c r="H576" t="s">
        <v>3564</v>
      </c>
      <c r="I576" t="s">
        <v>7000</v>
      </c>
      <c r="J576" t="s">
        <v>4107</v>
      </c>
      <c r="K576" t="s">
        <v>4896</v>
      </c>
      <c r="L576">
        <v>14599</v>
      </c>
      <c r="M576">
        <v>0.13869999999999999</v>
      </c>
      <c r="N576" t="s">
        <v>3517</v>
      </c>
      <c r="O576" t="s">
        <v>7001</v>
      </c>
    </row>
    <row r="577" spans="1:15" x14ac:dyDescent="0.25">
      <c r="A577" t="s">
        <v>564</v>
      </c>
      <c r="B577" t="s">
        <v>30</v>
      </c>
      <c r="C577" t="s">
        <v>150</v>
      </c>
      <c r="D577" t="s">
        <v>3964</v>
      </c>
      <c r="E577" t="s">
        <v>2119</v>
      </c>
      <c r="F577" t="s">
        <v>2118</v>
      </c>
      <c r="G577" t="s">
        <v>7002</v>
      </c>
      <c r="H577" t="s">
        <v>3564</v>
      </c>
      <c r="I577" t="s">
        <v>7003</v>
      </c>
      <c r="J577" t="s">
        <v>4259</v>
      </c>
      <c r="K577" t="s">
        <v>4751</v>
      </c>
      <c r="L577">
        <v>14584</v>
      </c>
      <c r="M577">
        <v>0.1173</v>
      </c>
      <c r="N577" t="s">
        <v>3517</v>
      </c>
      <c r="O577" t="s">
        <v>2120</v>
      </c>
    </row>
    <row r="578" spans="1:15" x14ac:dyDescent="0.25">
      <c r="A578" t="s">
        <v>564</v>
      </c>
      <c r="B578" t="s">
        <v>30</v>
      </c>
      <c r="C578" t="s">
        <v>349</v>
      </c>
      <c r="D578" t="s">
        <v>4529</v>
      </c>
      <c r="E578" t="s">
        <v>7004</v>
      </c>
      <c r="F578" t="s">
        <v>7005</v>
      </c>
      <c r="G578" t="s">
        <v>7006</v>
      </c>
      <c r="I578" t="s">
        <v>7007</v>
      </c>
      <c r="J578" t="s">
        <v>4404</v>
      </c>
      <c r="K578" t="s">
        <v>4335</v>
      </c>
      <c r="L578">
        <v>14521</v>
      </c>
      <c r="M578">
        <v>7.0099999999999996E-2</v>
      </c>
      <c r="N578" t="s">
        <v>3517</v>
      </c>
      <c r="O578" t="s">
        <v>7008</v>
      </c>
    </row>
    <row r="579" spans="1:15" x14ac:dyDescent="0.25">
      <c r="A579" t="s">
        <v>564</v>
      </c>
      <c r="B579" t="s">
        <v>30</v>
      </c>
      <c r="C579" t="s">
        <v>6449</v>
      </c>
      <c r="D579" t="s">
        <v>6450</v>
      </c>
      <c r="E579" t="s">
        <v>7009</v>
      </c>
      <c r="F579" t="s">
        <v>7010</v>
      </c>
      <c r="G579" t="s">
        <v>7011</v>
      </c>
      <c r="H579" t="s">
        <v>3140</v>
      </c>
      <c r="I579" t="s">
        <v>7012</v>
      </c>
      <c r="J579" t="s">
        <v>4559</v>
      </c>
      <c r="K579" t="s">
        <v>132</v>
      </c>
      <c r="L579">
        <v>14367</v>
      </c>
      <c r="M579">
        <v>8.09E-2</v>
      </c>
      <c r="N579" t="s">
        <v>3517</v>
      </c>
      <c r="O579" t="s">
        <v>7013</v>
      </c>
    </row>
    <row r="580" spans="1:15" x14ac:dyDescent="0.25">
      <c r="A580" t="s">
        <v>564</v>
      </c>
      <c r="B580" t="s">
        <v>30</v>
      </c>
      <c r="C580" t="s">
        <v>6377</v>
      </c>
      <c r="D580" t="s">
        <v>6378</v>
      </c>
      <c r="E580" t="s">
        <v>7014</v>
      </c>
      <c r="F580" t="s">
        <v>6321</v>
      </c>
      <c r="G580" t="s">
        <v>7015</v>
      </c>
      <c r="I580" t="s">
        <v>7016</v>
      </c>
      <c r="J580" t="s">
        <v>4699</v>
      </c>
      <c r="K580" t="s">
        <v>3141</v>
      </c>
      <c r="L580">
        <v>14313</v>
      </c>
      <c r="M580">
        <v>8.3100000000000007E-2</v>
      </c>
      <c r="N580" t="s">
        <v>3517</v>
      </c>
      <c r="O580" t="s">
        <v>7017</v>
      </c>
    </row>
    <row r="581" spans="1:15" x14ac:dyDescent="0.25">
      <c r="A581" t="s">
        <v>564</v>
      </c>
      <c r="B581" t="s">
        <v>30</v>
      </c>
      <c r="C581" t="s">
        <v>6256</v>
      </c>
      <c r="D581" t="s">
        <v>6257</v>
      </c>
      <c r="E581" t="s">
        <v>7018</v>
      </c>
      <c r="F581" t="s">
        <v>7019</v>
      </c>
      <c r="G581" t="s">
        <v>7020</v>
      </c>
      <c r="I581" t="s">
        <v>7021</v>
      </c>
      <c r="J581" t="s">
        <v>4852</v>
      </c>
      <c r="K581" t="s">
        <v>132</v>
      </c>
      <c r="L581">
        <v>14273</v>
      </c>
      <c r="M581">
        <v>8.5699999999999998E-2</v>
      </c>
      <c r="N581" t="s">
        <v>3517</v>
      </c>
      <c r="O581" t="s">
        <v>7022</v>
      </c>
    </row>
    <row r="582" spans="1:15" x14ac:dyDescent="0.25">
      <c r="A582" t="s">
        <v>564</v>
      </c>
      <c r="B582" t="s">
        <v>30</v>
      </c>
      <c r="C582" t="s">
        <v>349</v>
      </c>
      <c r="D582" t="s">
        <v>4529</v>
      </c>
      <c r="E582" t="s">
        <v>7023</v>
      </c>
      <c r="F582" t="s">
        <v>7024</v>
      </c>
      <c r="G582" t="s">
        <v>7025</v>
      </c>
      <c r="H582" t="s">
        <v>3564</v>
      </c>
      <c r="I582" t="s">
        <v>7026</v>
      </c>
      <c r="J582" t="s">
        <v>4992</v>
      </c>
      <c r="K582" t="s">
        <v>4751</v>
      </c>
      <c r="L582">
        <v>14247</v>
      </c>
      <c r="M582">
        <v>8.6999999999999994E-2</v>
      </c>
      <c r="N582" t="s">
        <v>3517</v>
      </c>
      <c r="O582" t="s">
        <v>7027</v>
      </c>
    </row>
    <row r="583" spans="1:15" x14ac:dyDescent="0.25">
      <c r="A583" t="s">
        <v>564</v>
      </c>
      <c r="B583" t="s">
        <v>30</v>
      </c>
      <c r="C583" t="s">
        <v>391</v>
      </c>
      <c r="D583" t="s">
        <v>4118</v>
      </c>
      <c r="E583" t="s">
        <v>7028</v>
      </c>
      <c r="F583" t="s">
        <v>7029</v>
      </c>
      <c r="G583" t="s">
        <v>7030</v>
      </c>
      <c r="H583" t="s">
        <v>3564</v>
      </c>
      <c r="I583" t="s">
        <v>7031</v>
      </c>
      <c r="J583" t="s">
        <v>5136</v>
      </c>
      <c r="K583" t="s">
        <v>4245</v>
      </c>
      <c r="L583">
        <v>14111</v>
      </c>
      <c r="M583">
        <v>1.5100000000000001E-2</v>
      </c>
      <c r="N583" t="s">
        <v>3517</v>
      </c>
      <c r="O583" t="s">
        <v>7032</v>
      </c>
    </row>
    <row r="584" spans="1:15" x14ac:dyDescent="0.25">
      <c r="A584" t="s">
        <v>564</v>
      </c>
      <c r="B584" t="s">
        <v>30</v>
      </c>
      <c r="C584" t="s">
        <v>6957</v>
      </c>
      <c r="D584" t="s">
        <v>6958</v>
      </c>
      <c r="E584" t="s">
        <v>7033</v>
      </c>
      <c r="F584" t="s">
        <v>7034</v>
      </c>
      <c r="G584" t="s">
        <v>7035</v>
      </c>
      <c r="I584" t="s">
        <v>7036</v>
      </c>
      <c r="J584" t="s">
        <v>5287</v>
      </c>
      <c r="K584" t="s">
        <v>132</v>
      </c>
      <c r="L584">
        <v>14080</v>
      </c>
      <c r="M584">
        <v>6.2300000000000001E-2</v>
      </c>
      <c r="N584" t="s">
        <v>3517</v>
      </c>
      <c r="O584" t="s">
        <v>7037</v>
      </c>
    </row>
    <row r="585" spans="1:15" x14ac:dyDescent="0.25">
      <c r="A585" t="s">
        <v>564</v>
      </c>
      <c r="B585" t="s">
        <v>30</v>
      </c>
      <c r="C585" t="s">
        <v>150</v>
      </c>
      <c r="D585" t="s">
        <v>3964</v>
      </c>
      <c r="E585" t="s">
        <v>2129</v>
      </c>
      <c r="F585" t="s">
        <v>2128</v>
      </c>
      <c r="G585" t="s">
        <v>7038</v>
      </c>
      <c r="H585" t="s">
        <v>3564</v>
      </c>
      <c r="I585" t="s">
        <v>7039</v>
      </c>
      <c r="J585" t="s">
        <v>5418</v>
      </c>
      <c r="K585" t="s">
        <v>5204</v>
      </c>
      <c r="L585">
        <v>13970</v>
      </c>
      <c r="M585">
        <v>0.1807</v>
      </c>
      <c r="N585" t="s">
        <v>3517</v>
      </c>
      <c r="O585" t="s">
        <v>2130</v>
      </c>
    </row>
    <row r="586" spans="1:15" x14ac:dyDescent="0.25">
      <c r="A586" t="s">
        <v>564</v>
      </c>
      <c r="B586" t="s">
        <v>30</v>
      </c>
      <c r="C586" t="s">
        <v>5775</v>
      </c>
      <c r="D586" t="s">
        <v>5776</v>
      </c>
      <c r="E586" t="s">
        <v>7040</v>
      </c>
      <c r="F586" t="s">
        <v>7041</v>
      </c>
      <c r="G586" t="s">
        <v>7042</v>
      </c>
      <c r="I586" t="s">
        <v>7043</v>
      </c>
      <c r="J586" t="s">
        <v>5560</v>
      </c>
      <c r="K586" t="s">
        <v>132</v>
      </c>
      <c r="L586">
        <v>13897</v>
      </c>
      <c r="M586">
        <v>9.2699999999999991E-2</v>
      </c>
      <c r="N586" t="s">
        <v>3517</v>
      </c>
      <c r="O586" t="s">
        <v>7044</v>
      </c>
    </row>
    <row r="587" spans="1:15" x14ac:dyDescent="0.25">
      <c r="A587" t="s">
        <v>564</v>
      </c>
      <c r="B587" t="s">
        <v>30</v>
      </c>
      <c r="C587" t="s">
        <v>7045</v>
      </c>
      <c r="D587" t="s">
        <v>7046</v>
      </c>
      <c r="E587" t="s">
        <v>7047</v>
      </c>
      <c r="F587" t="s">
        <v>7048</v>
      </c>
      <c r="G587" t="s">
        <v>7049</v>
      </c>
      <c r="H587" t="s">
        <v>3152</v>
      </c>
      <c r="I587" t="s">
        <v>7050</v>
      </c>
      <c r="J587" t="s">
        <v>5697</v>
      </c>
      <c r="K587" t="s">
        <v>132</v>
      </c>
      <c r="L587">
        <v>13795</v>
      </c>
      <c r="M587">
        <v>0.16389999999999999</v>
      </c>
      <c r="N587" t="s">
        <v>3517</v>
      </c>
      <c r="O587" t="s">
        <v>7051</v>
      </c>
    </row>
    <row r="588" spans="1:15" x14ac:dyDescent="0.25">
      <c r="A588" t="s">
        <v>564</v>
      </c>
      <c r="B588" t="s">
        <v>30</v>
      </c>
      <c r="C588" t="s">
        <v>393</v>
      </c>
      <c r="D588" t="s">
        <v>5808</v>
      </c>
      <c r="E588" t="s">
        <v>7052</v>
      </c>
      <c r="F588" t="s">
        <v>7053</v>
      </c>
      <c r="G588" t="s">
        <v>7054</v>
      </c>
      <c r="H588" t="s">
        <v>3564</v>
      </c>
      <c r="I588" t="s">
        <v>7055</v>
      </c>
      <c r="J588" t="s">
        <v>3794</v>
      </c>
      <c r="K588" t="s">
        <v>5663</v>
      </c>
      <c r="L588">
        <v>13648</v>
      </c>
      <c r="M588">
        <v>2.46E-2</v>
      </c>
      <c r="N588" t="s">
        <v>3517</v>
      </c>
      <c r="O588" t="s">
        <v>7056</v>
      </c>
    </row>
    <row r="589" spans="1:15" x14ac:dyDescent="0.25">
      <c r="A589" t="s">
        <v>564</v>
      </c>
      <c r="B589" t="s">
        <v>30</v>
      </c>
      <c r="C589" t="s">
        <v>7057</v>
      </c>
      <c r="D589" t="s">
        <v>7058</v>
      </c>
      <c r="E589" t="s">
        <v>7059</v>
      </c>
      <c r="F589" t="s">
        <v>7060</v>
      </c>
      <c r="G589" t="s">
        <v>7061</v>
      </c>
      <c r="I589" t="s">
        <v>7062</v>
      </c>
      <c r="J589" t="s">
        <v>3961</v>
      </c>
      <c r="K589" t="s">
        <v>4370</v>
      </c>
      <c r="L589">
        <v>13569</v>
      </c>
      <c r="M589">
        <v>9.7200000000000009E-2</v>
      </c>
      <c r="N589" t="s">
        <v>3517</v>
      </c>
      <c r="O589" t="s">
        <v>7063</v>
      </c>
    </row>
    <row r="590" spans="1:15" x14ac:dyDescent="0.25">
      <c r="A590" t="s">
        <v>564</v>
      </c>
      <c r="B590" t="s">
        <v>30</v>
      </c>
      <c r="C590" t="s">
        <v>6377</v>
      </c>
      <c r="D590" t="s">
        <v>6378</v>
      </c>
      <c r="E590" t="s">
        <v>7064</v>
      </c>
      <c r="F590" t="s">
        <v>7065</v>
      </c>
      <c r="G590" t="s">
        <v>7066</v>
      </c>
      <c r="I590" t="s">
        <v>7067</v>
      </c>
      <c r="J590" t="s">
        <v>4116</v>
      </c>
      <c r="K590" t="s">
        <v>132</v>
      </c>
      <c r="L590">
        <v>13519</v>
      </c>
      <c r="M590">
        <v>0.1019</v>
      </c>
      <c r="N590" t="s">
        <v>3517</v>
      </c>
      <c r="O590" t="s">
        <v>7068</v>
      </c>
    </row>
    <row r="591" spans="1:15" x14ac:dyDescent="0.25">
      <c r="A591" t="s">
        <v>564</v>
      </c>
      <c r="B591" t="s">
        <v>30</v>
      </c>
      <c r="C591" t="s">
        <v>7069</v>
      </c>
      <c r="D591" t="s">
        <v>7070</v>
      </c>
      <c r="E591" t="s">
        <v>7071</v>
      </c>
      <c r="F591" t="s">
        <v>7072</v>
      </c>
      <c r="G591" t="s">
        <v>7066</v>
      </c>
      <c r="I591" t="s">
        <v>7073</v>
      </c>
      <c r="J591" t="s">
        <v>4267</v>
      </c>
      <c r="K591" t="s">
        <v>4286</v>
      </c>
      <c r="L591">
        <v>13519</v>
      </c>
      <c r="M591">
        <v>4.5499999999999999E-2</v>
      </c>
      <c r="N591" t="s">
        <v>3517</v>
      </c>
      <c r="O591" t="s">
        <v>7074</v>
      </c>
    </row>
    <row r="592" spans="1:15" x14ac:dyDescent="0.25">
      <c r="A592" t="s">
        <v>564</v>
      </c>
      <c r="B592" t="s">
        <v>30</v>
      </c>
      <c r="C592" t="s">
        <v>349</v>
      </c>
      <c r="D592" t="s">
        <v>4529</v>
      </c>
      <c r="E592" t="s">
        <v>7075</v>
      </c>
      <c r="F592" t="s">
        <v>7076</v>
      </c>
      <c r="G592" t="s">
        <v>7077</v>
      </c>
      <c r="H592" t="s">
        <v>3564</v>
      </c>
      <c r="I592" t="s">
        <v>7078</v>
      </c>
      <c r="J592" t="s">
        <v>4411</v>
      </c>
      <c r="K592" t="s">
        <v>4077</v>
      </c>
      <c r="L592">
        <v>13477</v>
      </c>
      <c r="M592">
        <v>3.3799999999999997E-2</v>
      </c>
      <c r="N592" t="s">
        <v>3517</v>
      </c>
      <c r="O592" t="s">
        <v>7079</v>
      </c>
    </row>
    <row r="593" spans="1:15" x14ac:dyDescent="0.25">
      <c r="A593" t="s">
        <v>564</v>
      </c>
      <c r="B593" t="s">
        <v>30</v>
      </c>
      <c r="C593" t="s">
        <v>7080</v>
      </c>
      <c r="D593" t="s">
        <v>7081</v>
      </c>
      <c r="E593" t="s">
        <v>7082</v>
      </c>
      <c r="F593" t="s">
        <v>7083</v>
      </c>
      <c r="G593" t="s">
        <v>7084</v>
      </c>
      <c r="I593" t="s">
        <v>7085</v>
      </c>
      <c r="J593" t="s">
        <v>4565</v>
      </c>
      <c r="K593" t="s">
        <v>132</v>
      </c>
      <c r="L593">
        <v>13424</v>
      </c>
      <c r="M593">
        <v>0.17580000000000001</v>
      </c>
      <c r="N593" t="s">
        <v>3517</v>
      </c>
      <c r="O593" t="s">
        <v>7086</v>
      </c>
    </row>
    <row r="594" spans="1:15" x14ac:dyDescent="0.25">
      <c r="A594" t="s">
        <v>564</v>
      </c>
      <c r="B594" t="s">
        <v>30</v>
      </c>
      <c r="C594" t="s">
        <v>4707</v>
      </c>
      <c r="D594" t="s">
        <v>4708</v>
      </c>
      <c r="E594" t="s">
        <v>7087</v>
      </c>
      <c r="F594" t="s">
        <v>7088</v>
      </c>
      <c r="G594" t="s">
        <v>7089</v>
      </c>
      <c r="H594" t="s">
        <v>3564</v>
      </c>
      <c r="I594" t="s">
        <v>7090</v>
      </c>
      <c r="J594" t="s">
        <v>4705</v>
      </c>
      <c r="K594" t="s">
        <v>3600</v>
      </c>
      <c r="L594">
        <v>13393</v>
      </c>
      <c r="M594">
        <v>9.6600000000000005E-2</v>
      </c>
      <c r="N594" t="s">
        <v>3517</v>
      </c>
      <c r="O594" t="s">
        <v>7091</v>
      </c>
    </row>
    <row r="595" spans="1:15" x14ac:dyDescent="0.25">
      <c r="A595" t="s">
        <v>564</v>
      </c>
      <c r="B595" t="s">
        <v>30</v>
      </c>
      <c r="C595" t="s">
        <v>7092</v>
      </c>
      <c r="D595" t="s">
        <v>7093</v>
      </c>
      <c r="E595" t="s">
        <v>7094</v>
      </c>
      <c r="F595" t="s">
        <v>7095</v>
      </c>
      <c r="G595" t="s">
        <v>7096</v>
      </c>
      <c r="I595" t="s">
        <v>7097</v>
      </c>
      <c r="J595" t="s">
        <v>4860</v>
      </c>
      <c r="K595" t="s">
        <v>132</v>
      </c>
      <c r="L595">
        <v>13391</v>
      </c>
      <c r="M595">
        <v>0.1283</v>
      </c>
      <c r="N595" t="s">
        <v>3517</v>
      </c>
      <c r="O595" t="s">
        <v>7098</v>
      </c>
    </row>
    <row r="596" spans="1:15" x14ac:dyDescent="0.25">
      <c r="A596" t="s">
        <v>564</v>
      </c>
      <c r="B596" t="s">
        <v>30</v>
      </c>
      <c r="C596" t="s">
        <v>4707</v>
      </c>
      <c r="D596" t="s">
        <v>4708</v>
      </c>
      <c r="E596" t="s">
        <v>7099</v>
      </c>
      <c r="F596" t="s">
        <v>7100</v>
      </c>
      <c r="G596" t="s">
        <v>7101</v>
      </c>
      <c r="I596" t="s">
        <v>7102</v>
      </c>
      <c r="J596" t="s">
        <v>5144</v>
      </c>
      <c r="K596" t="s">
        <v>132</v>
      </c>
      <c r="L596">
        <v>13245</v>
      </c>
      <c r="M596">
        <v>0.1537</v>
      </c>
      <c r="N596" t="s">
        <v>3517</v>
      </c>
      <c r="O596" t="s">
        <v>7103</v>
      </c>
    </row>
    <row r="597" spans="1:15" x14ac:dyDescent="0.25">
      <c r="A597" t="s">
        <v>564</v>
      </c>
      <c r="B597" t="s">
        <v>30</v>
      </c>
      <c r="C597" t="s">
        <v>7104</v>
      </c>
      <c r="D597" t="s">
        <v>7105</v>
      </c>
      <c r="E597" t="s">
        <v>7106</v>
      </c>
      <c r="F597" t="s">
        <v>6650</v>
      </c>
      <c r="G597" t="s">
        <v>7107</v>
      </c>
      <c r="I597" t="s">
        <v>7108</v>
      </c>
      <c r="J597" t="s">
        <v>5293</v>
      </c>
      <c r="K597" t="s">
        <v>132</v>
      </c>
      <c r="L597">
        <v>13186</v>
      </c>
      <c r="M597">
        <v>7.85E-2</v>
      </c>
      <c r="N597" t="s">
        <v>3517</v>
      </c>
      <c r="O597" t="s">
        <v>7109</v>
      </c>
    </row>
    <row r="598" spans="1:15" x14ac:dyDescent="0.25">
      <c r="A598" t="s">
        <v>564</v>
      </c>
      <c r="B598" t="s">
        <v>30</v>
      </c>
      <c r="C598" t="s">
        <v>150</v>
      </c>
      <c r="D598" t="s">
        <v>3964</v>
      </c>
      <c r="E598" t="s">
        <v>2134</v>
      </c>
      <c r="F598" t="s">
        <v>2133</v>
      </c>
      <c r="G598" t="s">
        <v>7110</v>
      </c>
      <c r="H598" t="s">
        <v>3564</v>
      </c>
      <c r="I598" t="s">
        <v>7111</v>
      </c>
      <c r="J598" t="s">
        <v>5426</v>
      </c>
      <c r="K598" t="s">
        <v>4614</v>
      </c>
      <c r="L598">
        <v>13138</v>
      </c>
      <c r="M598">
        <v>0.18229999999999999</v>
      </c>
      <c r="N598" t="s">
        <v>3517</v>
      </c>
      <c r="O598" t="s">
        <v>2135</v>
      </c>
    </row>
    <row r="599" spans="1:15" x14ac:dyDescent="0.25">
      <c r="A599" t="s">
        <v>564</v>
      </c>
      <c r="B599" t="s">
        <v>30</v>
      </c>
      <c r="C599" t="s">
        <v>7112</v>
      </c>
      <c r="D599" t="s">
        <v>7113</v>
      </c>
      <c r="E599" t="s">
        <v>7114</v>
      </c>
      <c r="F599" t="s">
        <v>7115</v>
      </c>
      <c r="G599" t="s">
        <v>7116</v>
      </c>
      <c r="H599" t="s">
        <v>3848</v>
      </c>
      <c r="I599" t="s">
        <v>7117</v>
      </c>
      <c r="J599" t="s">
        <v>5568</v>
      </c>
      <c r="K599" t="s">
        <v>132</v>
      </c>
      <c r="L599">
        <v>13072</v>
      </c>
      <c r="M599">
        <v>8.5999999999999993E-2</v>
      </c>
      <c r="N599" t="s">
        <v>3517</v>
      </c>
      <c r="O599" t="s">
        <v>7118</v>
      </c>
    </row>
    <row r="600" spans="1:15" x14ac:dyDescent="0.25">
      <c r="A600" t="s">
        <v>564</v>
      </c>
      <c r="B600" t="s">
        <v>30</v>
      </c>
      <c r="C600" t="s">
        <v>6848</v>
      </c>
      <c r="D600" t="s">
        <v>6849</v>
      </c>
      <c r="E600" t="s">
        <v>7119</v>
      </c>
      <c r="F600" t="s">
        <v>7120</v>
      </c>
      <c r="G600" t="s">
        <v>7121</v>
      </c>
      <c r="H600" t="s">
        <v>3140</v>
      </c>
      <c r="I600" t="s">
        <v>7122</v>
      </c>
      <c r="J600" t="s">
        <v>5703</v>
      </c>
      <c r="K600" t="s">
        <v>132</v>
      </c>
      <c r="L600">
        <v>13007</v>
      </c>
      <c r="M600">
        <v>9.2600000000000002E-2</v>
      </c>
      <c r="N600" t="s">
        <v>3517</v>
      </c>
      <c r="O600" t="s">
        <v>7123</v>
      </c>
    </row>
    <row r="601" spans="1:15" x14ac:dyDescent="0.25">
      <c r="A601" t="s">
        <v>564</v>
      </c>
      <c r="B601" t="s">
        <v>30</v>
      </c>
      <c r="C601" t="s">
        <v>6332</v>
      </c>
      <c r="D601" t="s">
        <v>6333</v>
      </c>
      <c r="E601" t="s">
        <v>7124</v>
      </c>
      <c r="F601" t="s">
        <v>7125</v>
      </c>
      <c r="G601" t="s">
        <v>7126</v>
      </c>
      <c r="H601" t="s">
        <v>3564</v>
      </c>
      <c r="I601" t="s">
        <v>7127</v>
      </c>
      <c r="J601" t="s">
        <v>3801</v>
      </c>
      <c r="K601" t="s">
        <v>4896</v>
      </c>
      <c r="L601">
        <v>12891</v>
      </c>
      <c r="M601">
        <v>3.7900000000000003E-2</v>
      </c>
      <c r="N601" t="s">
        <v>3517</v>
      </c>
      <c r="O601" t="s">
        <v>7128</v>
      </c>
    </row>
  </sheetData>
  <phoneticPr fontId="2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601"/>
  <sheetViews>
    <sheetView topLeftCell="A395" workbookViewId="0">
      <selection activeCell="F302" sqref="F302"/>
    </sheetView>
  </sheetViews>
  <sheetFormatPr defaultColWidth="8.81640625" defaultRowHeight="14" x14ac:dyDescent="0.25"/>
  <cols>
    <col min="6" max="6" width="45.6328125" bestFit="1" customWidth="1"/>
    <col min="7" max="7" width="9.453125" bestFit="1" customWidth="1"/>
  </cols>
  <sheetData>
    <row r="1" spans="1:15" x14ac:dyDescent="0.25">
      <c r="A1" t="s">
        <v>482</v>
      </c>
      <c r="B1" t="s">
        <v>3502</v>
      </c>
      <c r="C1" t="s">
        <v>1281</v>
      </c>
      <c r="D1" t="s">
        <v>7129</v>
      </c>
      <c r="E1" t="s">
        <v>137</v>
      </c>
      <c r="F1" t="s">
        <v>3503</v>
      </c>
      <c r="G1" t="s">
        <v>3251</v>
      </c>
      <c r="H1" t="s">
        <v>3256</v>
      </c>
      <c r="I1" t="s">
        <v>3253</v>
      </c>
      <c r="J1" t="s">
        <v>21</v>
      </c>
      <c r="K1" t="s">
        <v>568</v>
      </c>
      <c r="L1" t="s">
        <v>494</v>
      </c>
      <c r="M1" t="s">
        <v>107</v>
      </c>
      <c r="N1" t="s">
        <v>3258</v>
      </c>
      <c r="O1" t="s">
        <v>3157</v>
      </c>
    </row>
    <row r="2" spans="1:15" x14ac:dyDescent="0.25">
      <c r="A2" t="s">
        <v>564</v>
      </c>
      <c r="B2" t="s">
        <v>28</v>
      </c>
      <c r="C2" t="s">
        <v>1292</v>
      </c>
      <c r="D2" t="s">
        <v>7130</v>
      </c>
      <c r="E2">
        <v>1</v>
      </c>
      <c r="F2" t="s">
        <v>146</v>
      </c>
      <c r="G2">
        <v>20314294</v>
      </c>
      <c r="H2">
        <v>17278574</v>
      </c>
      <c r="I2">
        <v>17.600000000000001</v>
      </c>
      <c r="J2">
        <v>0.54</v>
      </c>
      <c r="K2">
        <v>0.46</v>
      </c>
      <c r="L2">
        <v>0.1</v>
      </c>
      <c r="M2">
        <v>109697</v>
      </c>
      <c r="N2">
        <v>79481</v>
      </c>
      <c r="O2">
        <v>38</v>
      </c>
    </row>
    <row r="3" spans="1:15" x14ac:dyDescent="0.25">
      <c r="A3" t="s">
        <v>564</v>
      </c>
      <c r="B3" t="s">
        <v>28</v>
      </c>
      <c r="C3" t="s">
        <v>1298</v>
      </c>
      <c r="D3" t="s">
        <v>7131</v>
      </c>
      <c r="E3">
        <v>2</v>
      </c>
      <c r="F3" t="s">
        <v>147</v>
      </c>
      <c r="G3">
        <v>10437862</v>
      </c>
      <c r="H3">
        <v>2441092</v>
      </c>
      <c r="I3">
        <v>327.60000000000002</v>
      </c>
      <c r="J3">
        <v>0.39</v>
      </c>
      <c r="K3">
        <v>1.58</v>
      </c>
      <c r="L3">
        <v>-1.2</v>
      </c>
      <c r="M3">
        <v>40708</v>
      </c>
      <c r="N3">
        <v>38569</v>
      </c>
      <c r="O3">
        <v>5.5</v>
      </c>
    </row>
    <row r="4" spans="1:15" x14ac:dyDescent="0.25">
      <c r="A4" t="s">
        <v>564</v>
      </c>
      <c r="B4" t="s">
        <v>28</v>
      </c>
      <c r="C4" t="s">
        <v>1304</v>
      </c>
      <c r="D4" t="s">
        <v>7132</v>
      </c>
      <c r="E4">
        <v>3</v>
      </c>
      <c r="F4" t="s">
        <v>148</v>
      </c>
      <c r="G4">
        <v>7975115</v>
      </c>
      <c r="H4">
        <v>11070067</v>
      </c>
      <c r="I4">
        <v>-28</v>
      </c>
      <c r="J4">
        <v>0.46</v>
      </c>
      <c r="K4">
        <v>1</v>
      </c>
      <c r="L4">
        <v>-0.5</v>
      </c>
      <c r="M4">
        <v>36686</v>
      </c>
      <c r="N4">
        <v>110701</v>
      </c>
      <c r="O4">
        <v>-66.900000000000006</v>
      </c>
    </row>
    <row r="5" spans="1:15" x14ac:dyDescent="0.25">
      <c r="A5" t="s">
        <v>564</v>
      </c>
      <c r="B5" t="s">
        <v>28</v>
      </c>
      <c r="C5" t="s">
        <v>1310</v>
      </c>
      <c r="D5" t="s">
        <v>7133</v>
      </c>
      <c r="E5">
        <v>4</v>
      </c>
      <c r="F5" t="s">
        <v>151</v>
      </c>
      <c r="G5">
        <v>4678389</v>
      </c>
      <c r="H5">
        <v>2671123</v>
      </c>
      <c r="I5">
        <v>75.099999999999994</v>
      </c>
      <c r="J5">
        <v>1.37</v>
      </c>
      <c r="K5">
        <v>1.1399999999999999</v>
      </c>
      <c r="L5">
        <v>0.2</v>
      </c>
      <c r="M5">
        <v>64094</v>
      </c>
      <c r="N5">
        <v>30451</v>
      </c>
      <c r="O5">
        <v>110.5</v>
      </c>
    </row>
    <row r="6" spans="1:15" x14ac:dyDescent="0.25">
      <c r="A6" t="s">
        <v>564</v>
      </c>
      <c r="B6" t="s">
        <v>28</v>
      </c>
      <c r="C6" t="s">
        <v>1317</v>
      </c>
      <c r="D6" t="s">
        <v>7134</v>
      </c>
      <c r="E6">
        <v>5</v>
      </c>
      <c r="F6" t="s">
        <v>3579</v>
      </c>
      <c r="G6">
        <v>4600257</v>
      </c>
      <c r="H6">
        <v>3768288</v>
      </c>
      <c r="I6">
        <v>22.1</v>
      </c>
      <c r="J6">
        <v>1.21</v>
      </c>
      <c r="K6">
        <v>0.93</v>
      </c>
      <c r="L6">
        <v>0.3</v>
      </c>
      <c r="M6">
        <v>55663</v>
      </c>
      <c r="N6">
        <v>35045</v>
      </c>
      <c r="O6">
        <v>58.8</v>
      </c>
    </row>
    <row r="7" spans="1:15" x14ac:dyDescent="0.25">
      <c r="A7" t="s">
        <v>564</v>
      </c>
      <c r="B7" t="s">
        <v>28</v>
      </c>
      <c r="C7" t="s">
        <v>1323</v>
      </c>
      <c r="D7" t="s">
        <v>7135</v>
      </c>
      <c r="E7">
        <v>6</v>
      </c>
      <c r="F7" t="s">
        <v>150</v>
      </c>
      <c r="G7">
        <v>4406791</v>
      </c>
      <c r="H7">
        <v>8411854</v>
      </c>
      <c r="I7">
        <v>-47.6</v>
      </c>
      <c r="J7">
        <v>1.05</v>
      </c>
      <c r="K7">
        <v>1.46</v>
      </c>
      <c r="L7">
        <v>-0.4</v>
      </c>
      <c r="M7">
        <v>46271</v>
      </c>
      <c r="N7">
        <v>122813</v>
      </c>
      <c r="O7">
        <v>-62.3</v>
      </c>
    </row>
    <row r="8" spans="1:15" x14ac:dyDescent="0.25">
      <c r="A8" t="s">
        <v>564</v>
      </c>
      <c r="B8" t="s">
        <v>28</v>
      </c>
      <c r="C8" t="s">
        <v>1325</v>
      </c>
      <c r="D8" t="s">
        <v>7136</v>
      </c>
      <c r="E8">
        <v>7</v>
      </c>
      <c r="F8" t="s">
        <v>154</v>
      </c>
      <c r="G8">
        <v>3751506</v>
      </c>
      <c r="H8">
        <v>6161360</v>
      </c>
      <c r="I8">
        <v>-39.1</v>
      </c>
      <c r="J8">
        <v>0.93</v>
      </c>
      <c r="K8">
        <v>0.85</v>
      </c>
      <c r="L8">
        <v>0.1</v>
      </c>
      <c r="M8">
        <v>34889</v>
      </c>
      <c r="N8">
        <v>52372</v>
      </c>
      <c r="O8">
        <v>-33.4</v>
      </c>
    </row>
    <row r="9" spans="1:15" x14ac:dyDescent="0.25">
      <c r="A9" t="s">
        <v>564</v>
      </c>
      <c r="B9" t="s">
        <v>28</v>
      </c>
      <c r="C9" t="s">
        <v>1335</v>
      </c>
      <c r="D9" t="s">
        <v>7137</v>
      </c>
      <c r="E9">
        <v>8</v>
      </c>
      <c r="F9" t="s">
        <v>4154</v>
      </c>
      <c r="G9">
        <v>3203830</v>
      </c>
      <c r="H9">
        <v>3328529</v>
      </c>
      <c r="I9">
        <v>-3.7</v>
      </c>
      <c r="J9">
        <v>1.1100000000000001</v>
      </c>
      <c r="K9">
        <v>0.86</v>
      </c>
      <c r="L9">
        <v>0.3</v>
      </c>
      <c r="M9">
        <v>35563</v>
      </c>
      <c r="N9">
        <v>28625</v>
      </c>
      <c r="O9">
        <v>24.2</v>
      </c>
    </row>
    <row r="10" spans="1:15" x14ac:dyDescent="0.25">
      <c r="A10" t="s">
        <v>564</v>
      </c>
      <c r="B10" t="s">
        <v>28</v>
      </c>
      <c r="C10" t="s">
        <v>1341</v>
      </c>
      <c r="D10" t="s">
        <v>7138</v>
      </c>
      <c r="E10">
        <v>9</v>
      </c>
      <c r="F10" t="s">
        <v>155</v>
      </c>
      <c r="G10">
        <v>2887894</v>
      </c>
      <c r="H10">
        <v>109306</v>
      </c>
      <c r="I10">
        <v>2542</v>
      </c>
      <c r="J10">
        <v>1.18</v>
      </c>
      <c r="K10">
        <v>0.14000000000000001</v>
      </c>
      <c r="L10">
        <v>1</v>
      </c>
      <c r="M10">
        <v>34077</v>
      </c>
      <c r="N10">
        <v>153</v>
      </c>
      <c r="O10">
        <v>22168.5</v>
      </c>
    </row>
    <row r="11" spans="1:15" x14ac:dyDescent="0.25">
      <c r="A11" t="s">
        <v>564</v>
      </c>
      <c r="B11" t="s">
        <v>28</v>
      </c>
      <c r="C11" t="s">
        <v>1348</v>
      </c>
      <c r="D11" t="s">
        <v>7139</v>
      </c>
      <c r="E11">
        <v>10</v>
      </c>
      <c r="F11" t="s">
        <v>152</v>
      </c>
      <c r="G11">
        <v>2678796</v>
      </c>
      <c r="H11">
        <v>3585750</v>
      </c>
      <c r="I11">
        <v>-25.3</v>
      </c>
      <c r="J11">
        <v>0.37</v>
      </c>
      <c r="K11">
        <v>0.45</v>
      </c>
      <c r="L11">
        <v>-0.1</v>
      </c>
      <c r="M11">
        <v>9912</v>
      </c>
      <c r="N11">
        <v>16136</v>
      </c>
      <c r="O11">
        <v>-38.6</v>
      </c>
    </row>
    <row r="12" spans="1:15" x14ac:dyDescent="0.25">
      <c r="A12" t="s">
        <v>564</v>
      </c>
      <c r="B12" t="s">
        <v>28</v>
      </c>
      <c r="C12" t="s">
        <v>1343</v>
      </c>
      <c r="D12" t="s">
        <v>7140</v>
      </c>
      <c r="E12">
        <v>11</v>
      </c>
      <c r="F12" t="s">
        <v>3842</v>
      </c>
      <c r="G12">
        <v>2316884</v>
      </c>
      <c r="H12">
        <v>3776291</v>
      </c>
      <c r="I12">
        <v>-38.6</v>
      </c>
      <c r="J12">
        <v>2.65</v>
      </c>
      <c r="K12">
        <v>2.2200000000000002</v>
      </c>
      <c r="L12">
        <v>0.4</v>
      </c>
      <c r="M12">
        <v>61397</v>
      </c>
      <c r="N12">
        <v>83834</v>
      </c>
      <c r="O12">
        <v>-26.8</v>
      </c>
    </row>
    <row r="13" spans="1:15" x14ac:dyDescent="0.25">
      <c r="A13" t="s">
        <v>564</v>
      </c>
      <c r="B13" t="s">
        <v>28</v>
      </c>
      <c r="C13" t="s">
        <v>1359</v>
      </c>
      <c r="D13" t="s">
        <v>7141</v>
      </c>
      <c r="E13">
        <v>12</v>
      </c>
      <c r="F13" t="s">
        <v>4089</v>
      </c>
      <c r="G13">
        <v>2186326</v>
      </c>
      <c r="J13">
        <v>1.35</v>
      </c>
      <c r="M13">
        <v>29515</v>
      </c>
    </row>
    <row r="14" spans="1:15" x14ac:dyDescent="0.25">
      <c r="A14" t="s">
        <v>564</v>
      </c>
      <c r="B14" t="s">
        <v>28</v>
      </c>
      <c r="C14" t="s">
        <v>1365</v>
      </c>
      <c r="D14" t="s">
        <v>7142</v>
      </c>
      <c r="E14">
        <v>13</v>
      </c>
      <c r="F14" t="s">
        <v>4678</v>
      </c>
      <c r="G14">
        <v>2010495</v>
      </c>
      <c r="H14">
        <v>519755</v>
      </c>
      <c r="I14">
        <v>286.8</v>
      </c>
      <c r="J14">
        <v>1.1499999999999999</v>
      </c>
      <c r="K14">
        <v>0.35</v>
      </c>
      <c r="L14">
        <v>0.8</v>
      </c>
      <c r="M14">
        <v>23121</v>
      </c>
      <c r="N14">
        <v>1819</v>
      </c>
      <c r="O14">
        <v>1171</v>
      </c>
    </row>
    <row r="15" spans="1:15" x14ac:dyDescent="0.25">
      <c r="A15" t="s">
        <v>564</v>
      </c>
      <c r="B15" t="s">
        <v>28</v>
      </c>
      <c r="C15" t="s">
        <v>1371</v>
      </c>
      <c r="D15" t="s">
        <v>7143</v>
      </c>
      <c r="E15">
        <v>14</v>
      </c>
      <c r="F15" t="s">
        <v>149</v>
      </c>
      <c r="G15">
        <v>1936749</v>
      </c>
      <c r="H15">
        <v>5288663</v>
      </c>
      <c r="I15">
        <v>-63.4</v>
      </c>
      <c r="J15">
        <v>0.55000000000000004</v>
      </c>
      <c r="K15">
        <v>0.81</v>
      </c>
      <c r="L15">
        <v>-0.3</v>
      </c>
      <c r="M15">
        <v>10652</v>
      </c>
      <c r="N15">
        <v>42838</v>
      </c>
      <c r="O15">
        <v>-75.099999999999994</v>
      </c>
    </row>
    <row r="16" spans="1:15" x14ac:dyDescent="0.25">
      <c r="A16" t="s">
        <v>564</v>
      </c>
      <c r="B16" t="s">
        <v>28</v>
      </c>
      <c r="C16" t="s">
        <v>1312</v>
      </c>
      <c r="D16" t="s">
        <v>7144</v>
      </c>
      <c r="E16">
        <v>15</v>
      </c>
      <c r="F16" t="s">
        <v>3932</v>
      </c>
      <c r="G16">
        <v>1707612</v>
      </c>
      <c r="H16">
        <v>2746620</v>
      </c>
      <c r="I16">
        <v>-37.799999999999997</v>
      </c>
      <c r="J16">
        <v>2.15</v>
      </c>
      <c r="K16">
        <v>1.81</v>
      </c>
      <c r="L16">
        <v>0.3</v>
      </c>
      <c r="M16">
        <v>36714</v>
      </c>
      <c r="N16">
        <v>49714</v>
      </c>
      <c r="O16">
        <v>-26.1</v>
      </c>
    </row>
    <row r="17" spans="1:15" x14ac:dyDescent="0.25">
      <c r="A17" t="s">
        <v>564</v>
      </c>
      <c r="B17" t="s">
        <v>28</v>
      </c>
      <c r="C17" t="s">
        <v>1382</v>
      </c>
      <c r="D17" t="s">
        <v>7145</v>
      </c>
      <c r="E17">
        <v>16</v>
      </c>
      <c r="F17" t="s">
        <v>4134</v>
      </c>
      <c r="G17">
        <v>1687420</v>
      </c>
      <c r="H17">
        <v>2329437</v>
      </c>
      <c r="I17">
        <v>-27.6</v>
      </c>
      <c r="J17">
        <v>0.79</v>
      </c>
      <c r="K17">
        <v>0.82</v>
      </c>
      <c r="L17">
        <v>0</v>
      </c>
      <c r="M17">
        <v>13331</v>
      </c>
      <c r="N17">
        <v>19101</v>
      </c>
      <c r="O17">
        <v>-30.2</v>
      </c>
    </row>
    <row r="18" spans="1:15" x14ac:dyDescent="0.25">
      <c r="A18" t="s">
        <v>564</v>
      </c>
      <c r="B18" t="s">
        <v>28</v>
      </c>
      <c r="C18" t="s">
        <v>1387</v>
      </c>
      <c r="D18" t="s">
        <v>7146</v>
      </c>
      <c r="E18">
        <v>17</v>
      </c>
      <c r="F18" t="s">
        <v>4247</v>
      </c>
      <c r="G18">
        <v>1639404</v>
      </c>
      <c r="H18">
        <v>3637753</v>
      </c>
      <c r="I18">
        <v>-54.9</v>
      </c>
      <c r="J18">
        <v>0.78</v>
      </c>
      <c r="K18">
        <v>0.92</v>
      </c>
      <c r="L18">
        <v>-0.1</v>
      </c>
      <c r="M18">
        <v>12787</v>
      </c>
      <c r="N18">
        <v>33467</v>
      </c>
      <c r="O18">
        <v>-61.8</v>
      </c>
    </row>
    <row r="19" spans="1:15" x14ac:dyDescent="0.25">
      <c r="A19" t="s">
        <v>564</v>
      </c>
      <c r="B19" t="s">
        <v>28</v>
      </c>
      <c r="C19" t="s">
        <v>1392</v>
      </c>
      <c r="D19" t="s">
        <v>7147</v>
      </c>
      <c r="E19">
        <v>18</v>
      </c>
      <c r="F19" t="s">
        <v>3980</v>
      </c>
      <c r="G19">
        <v>1613259</v>
      </c>
      <c r="H19">
        <v>1148517</v>
      </c>
      <c r="I19">
        <v>40.5</v>
      </c>
      <c r="J19">
        <v>1.1100000000000001</v>
      </c>
      <c r="K19">
        <v>1.1399999999999999</v>
      </c>
      <c r="L19">
        <v>0</v>
      </c>
      <c r="M19">
        <v>17907</v>
      </c>
      <c r="N19">
        <v>13093</v>
      </c>
      <c r="O19">
        <v>36.799999999999997</v>
      </c>
    </row>
    <row r="20" spans="1:15" x14ac:dyDescent="0.25">
      <c r="A20" t="s">
        <v>564</v>
      </c>
      <c r="B20" t="s">
        <v>28</v>
      </c>
      <c r="C20" t="s">
        <v>1398</v>
      </c>
      <c r="D20" t="s">
        <v>7148</v>
      </c>
      <c r="E20">
        <v>19</v>
      </c>
      <c r="F20" t="s">
        <v>4125</v>
      </c>
      <c r="G20">
        <v>1543414</v>
      </c>
      <c r="H20">
        <v>886201</v>
      </c>
      <c r="I20">
        <v>74.2</v>
      </c>
      <c r="J20">
        <v>0.3</v>
      </c>
      <c r="K20">
        <v>0.24</v>
      </c>
      <c r="L20">
        <v>0.1</v>
      </c>
      <c r="M20">
        <v>4630</v>
      </c>
      <c r="N20">
        <v>2127</v>
      </c>
      <c r="O20">
        <v>117.7</v>
      </c>
    </row>
    <row r="21" spans="1:15" x14ac:dyDescent="0.25">
      <c r="A21" t="s">
        <v>564</v>
      </c>
      <c r="B21" t="s">
        <v>28</v>
      </c>
      <c r="C21" t="s">
        <v>1403</v>
      </c>
      <c r="D21" t="s">
        <v>7149</v>
      </c>
      <c r="E21">
        <v>20</v>
      </c>
      <c r="F21" t="s">
        <v>4021</v>
      </c>
      <c r="G21">
        <v>1465972</v>
      </c>
      <c r="H21">
        <v>2612474</v>
      </c>
      <c r="I21">
        <v>-43.9</v>
      </c>
      <c r="J21">
        <v>2.29</v>
      </c>
      <c r="K21">
        <v>2.1</v>
      </c>
      <c r="L21">
        <v>0.2</v>
      </c>
      <c r="M21">
        <v>33571</v>
      </c>
      <c r="N21">
        <v>54862</v>
      </c>
      <c r="O21">
        <v>-38.799999999999997</v>
      </c>
    </row>
    <row r="22" spans="1:15" x14ac:dyDescent="0.25">
      <c r="A22" t="s">
        <v>564</v>
      </c>
      <c r="B22" t="s">
        <v>28</v>
      </c>
      <c r="C22" t="s">
        <v>1408</v>
      </c>
      <c r="D22" t="s">
        <v>7150</v>
      </c>
      <c r="E22">
        <v>21</v>
      </c>
      <c r="F22" t="s">
        <v>4065</v>
      </c>
      <c r="G22">
        <v>1358095</v>
      </c>
      <c r="H22">
        <v>1072654</v>
      </c>
      <c r="I22">
        <v>26.6</v>
      </c>
      <c r="J22">
        <v>1.17</v>
      </c>
      <c r="K22">
        <v>1.1499999999999999</v>
      </c>
      <c r="L22">
        <v>0</v>
      </c>
      <c r="M22">
        <v>15890</v>
      </c>
      <c r="N22">
        <v>12336</v>
      </c>
      <c r="O22">
        <v>28.8</v>
      </c>
    </row>
    <row r="23" spans="1:15" x14ac:dyDescent="0.25">
      <c r="A23" t="s">
        <v>564</v>
      </c>
      <c r="B23" t="s">
        <v>28</v>
      </c>
      <c r="C23" t="s">
        <v>1413</v>
      </c>
      <c r="D23" t="s">
        <v>7151</v>
      </c>
      <c r="E23">
        <v>22</v>
      </c>
      <c r="F23" t="s">
        <v>3619</v>
      </c>
      <c r="G23">
        <v>1319476</v>
      </c>
      <c r="H23">
        <v>1512601</v>
      </c>
      <c r="I23">
        <v>-12.8</v>
      </c>
      <c r="J23">
        <v>1.18</v>
      </c>
      <c r="K23">
        <v>1.67</v>
      </c>
      <c r="L23">
        <v>-0.5</v>
      </c>
      <c r="M23">
        <v>15570</v>
      </c>
      <c r="N23">
        <v>25260</v>
      </c>
      <c r="O23">
        <v>-38.4</v>
      </c>
    </row>
    <row r="24" spans="1:15" x14ac:dyDescent="0.25">
      <c r="A24" t="s">
        <v>564</v>
      </c>
      <c r="B24" t="s">
        <v>28</v>
      </c>
      <c r="C24" t="s">
        <v>1418</v>
      </c>
      <c r="D24" t="s">
        <v>7152</v>
      </c>
      <c r="E24">
        <v>23</v>
      </c>
      <c r="F24" t="s">
        <v>5192</v>
      </c>
      <c r="G24">
        <v>1307834</v>
      </c>
      <c r="H24">
        <v>996196</v>
      </c>
      <c r="I24">
        <v>31.3</v>
      </c>
      <c r="J24">
        <v>1</v>
      </c>
      <c r="K24">
        <v>0.88</v>
      </c>
      <c r="L24">
        <v>0.1</v>
      </c>
      <c r="M24">
        <v>13078</v>
      </c>
      <c r="N24">
        <v>8767</v>
      </c>
      <c r="O24">
        <v>49.2</v>
      </c>
    </row>
    <row r="25" spans="1:15" x14ac:dyDescent="0.25">
      <c r="A25" t="s">
        <v>564</v>
      </c>
      <c r="B25" t="s">
        <v>28</v>
      </c>
      <c r="C25" t="s">
        <v>1424</v>
      </c>
      <c r="D25" t="s">
        <v>7153</v>
      </c>
      <c r="E25">
        <v>24</v>
      </c>
      <c r="F25" t="s">
        <v>4288</v>
      </c>
      <c r="G25">
        <v>1187313</v>
      </c>
      <c r="H25">
        <v>989489</v>
      </c>
      <c r="I25">
        <v>20</v>
      </c>
      <c r="J25">
        <v>0.5</v>
      </c>
      <c r="K25">
        <v>0.76</v>
      </c>
      <c r="L25">
        <v>-0.3</v>
      </c>
      <c r="M25">
        <v>5937</v>
      </c>
      <c r="N25">
        <v>7520</v>
      </c>
      <c r="O25">
        <v>-21.1</v>
      </c>
    </row>
    <row r="26" spans="1:15" x14ac:dyDescent="0.25">
      <c r="A26" t="s">
        <v>564</v>
      </c>
      <c r="B26" t="s">
        <v>28</v>
      </c>
      <c r="C26" t="s">
        <v>1429</v>
      </c>
      <c r="D26" t="s">
        <v>7154</v>
      </c>
      <c r="E26">
        <v>25</v>
      </c>
      <c r="F26" t="s">
        <v>3824</v>
      </c>
      <c r="G26">
        <v>1112415</v>
      </c>
      <c r="J26">
        <v>1.72</v>
      </c>
      <c r="M26">
        <v>19134</v>
      </c>
    </row>
    <row r="27" spans="1:15" x14ac:dyDescent="0.25">
      <c r="A27" t="s">
        <v>564</v>
      </c>
      <c r="B27" t="s">
        <v>28</v>
      </c>
      <c r="C27" t="s">
        <v>1431</v>
      </c>
      <c r="D27" t="s">
        <v>7155</v>
      </c>
      <c r="E27">
        <v>26</v>
      </c>
      <c r="F27" t="s">
        <v>3569</v>
      </c>
      <c r="G27">
        <v>1064270</v>
      </c>
      <c r="H27">
        <v>229441</v>
      </c>
      <c r="I27">
        <v>363.9</v>
      </c>
      <c r="J27">
        <v>1</v>
      </c>
      <c r="K27">
        <v>1.38</v>
      </c>
      <c r="L27">
        <v>-0.4</v>
      </c>
      <c r="M27">
        <v>10643</v>
      </c>
      <c r="N27">
        <v>3166</v>
      </c>
      <c r="O27">
        <v>236.1</v>
      </c>
    </row>
    <row r="28" spans="1:15" x14ac:dyDescent="0.25">
      <c r="A28" t="s">
        <v>564</v>
      </c>
      <c r="B28" t="s">
        <v>28</v>
      </c>
      <c r="C28" t="s">
        <v>1440</v>
      </c>
      <c r="D28" t="s">
        <v>7156</v>
      </c>
      <c r="E28">
        <v>27</v>
      </c>
      <c r="F28" t="s">
        <v>4352</v>
      </c>
      <c r="G28">
        <v>988017</v>
      </c>
      <c r="H28">
        <v>2409363</v>
      </c>
      <c r="I28">
        <v>-59</v>
      </c>
      <c r="J28">
        <v>0.63</v>
      </c>
      <c r="K28">
        <v>1.32</v>
      </c>
      <c r="L28">
        <v>-0.7</v>
      </c>
      <c r="M28">
        <v>6225</v>
      </c>
      <c r="N28">
        <v>31804</v>
      </c>
      <c r="O28">
        <v>-80.400000000000006</v>
      </c>
    </row>
    <row r="29" spans="1:15" x14ac:dyDescent="0.25">
      <c r="A29" t="s">
        <v>564</v>
      </c>
      <c r="B29" t="s">
        <v>28</v>
      </c>
      <c r="C29" t="s">
        <v>1445</v>
      </c>
      <c r="D29" t="s">
        <v>7157</v>
      </c>
      <c r="E29">
        <v>28</v>
      </c>
      <c r="F29" t="s">
        <v>4491</v>
      </c>
      <c r="G29">
        <v>958343</v>
      </c>
      <c r="H29">
        <v>579553</v>
      </c>
      <c r="I29">
        <v>65.400000000000006</v>
      </c>
      <c r="J29">
        <v>0.57999999999999996</v>
      </c>
      <c r="K29">
        <v>0.56000000000000005</v>
      </c>
      <c r="L29">
        <v>0</v>
      </c>
      <c r="M29">
        <v>5558</v>
      </c>
      <c r="N29">
        <v>3245</v>
      </c>
      <c r="O29">
        <v>71.3</v>
      </c>
    </row>
    <row r="30" spans="1:15" x14ac:dyDescent="0.25">
      <c r="A30" t="s">
        <v>564</v>
      </c>
      <c r="B30" t="s">
        <v>28</v>
      </c>
      <c r="C30" t="s">
        <v>1394</v>
      </c>
      <c r="D30" t="s">
        <v>7158</v>
      </c>
      <c r="E30">
        <v>29</v>
      </c>
      <c r="F30" t="s">
        <v>5171</v>
      </c>
      <c r="G30">
        <v>923462</v>
      </c>
      <c r="H30">
        <v>1236105</v>
      </c>
      <c r="I30">
        <v>-25.3</v>
      </c>
      <c r="J30">
        <v>2.1800000000000002</v>
      </c>
      <c r="K30">
        <v>1.49</v>
      </c>
      <c r="L30">
        <v>0.7</v>
      </c>
      <c r="M30">
        <v>20131</v>
      </c>
      <c r="N30">
        <v>18418</v>
      </c>
      <c r="O30">
        <v>9.3000000000000007</v>
      </c>
    </row>
    <row r="31" spans="1:15" x14ac:dyDescent="0.25">
      <c r="A31" t="s">
        <v>564</v>
      </c>
      <c r="B31" t="s">
        <v>28</v>
      </c>
      <c r="C31" t="s">
        <v>1454</v>
      </c>
      <c r="D31" t="s">
        <v>7159</v>
      </c>
      <c r="E31">
        <v>30</v>
      </c>
      <c r="F31" t="s">
        <v>5313</v>
      </c>
      <c r="G31">
        <v>871338</v>
      </c>
      <c r="H31">
        <v>257263</v>
      </c>
      <c r="I31">
        <v>238.7</v>
      </c>
      <c r="J31">
        <v>0.6</v>
      </c>
      <c r="K31">
        <v>0.75</v>
      </c>
      <c r="L31">
        <v>-0.2</v>
      </c>
      <c r="M31">
        <v>5228</v>
      </c>
      <c r="N31">
        <v>1929</v>
      </c>
      <c r="O31">
        <v>171</v>
      </c>
    </row>
    <row r="32" spans="1:15" x14ac:dyDescent="0.25">
      <c r="A32" t="s">
        <v>564</v>
      </c>
      <c r="B32" t="s">
        <v>28</v>
      </c>
      <c r="C32" t="s">
        <v>1459</v>
      </c>
      <c r="D32" t="s">
        <v>7160</v>
      </c>
      <c r="E32">
        <v>31</v>
      </c>
      <c r="F32" t="s">
        <v>4725</v>
      </c>
      <c r="G32">
        <v>868394</v>
      </c>
      <c r="J32">
        <v>1.31</v>
      </c>
      <c r="M32">
        <v>11376</v>
      </c>
    </row>
    <row r="33" spans="1:15" x14ac:dyDescent="0.25">
      <c r="A33" t="s">
        <v>564</v>
      </c>
      <c r="B33" t="s">
        <v>28</v>
      </c>
      <c r="C33" t="s">
        <v>1436</v>
      </c>
      <c r="D33" t="s">
        <v>7161</v>
      </c>
      <c r="E33">
        <v>32</v>
      </c>
      <c r="F33" t="s">
        <v>4438</v>
      </c>
      <c r="G33">
        <v>845961</v>
      </c>
      <c r="J33">
        <v>1.31</v>
      </c>
      <c r="M33">
        <v>11082</v>
      </c>
    </row>
    <row r="34" spans="1:15" x14ac:dyDescent="0.25">
      <c r="A34" t="s">
        <v>564</v>
      </c>
      <c r="B34" t="s">
        <v>28</v>
      </c>
      <c r="C34" t="s">
        <v>1469</v>
      </c>
      <c r="D34" t="s">
        <v>7162</v>
      </c>
      <c r="E34">
        <v>33</v>
      </c>
      <c r="F34" t="s">
        <v>4461</v>
      </c>
      <c r="G34">
        <v>832401</v>
      </c>
      <c r="H34">
        <v>1044220</v>
      </c>
      <c r="I34">
        <v>-20.3</v>
      </c>
      <c r="J34">
        <v>0.64</v>
      </c>
      <c r="K34">
        <v>0.34</v>
      </c>
      <c r="L34">
        <v>0.3</v>
      </c>
      <c r="M34">
        <v>5327</v>
      </c>
      <c r="N34">
        <v>3550</v>
      </c>
      <c r="O34">
        <v>50.1</v>
      </c>
    </row>
    <row r="35" spans="1:15" x14ac:dyDescent="0.25">
      <c r="A35" t="s">
        <v>564</v>
      </c>
      <c r="B35" t="s">
        <v>28</v>
      </c>
      <c r="C35" t="s">
        <v>1475</v>
      </c>
      <c r="D35" t="s">
        <v>7163</v>
      </c>
      <c r="E35">
        <v>34</v>
      </c>
      <c r="F35" t="s">
        <v>153</v>
      </c>
      <c r="G35">
        <v>822825</v>
      </c>
      <c r="H35">
        <v>850563</v>
      </c>
      <c r="I35">
        <v>-3.3</v>
      </c>
      <c r="J35">
        <v>1.1299999999999999</v>
      </c>
      <c r="K35">
        <v>0.73</v>
      </c>
      <c r="L35">
        <v>0.4</v>
      </c>
      <c r="M35">
        <v>9298</v>
      </c>
      <c r="N35">
        <v>6209</v>
      </c>
      <c r="O35">
        <v>49.7</v>
      </c>
    </row>
    <row r="36" spans="1:15" x14ac:dyDescent="0.25">
      <c r="A36" t="s">
        <v>564</v>
      </c>
      <c r="B36" t="s">
        <v>28</v>
      </c>
      <c r="C36" t="s">
        <v>1480</v>
      </c>
      <c r="D36" t="s">
        <v>7164</v>
      </c>
      <c r="E36">
        <v>35</v>
      </c>
      <c r="F36" t="s">
        <v>3756</v>
      </c>
      <c r="G36">
        <v>806742</v>
      </c>
      <c r="H36">
        <v>924480</v>
      </c>
      <c r="I36">
        <v>-12.7</v>
      </c>
      <c r="J36">
        <v>1.21</v>
      </c>
      <c r="K36">
        <v>1.2</v>
      </c>
      <c r="L36">
        <v>0</v>
      </c>
      <c r="M36">
        <v>9762</v>
      </c>
      <c r="N36">
        <v>11094</v>
      </c>
      <c r="O36">
        <v>-12</v>
      </c>
    </row>
    <row r="37" spans="1:15" x14ac:dyDescent="0.25">
      <c r="A37" t="s">
        <v>564</v>
      </c>
      <c r="B37" t="s">
        <v>28</v>
      </c>
      <c r="C37" t="s">
        <v>1485</v>
      </c>
      <c r="D37" t="s">
        <v>7165</v>
      </c>
      <c r="E37">
        <v>36</v>
      </c>
      <c r="F37" t="s">
        <v>4707</v>
      </c>
      <c r="G37">
        <v>777114</v>
      </c>
      <c r="H37">
        <v>872272</v>
      </c>
      <c r="I37">
        <v>-10.9</v>
      </c>
      <c r="J37">
        <v>4.12</v>
      </c>
      <c r="K37">
        <v>3.54</v>
      </c>
      <c r="L37">
        <v>0.6</v>
      </c>
      <c r="M37">
        <v>32017</v>
      </c>
      <c r="N37">
        <v>30878</v>
      </c>
      <c r="O37">
        <v>3.7</v>
      </c>
    </row>
    <row r="38" spans="1:15" x14ac:dyDescent="0.25">
      <c r="A38" t="s">
        <v>564</v>
      </c>
      <c r="B38" t="s">
        <v>28</v>
      </c>
      <c r="C38" t="s">
        <v>1490</v>
      </c>
      <c r="D38" t="s">
        <v>7166</v>
      </c>
      <c r="E38">
        <v>37</v>
      </c>
      <c r="F38" t="s">
        <v>4879</v>
      </c>
      <c r="G38">
        <v>755918</v>
      </c>
      <c r="H38">
        <v>364184</v>
      </c>
      <c r="I38">
        <v>107.6</v>
      </c>
      <c r="J38">
        <v>0.89</v>
      </c>
      <c r="K38">
        <v>0.23</v>
      </c>
      <c r="L38">
        <v>0.7</v>
      </c>
      <c r="M38">
        <v>6728</v>
      </c>
      <c r="N38">
        <v>838</v>
      </c>
      <c r="O38">
        <v>703.2</v>
      </c>
    </row>
    <row r="39" spans="1:15" x14ac:dyDescent="0.25">
      <c r="A39" t="s">
        <v>564</v>
      </c>
      <c r="B39" t="s">
        <v>28</v>
      </c>
      <c r="C39" t="s">
        <v>1495</v>
      </c>
      <c r="D39" t="s">
        <v>7167</v>
      </c>
      <c r="E39">
        <v>38</v>
      </c>
      <c r="F39" t="s">
        <v>3673</v>
      </c>
      <c r="G39">
        <v>719226</v>
      </c>
      <c r="H39">
        <v>406117</v>
      </c>
      <c r="I39">
        <v>77.099999999999994</v>
      </c>
      <c r="J39">
        <v>0.62</v>
      </c>
      <c r="K39">
        <v>1.1200000000000001</v>
      </c>
      <c r="L39">
        <v>-0.5</v>
      </c>
      <c r="M39">
        <v>4459</v>
      </c>
      <c r="N39">
        <v>4549</v>
      </c>
      <c r="O39">
        <v>-2</v>
      </c>
    </row>
    <row r="40" spans="1:15" x14ac:dyDescent="0.25">
      <c r="A40" t="s">
        <v>564</v>
      </c>
      <c r="B40" t="s">
        <v>28</v>
      </c>
      <c r="C40" t="s">
        <v>1500</v>
      </c>
      <c r="D40" t="s">
        <v>7168</v>
      </c>
      <c r="E40">
        <v>39</v>
      </c>
      <c r="F40" t="s">
        <v>5070</v>
      </c>
      <c r="G40">
        <v>717028</v>
      </c>
      <c r="J40">
        <v>0.61</v>
      </c>
      <c r="M40">
        <v>4374</v>
      </c>
    </row>
    <row r="41" spans="1:15" x14ac:dyDescent="0.25">
      <c r="A41" t="s">
        <v>564</v>
      </c>
      <c r="B41" t="s">
        <v>28</v>
      </c>
      <c r="C41" t="s">
        <v>1505</v>
      </c>
      <c r="D41" t="s">
        <v>7169</v>
      </c>
      <c r="E41">
        <v>40</v>
      </c>
      <c r="F41" t="s">
        <v>3882</v>
      </c>
      <c r="G41">
        <v>715402</v>
      </c>
      <c r="H41">
        <v>1660192</v>
      </c>
      <c r="I41">
        <v>-56.9</v>
      </c>
      <c r="J41">
        <v>0.78</v>
      </c>
      <c r="K41">
        <v>0.97</v>
      </c>
      <c r="L41">
        <v>-0.2</v>
      </c>
      <c r="M41">
        <v>5580</v>
      </c>
      <c r="N41">
        <v>16104</v>
      </c>
      <c r="O41">
        <v>-65.3</v>
      </c>
    </row>
    <row r="42" spans="1:15" x14ac:dyDescent="0.25">
      <c r="A42" t="s">
        <v>564</v>
      </c>
      <c r="B42" t="s">
        <v>28</v>
      </c>
      <c r="C42" t="s">
        <v>1510</v>
      </c>
      <c r="D42" t="s">
        <v>7170</v>
      </c>
      <c r="E42">
        <v>41</v>
      </c>
      <c r="F42" t="s">
        <v>3851</v>
      </c>
      <c r="G42">
        <v>709911</v>
      </c>
      <c r="H42">
        <v>602105</v>
      </c>
      <c r="I42">
        <v>17.899999999999999</v>
      </c>
      <c r="J42">
        <v>1.04</v>
      </c>
      <c r="K42">
        <v>0.93</v>
      </c>
      <c r="L42">
        <v>0.1</v>
      </c>
      <c r="M42">
        <v>7383</v>
      </c>
      <c r="N42">
        <v>5600</v>
      </c>
      <c r="O42">
        <v>31.9</v>
      </c>
    </row>
    <row r="43" spans="1:15" x14ac:dyDescent="0.25">
      <c r="A43" t="s">
        <v>564</v>
      </c>
      <c r="B43" t="s">
        <v>28</v>
      </c>
      <c r="C43" t="s">
        <v>1516</v>
      </c>
      <c r="D43" t="s">
        <v>7171</v>
      </c>
      <c r="E43">
        <v>42</v>
      </c>
      <c r="F43" t="s">
        <v>3997</v>
      </c>
      <c r="G43">
        <v>689815</v>
      </c>
      <c r="H43">
        <v>691976</v>
      </c>
      <c r="I43">
        <v>-0.3</v>
      </c>
      <c r="J43">
        <v>0.63</v>
      </c>
      <c r="K43">
        <v>0.86</v>
      </c>
      <c r="L43">
        <v>-0.2</v>
      </c>
      <c r="M43">
        <v>4346</v>
      </c>
      <c r="N43">
        <v>5951</v>
      </c>
      <c r="O43">
        <v>-27</v>
      </c>
    </row>
    <row r="44" spans="1:15" x14ac:dyDescent="0.25">
      <c r="A44" t="s">
        <v>564</v>
      </c>
      <c r="B44" t="s">
        <v>28</v>
      </c>
      <c r="C44" t="s">
        <v>1521</v>
      </c>
      <c r="D44" t="s">
        <v>7172</v>
      </c>
      <c r="E44">
        <v>43</v>
      </c>
      <c r="F44" t="s">
        <v>3988</v>
      </c>
      <c r="G44">
        <v>688733</v>
      </c>
      <c r="H44">
        <v>1074497</v>
      </c>
      <c r="I44">
        <v>-35.9</v>
      </c>
      <c r="J44">
        <v>0.59</v>
      </c>
      <c r="K44">
        <v>1.32</v>
      </c>
      <c r="L44">
        <v>-0.7</v>
      </c>
      <c r="M44">
        <v>4064</v>
      </c>
      <c r="N44">
        <v>14183</v>
      </c>
      <c r="O44">
        <v>-71.400000000000006</v>
      </c>
    </row>
    <row r="45" spans="1:15" x14ac:dyDescent="0.25">
      <c r="A45" t="s">
        <v>564</v>
      </c>
      <c r="B45" t="s">
        <v>28</v>
      </c>
      <c r="C45" t="s">
        <v>1527</v>
      </c>
      <c r="D45" t="s">
        <v>7173</v>
      </c>
      <c r="E45">
        <v>44</v>
      </c>
      <c r="F45" t="s">
        <v>4516</v>
      </c>
      <c r="G45">
        <v>666131</v>
      </c>
      <c r="J45">
        <v>0.84</v>
      </c>
      <c r="M45">
        <v>5596</v>
      </c>
    </row>
    <row r="46" spans="1:15" x14ac:dyDescent="0.25">
      <c r="A46" t="s">
        <v>564</v>
      </c>
      <c r="B46" t="s">
        <v>28</v>
      </c>
      <c r="C46" t="s">
        <v>1532</v>
      </c>
      <c r="D46" t="s">
        <v>7174</v>
      </c>
      <c r="E46">
        <v>45</v>
      </c>
      <c r="F46" t="s">
        <v>3955</v>
      </c>
      <c r="G46">
        <v>631639</v>
      </c>
      <c r="H46">
        <v>337971</v>
      </c>
      <c r="I46">
        <v>86.9</v>
      </c>
      <c r="J46">
        <v>1.9</v>
      </c>
      <c r="K46">
        <v>2.39</v>
      </c>
      <c r="L46">
        <v>-0.5</v>
      </c>
      <c r="M46">
        <v>12001</v>
      </c>
      <c r="N46">
        <v>8078</v>
      </c>
      <c r="O46">
        <v>48.6</v>
      </c>
    </row>
    <row r="47" spans="1:15" x14ac:dyDescent="0.25">
      <c r="A47" t="s">
        <v>564</v>
      </c>
      <c r="B47" t="s">
        <v>28</v>
      </c>
      <c r="C47" t="s">
        <v>1538</v>
      </c>
      <c r="D47" t="s">
        <v>7175</v>
      </c>
      <c r="E47">
        <v>46</v>
      </c>
      <c r="F47" t="s">
        <v>4936</v>
      </c>
      <c r="G47">
        <v>629849</v>
      </c>
      <c r="H47">
        <v>594413</v>
      </c>
      <c r="I47">
        <v>6</v>
      </c>
      <c r="J47">
        <v>1.02</v>
      </c>
      <c r="K47">
        <v>1.46</v>
      </c>
      <c r="L47">
        <v>-0.4</v>
      </c>
      <c r="M47">
        <v>6424</v>
      </c>
      <c r="N47">
        <v>8678</v>
      </c>
      <c r="O47">
        <v>-26</v>
      </c>
    </row>
    <row r="48" spans="1:15" x14ac:dyDescent="0.25">
      <c r="A48" t="s">
        <v>564</v>
      </c>
      <c r="B48" t="s">
        <v>28</v>
      </c>
      <c r="C48" t="s">
        <v>1544</v>
      </c>
      <c r="D48" t="s">
        <v>7176</v>
      </c>
      <c r="E48">
        <v>47</v>
      </c>
      <c r="F48" t="s">
        <v>5022</v>
      </c>
      <c r="G48">
        <v>612821</v>
      </c>
      <c r="J48">
        <v>0.78</v>
      </c>
      <c r="M48">
        <v>4780</v>
      </c>
    </row>
    <row r="49" spans="1:15" x14ac:dyDescent="0.25">
      <c r="A49" t="s">
        <v>564</v>
      </c>
      <c r="B49" t="s">
        <v>28</v>
      </c>
      <c r="C49" t="s">
        <v>1534</v>
      </c>
      <c r="D49" t="s">
        <v>7177</v>
      </c>
      <c r="E49">
        <v>48</v>
      </c>
      <c r="F49" t="s">
        <v>3587</v>
      </c>
      <c r="G49">
        <v>610911</v>
      </c>
      <c r="J49">
        <v>3.52</v>
      </c>
      <c r="M49">
        <v>21504</v>
      </c>
    </row>
    <row r="50" spans="1:15" x14ac:dyDescent="0.25">
      <c r="A50" t="s">
        <v>564</v>
      </c>
      <c r="B50" t="s">
        <v>28</v>
      </c>
      <c r="C50" t="s">
        <v>1554</v>
      </c>
      <c r="D50" t="s">
        <v>7178</v>
      </c>
      <c r="E50">
        <v>49</v>
      </c>
      <c r="F50" t="s">
        <v>349</v>
      </c>
      <c r="G50">
        <v>607041</v>
      </c>
      <c r="H50">
        <v>1327552</v>
      </c>
      <c r="I50">
        <v>-54.3</v>
      </c>
      <c r="J50">
        <v>1.45</v>
      </c>
      <c r="K50">
        <v>0.89</v>
      </c>
      <c r="L50">
        <v>0.6</v>
      </c>
      <c r="M50">
        <v>8802</v>
      </c>
      <c r="N50">
        <v>11815</v>
      </c>
      <c r="O50">
        <v>-25.5</v>
      </c>
    </row>
    <row r="51" spans="1:15" x14ac:dyDescent="0.25">
      <c r="A51" t="s">
        <v>564</v>
      </c>
      <c r="B51" t="s">
        <v>28</v>
      </c>
      <c r="C51" t="s">
        <v>1559</v>
      </c>
      <c r="D51" t="s">
        <v>7179</v>
      </c>
      <c r="E51">
        <v>50</v>
      </c>
      <c r="F51" t="s">
        <v>3815</v>
      </c>
      <c r="G51">
        <v>604313</v>
      </c>
      <c r="J51">
        <v>1.02</v>
      </c>
      <c r="M51">
        <v>6164</v>
      </c>
    </row>
    <row r="52" spans="1:15" x14ac:dyDescent="0.25">
      <c r="A52" t="s">
        <v>564</v>
      </c>
      <c r="B52" t="s">
        <v>28</v>
      </c>
      <c r="C52" t="s">
        <v>1565</v>
      </c>
      <c r="D52" t="s">
        <v>7180</v>
      </c>
      <c r="E52">
        <v>51</v>
      </c>
      <c r="F52" t="s">
        <v>4507</v>
      </c>
      <c r="G52">
        <v>575449</v>
      </c>
      <c r="H52">
        <v>1358735</v>
      </c>
      <c r="I52">
        <v>-57.6</v>
      </c>
      <c r="J52">
        <v>0.96</v>
      </c>
      <c r="K52">
        <v>1.42</v>
      </c>
      <c r="L52">
        <v>-0.5</v>
      </c>
      <c r="M52">
        <v>5524</v>
      </c>
      <c r="N52">
        <v>19294</v>
      </c>
      <c r="O52">
        <v>-71.400000000000006</v>
      </c>
    </row>
    <row r="53" spans="1:15" x14ac:dyDescent="0.25">
      <c r="A53" t="s">
        <v>564</v>
      </c>
      <c r="B53" t="s">
        <v>28</v>
      </c>
      <c r="C53" t="s">
        <v>1571</v>
      </c>
      <c r="D53" t="s">
        <v>7181</v>
      </c>
      <c r="E53">
        <v>52</v>
      </c>
      <c r="F53" t="s">
        <v>4453</v>
      </c>
      <c r="G53">
        <v>551573</v>
      </c>
      <c r="J53">
        <v>0.39</v>
      </c>
      <c r="M53">
        <v>2151</v>
      </c>
    </row>
    <row r="54" spans="1:15" x14ac:dyDescent="0.25">
      <c r="A54" t="s">
        <v>564</v>
      </c>
      <c r="B54" t="s">
        <v>28</v>
      </c>
      <c r="C54" t="s">
        <v>1577</v>
      </c>
      <c r="D54" t="s">
        <v>7182</v>
      </c>
      <c r="E54">
        <v>53</v>
      </c>
      <c r="F54" t="s">
        <v>4890</v>
      </c>
      <c r="G54">
        <v>547018</v>
      </c>
      <c r="H54">
        <v>422150</v>
      </c>
      <c r="I54">
        <v>29.6</v>
      </c>
      <c r="J54">
        <v>0.95</v>
      </c>
      <c r="K54">
        <v>0.28999999999999998</v>
      </c>
      <c r="L54">
        <v>0.7</v>
      </c>
      <c r="M54">
        <v>5197</v>
      </c>
      <c r="N54">
        <v>1224</v>
      </c>
      <c r="O54">
        <v>324.5</v>
      </c>
    </row>
    <row r="55" spans="1:15" x14ac:dyDescent="0.25">
      <c r="A55" t="s">
        <v>564</v>
      </c>
      <c r="B55" t="s">
        <v>28</v>
      </c>
      <c r="C55" t="s">
        <v>1567</v>
      </c>
      <c r="D55" t="s">
        <v>7183</v>
      </c>
      <c r="E55">
        <v>54</v>
      </c>
      <c r="F55" t="s">
        <v>3603</v>
      </c>
      <c r="G55">
        <v>541744</v>
      </c>
      <c r="J55">
        <v>1.35</v>
      </c>
      <c r="M55">
        <v>7314</v>
      </c>
    </row>
    <row r="56" spans="1:15" x14ac:dyDescent="0.25">
      <c r="A56" t="s">
        <v>564</v>
      </c>
      <c r="B56" t="s">
        <v>28</v>
      </c>
      <c r="C56" t="s">
        <v>1588</v>
      </c>
      <c r="D56" t="s">
        <v>7184</v>
      </c>
      <c r="E56">
        <v>55</v>
      </c>
      <c r="F56" t="s">
        <v>3833</v>
      </c>
      <c r="G56">
        <v>539730</v>
      </c>
      <c r="H56">
        <v>62135</v>
      </c>
      <c r="I56">
        <v>768.6</v>
      </c>
      <c r="J56">
        <v>1.34</v>
      </c>
      <c r="K56">
        <v>0.37</v>
      </c>
      <c r="L56">
        <v>1</v>
      </c>
      <c r="M56">
        <v>7232</v>
      </c>
      <c r="N56">
        <v>230</v>
      </c>
      <c r="O56">
        <v>3045.9</v>
      </c>
    </row>
    <row r="57" spans="1:15" x14ac:dyDescent="0.25">
      <c r="A57" t="s">
        <v>564</v>
      </c>
      <c r="B57" t="s">
        <v>28</v>
      </c>
      <c r="C57" t="s">
        <v>1593</v>
      </c>
      <c r="D57" t="s">
        <v>7185</v>
      </c>
      <c r="E57">
        <v>56</v>
      </c>
      <c r="F57" t="s">
        <v>3691</v>
      </c>
      <c r="G57">
        <v>531954</v>
      </c>
      <c r="H57">
        <v>1081290</v>
      </c>
      <c r="I57">
        <v>-50.8</v>
      </c>
      <c r="J57">
        <v>1.67</v>
      </c>
      <c r="K57">
        <v>1.65</v>
      </c>
      <c r="L57">
        <v>0</v>
      </c>
      <c r="M57">
        <v>8884</v>
      </c>
      <c r="N57">
        <v>17841</v>
      </c>
      <c r="O57">
        <v>-50.2</v>
      </c>
    </row>
    <row r="58" spans="1:15" x14ac:dyDescent="0.25">
      <c r="A58" t="s">
        <v>564</v>
      </c>
      <c r="B58" t="s">
        <v>28</v>
      </c>
      <c r="C58" t="s">
        <v>1599</v>
      </c>
      <c r="D58" t="s">
        <v>7186</v>
      </c>
      <c r="E58">
        <v>57</v>
      </c>
      <c r="F58" t="s">
        <v>3860</v>
      </c>
      <c r="G58">
        <v>530456</v>
      </c>
      <c r="J58">
        <v>0.84</v>
      </c>
      <c r="M58">
        <v>4456</v>
      </c>
    </row>
    <row r="59" spans="1:15" x14ac:dyDescent="0.25">
      <c r="A59" t="s">
        <v>564</v>
      </c>
      <c r="B59" t="s">
        <v>28</v>
      </c>
      <c r="C59" t="s">
        <v>1604</v>
      </c>
      <c r="D59" t="s">
        <v>7187</v>
      </c>
      <c r="E59">
        <v>58</v>
      </c>
      <c r="F59" t="s">
        <v>4760</v>
      </c>
      <c r="G59">
        <v>516509</v>
      </c>
      <c r="H59">
        <v>556183</v>
      </c>
      <c r="I59">
        <v>-7.1</v>
      </c>
      <c r="J59">
        <v>1.07</v>
      </c>
      <c r="K59">
        <v>1.19</v>
      </c>
      <c r="L59">
        <v>-0.1</v>
      </c>
      <c r="M59">
        <v>5527</v>
      </c>
      <c r="N59">
        <v>6619</v>
      </c>
      <c r="O59">
        <v>-16.5</v>
      </c>
    </row>
    <row r="60" spans="1:15" x14ac:dyDescent="0.25">
      <c r="A60" t="s">
        <v>564</v>
      </c>
      <c r="B60" t="s">
        <v>28</v>
      </c>
      <c r="C60" t="s">
        <v>1609</v>
      </c>
      <c r="D60" t="s">
        <v>7188</v>
      </c>
      <c r="E60">
        <v>59</v>
      </c>
      <c r="F60" t="s">
        <v>5588</v>
      </c>
      <c r="G60">
        <v>515115</v>
      </c>
      <c r="J60">
        <v>1.2</v>
      </c>
      <c r="M60">
        <v>6181</v>
      </c>
    </row>
    <row r="61" spans="1:15" x14ac:dyDescent="0.25">
      <c r="A61" t="s">
        <v>564</v>
      </c>
      <c r="B61" t="s">
        <v>28</v>
      </c>
      <c r="C61" t="s">
        <v>1540</v>
      </c>
      <c r="D61" t="s">
        <v>7189</v>
      </c>
      <c r="E61">
        <v>60</v>
      </c>
      <c r="F61" t="s">
        <v>5281</v>
      </c>
      <c r="G61">
        <v>499656</v>
      </c>
      <c r="H61">
        <v>275626</v>
      </c>
      <c r="I61">
        <v>81.3</v>
      </c>
      <c r="J61">
        <v>0.78</v>
      </c>
      <c r="K61">
        <v>0.54</v>
      </c>
      <c r="L61">
        <v>0.2</v>
      </c>
      <c r="M61">
        <v>3897</v>
      </c>
      <c r="N61">
        <v>1488</v>
      </c>
      <c r="O61">
        <v>161.80000000000001</v>
      </c>
    </row>
    <row r="62" spans="1:15" x14ac:dyDescent="0.25">
      <c r="A62" t="s">
        <v>564</v>
      </c>
      <c r="B62" t="s">
        <v>28</v>
      </c>
      <c r="C62" t="s">
        <v>1618</v>
      </c>
      <c r="D62" t="s">
        <v>7190</v>
      </c>
      <c r="E62">
        <v>61</v>
      </c>
      <c r="F62" t="s">
        <v>4315</v>
      </c>
      <c r="G62">
        <v>488372</v>
      </c>
      <c r="H62">
        <v>912058</v>
      </c>
      <c r="I62">
        <v>-46.5</v>
      </c>
      <c r="J62">
        <v>1.35</v>
      </c>
      <c r="K62">
        <v>1.82</v>
      </c>
      <c r="L62">
        <v>-0.5</v>
      </c>
      <c r="M62">
        <v>6593</v>
      </c>
      <c r="N62">
        <v>16599</v>
      </c>
      <c r="O62">
        <v>-60.3</v>
      </c>
    </row>
    <row r="63" spans="1:15" x14ac:dyDescent="0.25">
      <c r="A63" t="s">
        <v>564</v>
      </c>
      <c r="B63" t="s">
        <v>28</v>
      </c>
      <c r="C63" t="s">
        <v>1623</v>
      </c>
      <c r="D63" t="s">
        <v>7191</v>
      </c>
      <c r="E63">
        <v>62</v>
      </c>
      <c r="F63" t="s">
        <v>3682</v>
      </c>
      <c r="G63">
        <v>479342</v>
      </c>
      <c r="H63">
        <v>500667</v>
      </c>
      <c r="I63">
        <v>-4.3</v>
      </c>
      <c r="J63">
        <v>3.81</v>
      </c>
      <c r="K63">
        <v>1.49</v>
      </c>
      <c r="L63">
        <v>2.2999999999999998</v>
      </c>
      <c r="M63">
        <v>18263</v>
      </c>
      <c r="N63">
        <v>7460</v>
      </c>
      <c r="O63">
        <v>144.80000000000001</v>
      </c>
    </row>
    <row r="64" spans="1:15" x14ac:dyDescent="0.25">
      <c r="A64" t="s">
        <v>564</v>
      </c>
      <c r="B64" t="s">
        <v>28</v>
      </c>
      <c r="C64" t="s">
        <v>1628</v>
      </c>
      <c r="D64" t="s">
        <v>7192</v>
      </c>
      <c r="E64">
        <v>63</v>
      </c>
      <c r="F64" t="s">
        <v>3707</v>
      </c>
      <c r="G64">
        <v>467581</v>
      </c>
      <c r="J64">
        <v>0.61</v>
      </c>
      <c r="M64">
        <v>2852</v>
      </c>
    </row>
    <row r="65" spans="1:15" x14ac:dyDescent="0.25">
      <c r="A65" t="s">
        <v>564</v>
      </c>
      <c r="B65" t="s">
        <v>28</v>
      </c>
      <c r="C65" t="s">
        <v>1633</v>
      </c>
      <c r="D65" t="s">
        <v>7193</v>
      </c>
      <c r="E65">
        <v>64</v>
      </c>
      <c r="F65" t="s">
        <v>4738</v>
      </c>
      <c r="G65">
        <v>456403</v>
      </c>
      <c r="J65">
        <v>2.97</v>
      </c>
      <c r="M65">
        <v>13555</v>
      </c>
    </row>
    <row r="66" spans="1:15" x14ac:dyDescent="0.25">
      <c r="A66" t="s">
        <v>564</v>
      </c>
      <c r="B66" t="s">
        <v>28</v>
      </c>
      <c r="C66" t="s">
        <v>1638</v>
      </c>
      <c r="D66" t="s">
        <v>7194</v>
      </c>
      <c r="E66">
        <v>65</v>
      </c>
      <c r="F66" t="s">
        <v>7195</v>
      </c>
      <c r="G66">
        <v>451336</v>
      </c>
      <c r="J66">
        <v>1.45</v>
      </c>
      <c r="M66">
        <v>6544</v>
      </c>
    </row>
    <row r="67" spans="1:15" x14ac:dyDescent="0.25">
      <c r="A67" t="s">
        <v>564</v>
      </c>
      <c r="B67" t="s">
        <v>28</v>
      </c>
      <c r="C67" t="s">
        <v>1643</v>
      </c>
      <c r="D67" t="s">
        <v>7196</v>
      </c>
      <c r="E67">
        <v>66</v>
      </c>
      <c r="F67" t="s">
        <v>4596</v>
      </c>
      <c r="G67">
        <v>449427</v>
      </c>
      <c r="J67">
        <v>0.51</v>
      </c>
      <c r="M67">
        <v>2292</v>
      </c>
    </row>
    <row r="68" spans="1:15" x14ac:dyDescent="0.25">
      <c r="A68" t="s">
        <v>564</v>
      </c>
      <c r="B68" t="s">
        <v>28</v>
      </c>
      <c r="C68" t="s">
        <v>1471</v>
      </c>
      <c r="D68" t="s">
        <v>7197</v>
      </c>
      <c r="E68">
        <v>67</v>
      </c>
      <c r="F68" t="s">
        <v>5219</v>
      </c>
      <c r="G68">
        <v>436472</v>
      </c>
      <c r="H68">
        <v>476073</v>
      </c>
      <c r="I68">
        <v>-8.3000000000000007</v>
      </c>
      <c r="J68">
        <v>0.59</v>
      </c>
      <c r="K68">
        <v>0.48</v>
      </c>
      <c r="L68">
        <v>0.1</v>
      </c>
      <c r="M68">
        <v>2575</v>
      </c>
      <c r="N68">
        <v>2285</v>
      </c>
      <c r="O68">
        <v>12.7</v>
      </c>
    </row>
    <row r="69" spans="1:15" x14ac:dyDescent="0.25">
      <c r="A69" t="s">
        <v>564</v>
      </c>
      <c r="B69" t="s">
        <v>28</v>
      </c>
      <c r="C69" t="s">
        <v>1584</v>
      </c>
      <c r="D69" t="s">
        <v>7198</v>
      </c>
      <c r="E69">
        <v>68</v>
      </c>
      <c r="F69" t="s">
        <v>4302</v>
      </c>
      <c r="G69">
        <v>424334</v>
      </c>
      <c r="J69">
        <v>0.39</v>
      </c>
      <c r="M69">
        <v>1655</v>
      </c>
    </row>
    <row r="70" spans="1:15" x14ac:dyDescent="0.25">
      <c r="A70" t="s">
        <v>564</v>
      </c>
      <c r="B70" t="s">
        <v>28</v>
      </c>
      <c r="C70" t="s">
        <v>1658</v>
      </c>
      <c r="D70" t="s">
        <v>7199</v>
      </c>
      <c r="E70">
        <v>69</v>
      </c>
      <c r="F70" t="s">
        <v>3724</v>
      </c>
      <c r="G70">
        <v>421571</v>
      </c>
      <c r="H70">
        <v>618649</v>
      </c>
      <c r="I70">
        <v>-31.9</v>
      </c>
      <c r="J70">
        <v>1.01</v>
      </c>
      <c r="K70">
        <v>1.17</v>
      </c>
      <c r="L70">
        <v>-0.2</v>
      </c>
      <c r="M70">
        <v>4258</v>
      </c>
      <c r="N70">
        <v>7238</v>
      </c>
      <c r="O70">
        <v>-41.2</v>
      </c>
    </row>
    <row r="71" spans="1:15" x14ac:dyDescent="0.25">
      <c r="A71" t="s">
        <v>564</v>
      </c>
      <c r="B71" t="s">
        <v>28</v>
      </c>
      <c r="C71" t="s">
        <v>1561</v>
      </c>
      <c r="D71" t="s">
        <v>7200</v>
      </c>
      <c r="E71">
        <v>70</v>
      </c>
      <c r="F71" t="s">
        <v>4656</v>
      </c>
      <c r="G71">
        <v>421215</v>
      </c>
      <c r="H71">
        <v>939022</v>
      </c>
      <c r="I71">
        <v>-55.1</v>
      </c>
      <c r="J71">
        <v>0.97</v>
      </c>
      <c r="K71">
        <v>1.47</v>
      </c>
      <c r="L71">
        <v>-0.5</v>
      </c>
      <c r="M71">
        <v>4086</v>
      </c>
      <c r="N71">
        <v>13804</v>
      </c>
      <c r="O71">
        <v>-70.400000000000006</v>
      </c>
    </row>
    <row r="72" spans="1:15" x14ac:dyDescent="0.25">
      <c r="A72" t="s">
        <v>564</v>
      </c>
      <c r="B72" t="s">
        <v>28</v>
      </c>
      <c r="C72" t="s">
        <v>1654</v>
      </c>
      <c r="D72" t="s">
        <v>7201</v>
      </c>
      <c r="E72">
        <v>71</v>
      </c>
      <c r="F72" t="s">
        <v>4994</v>
      </c>
      <c r="G72">
        <v>412210</v>
      </c>
      <c r="H72">
        <v>446097</v>
      </c>
      <c r="I72">
        <v>-7.6</v>
      </c>
      <c r="J72">
        <v>1.42</v>
      </c>
      <c r="K72">
        <v>1.42</v>
      </c>
      <c r="L72">
        <v>0</v>
      </c>
      <c r="M72">
        <v>5853</v>
      </c>
      <c r="N72">
        <v>6335</v>
      </c>
      <c r="O72">
        <v>-7.6</v>
      </c>
    </row>
    <row r="73" spans="1:15" x14ac:dyDescent="0.25">
      <c r="A73" t="s">
        <v>564</v>
      </c>
      <c r="B73" t="s">
        <v>28</v>
      </c>
      <c r="C73" t="s">
        <v>1671</v>
      </c>
      <c r="D73" t="s">
        <v>7202</v>
      </c>
      <c r="E73">
        <v>72</v>
      </c>
      <c r="F73" t="s">
        <v>7203</v>
      </c>
      <c r="G73">
        <v>403873</v>
      </c>
      <c r="H73">
        <v>534800</v>
      </c>
      <c r="I73">
        <v>-24.5</v>
      </c>
      <c r="J73">
        <v>0.67</v>
      </c>
      <c r="K73">
        <v>0.56000000000000005</v>
      </c>
      <c r="L73">
        <v>0.1</v>
      </c>
      <c r="M73">
        <v>2706</v>
      </c>
      <c r="N73">
        <v>2995</v>
      </c>
      <c r="O73">
        <v>-9.6</v>
      </c>
    </row>
    <row r="74" spans="1:15" x14ac:dyDescent="0.25">
      <c r="A74" t="s">
        <v>564</v>
      </c>
      <c r="B74" t="s">
        <v>28</v>
      </c>
      <c r="C74" t="s">
        <v>1420</v>
      </c>
      <c r="D74" t="s">
        <v>7204</v>
      </c>
      <c r="E74">
        <v>73</v>
      </c>
      <c r="F74" t="s">
        <v>4161</v>
      </c>
      <c r="G74">
        <v>401268</v>
      </c>
      <c r="H74">
        <v>272960</v>
      </c>
      <c r="I74">
        <v>47</v>
      </c>
      <c r="J74">
        <v>0.99</v>
      </c>
      <c r="K74">
        <v>0.67</v>
      </c>
      <c r="L74">
        <v>0.3</v>
      </c>
      <c r="M74">
        <v>3973</v>
      </c>
      <c r="N74">
        <v>1829</v>
      </c>
      <c r="O74">
        <v>117.2</v>
      </c>
    </row>
    <row r="75" spans="1:15" x14ac:dyDescent="0.25">
      <c r="A75" t="s">
        <v>564</v>
      </c>
      <c r="B75" t="s">
        <v>28</v>
      </c>
      <c r="C75" t="s">
        <v>1680</v>
      </c>
      <c r="D75" t="s">
        <v>7205</v>
      </c>
      <c r="E75">
        <v>74</v>
      </c>
      <c r="F75" t="s">
        <v>3891</v>
      </c>
      <c r="G75">
        <v>399941</v>
      </c>
      <c r="H75">
        <v>268349</v>
      </c>
      <c r="I75">
        <v>49</v>
      </c>
      <c r="J75">
        <v>1.29</v>
      </c>
      <c r="K75">
        <v>1.06</v>
      </c>
      <c r="L75">
        <v>0.2</v>
      </c>
      <c r="M75">
        <v>5159</v>
      </c>
      <c r="N75">
        <v>2844</v>
      </c>
      <c r="O75">
        <v>81.400000000000006</v>
      </c>
    </row>
    <row r="76" spans="1:15" x14ac:dyDescent="0.25">
      <c r="A76" t="s">
        <v>564</v>
      </c>
      <c r="B76" t="s">
        <v>28</v>
      </c>
      <c r="C76" t="s">
        <v>1595</v>
      </c>
      <c r="D76" t="s">
        <v>7206</v>
      </c>
      <c r="E76">
        <v>75</v>
      </c>
      <c r="F76" t="s">
        <v>6345</v>
      </c>
      <c r="G76">
        <v>399912</v>
      </c>
      <c r="H76">
        <v>274292</v>
      </c>
      <c r="I76">
        <v>45.8</v>
      </c>
      <c r="J76">
        <v>0.96</v>
      </c>
      <c r="K76">
        <v>1.18</v>
      </c>
      <c r="L76">
        <v>-0.2</v>
      </c>
      <c r="M76">
        <v>3839</v>
      </c>
      <c r="N76">
        <v>3237</v>
      </c>
      <c r="O76">
        <v>18.600000000000001</v>
      </c>
    </row>
    <row r="77" spans="1:15" x14ac:dyDescent="0.25">
      <c r="A77" t="s">
        <v>564</v>
      </c>
      <c r="B77" t="s">
        <v>28</v>
      </c>
      <c r="C77" t="s">
        <v>1649</v>
      </c>
      <c r="D77" t="s">
        <v>7207</v>
      </c>
      <c r="E77">
        <v>76</v>
      </c>
      <c r="F77" t="s">
        <v>7208</v>
      </c>
      <c r="G77">
        <v>399890</v>
      </c>
      <c r="J77">
        <v>1.01</v>
      </c>
      <c r="M77">
        <v>4039</v>
      </c>
    </row>
    <row r="78" spans="1:15" x14ac:dyDescent="0.25">
      <c r="A78" t="s">
        <v>564</v>
      </c>
      <c r="B78" t="s">
        <v>28</v>
      </c>
      <c r="C78" t="s">
        <v>1461</v>
      </c>
      <c r="D78" t="s">
        <v>7209</v>
      </c>
      <c r="E78">
        <v>77</v>
      </c>
      <c r="F78" t="s">
        <v>4746</v>
      </c>
      <c r="G78">
        <v>383524</v>
      </c>
      <c r="J78">
        <v>1.94</v>
      </c>
      <c r="M78">
        <v>7440</v>
      </c>
    </row>
    <row r="79" spans="1:15" x14ac:dyDescent="0.25">
      <c r="A79" t="s">
        <v>564</v>
      </c>
      <c r="B79" t="s">
        <v>28</v>
      </c>
      <c r="C79" t="s">
        <v>1512</v>
      </c>
      <c r="D79" t="s">
        <v>7210</v>
      </c>
      <c r="E79">
        <v>78</v>
      </c>
      <c r="F79" t="s">
        <v>7211</v>
      </c>
      <c r="G79">
        <v>376033</v>
      </c>
      <c r="H79">
        <v>276766</v>
      </c>
      <c r="I79">
        <v>35.9</v>
      </c>
      <c r="J79">
        <v>1.37</v>
      </c>
      <c r="K79">
        <v>0.34</v>
      </c>
      <c r="L79">
        <v>1</v>
      </c>
      <c r="M79">
        <v>5152</v>
      </c>
      <c r="N79">
        <v>941</v>
      </c>
      <c r="O79">
        <v>447.5</v>
      </c>
    </row>
    <row r="80" spans="1:15" x14ac:dyDescent="0.25">
      <c r="A80" t="s">
        <v>564</v>
      </c>
      <c r="B80" t="s">
        <v>28</v>
      </c>
      <c r="C80" t="s">
        <v>1702</v>
      </c>
      <c r="D80" t="s">
        <v>7212</v>
      </c>
      <c r="E80">
        <v>79</v>
      </c>
      <c r="F80" t="s">
        <v>4899</v>
      </c>
      <c r="G80">
        <v>375705</v>
      </c>
      <c r="H80">
        <v>65392</v>
      </c>
      <c r="I80">
        <v>474.5</v>
      </c>
      <c r="J80">
        <v>3.71</v>
      </c>
      <c r="K80">
        <v>1.1399999999999999</v>
      </c>
      <c r="L80">
        <v>2.6</v>
      </c>
      <c r="M80">
        <v>13939</v>
      </c>
      <c r="N80">
        <v>745</v>
      </c>
      <c r="O80">
        <v>1769.8</v>
      </c>
    </row>
    <row r="81" spans="1:15" x14ac:dyDescent="0.25">
      <c r="A81" t="s">
        <v>564</v>
      </c>
      <c r="B81" t="s">
        <v>28</v>
      </c>
      <c r="C81" t="s">
        <v>1523</v>
      </c>
      <c r="D81" t="s">
        <v>7213</v>
      </c>
      <c r="E81">
        <v>80</v>
      </c>
      <c r="F81" t="s">
        <v>4498</v>
      </c>
      <c r="G81">
        <v>375022</v>
      </c>
      <c r="H81">
        <v>278533</v>
      </c>
      <c r="I81">
        <v>34.6</v>
      </c>
      <c r="J81">
        <v>1.31</v>
      </c>
      <c r="K81">
        <v>0.95</v>
      </c>
      <c r="L81">
        <v>0.4</v>
      </c>
      <c r="M81">
        <v>4913</v>
      </c>
      <c r="N81">
        <v>2646</v>
      </c>
      <c r="O81">
        <v>85.7</v>
      </c>
    </row>
    <row r="82" spans="1:15" x14ac:dyDescent="0.25">
      <c r="A82" t="s">
        <v>564</v>
      </c>
      <c r="B82" t="s">
        <v>28</v>
      </c>
      <c r="C82" t="s">
        <v>1573</v>
      </c>
      <c r="D82" t="s">
        <v>7214</v>
      </c>
      <c r="E82">
        <v>81</v>
      </c>
      <c r="F82" t="s">
        <v>5062</v>
      </c>
      <c r="G82">
        <v>374038</v>
      </c>
      <c r="H82">
        <v>398233</v>
      </c>
      <c r="I82">
        <v>-6.1</v>
      </c>
      <c r="J82">
        <v>1.21</v>
      </c>
      <c r="K82">
        <v>1.43</v>
      </c>
      <c r="L82">
        <v>-0.2</v>
      </c>
      <c r="M82">
        <v>4526</v>
      </c>
      <c r="N82">
        <v>5695</v>
      </c>
      <c r="O82">
        <v>-20.5</v>
      </c>
    </row>
    <row r="83" spans="1:15" x14ac:dyDescent="0.25">
      <c r="A83" t="s">
        <v>564</v>
      </c>
      <c r="B83" t="s">
        <v>28</v>
      </c>
      <c r="C83" t="s">
        <v>1579</v>
      </c>
      <c r="D83" t="s">
        <v>7215</v>
      </c>
      <c r="E83">
        <v>82</v>
      </c>
      <c r="F83" t="s">
        <v>5037</v>
      </c>
      <c r="G83">
        <v>373083</v>
      </c>
      <c r="J83">
        <v>3.29</v>
      </c>
      <c r="M83">
        <v>12274</v>
      </c>
    </row>
    <row r="84" spans="1:15" x14ac:dyDescent="0.25">
      <c r="A84" t="s">
        <v>564</v>
      </c>
      <c r="B84" t="s">
        <v>28</v>
      </c>
      <c r="C84" t="s">
        <v>1690</v>
      </c>
      <c r="D84" t="s">
        <v>7216</v>
      </c>
      <c r="E84">
        <v>83</v>
      </c>
      <c r="F84" t="s">
        <v>5601</v>
      </c>
      <c r="G84">
        <v>355148</v>
      </c>
      <c r="J84">
        <v>0.84</v>
      </c>
      <c r="M84">
        <v>2983</v>
      </c>
    </row>
    <row r="85" spans="1:15" x14ac:dyDescent="0.25">
      <c r="A85" t="s">
        <v>564</v>
      </c>
      <c r="B85" t="s">
        <v>28</v>
      </c>
      <c r="C85" t="s">
        <v>1724</v>
      </c>
      <c r="D85" t="s">
        <v>7217</v>
      </c>
      <c r="E85">
        <v>84</v>
      </c>
      <c r="F85" t="s">
        <v>5562</v>
      </c>
      <c r="G85">
        <v>350654</v>
      </c>
      <c r="H85">
        <v>507388</v>
      </c>
      <c r="I85">
        <v>-30.9</v>
      </c>
      <c r="J85">
        <v>0.61</v>
      </c>
      <c r="K85">
        <v>1.23</v>
      </c>
      <c r="L85">
        <v>-0.6</v>
      </c>
      <c r="M85">
        <v>2139</v>
      </c>
      <c r="N85">
        <v>6241</v>
      </c>
      <c r="O85">
        <v>-65.7</v>
      </c>
    </row>
    <row r="86" spans="1:15" x14ac:dyDescent="0.25">
      <c r="A86" t="s">
        <v>564</v>
      </c>
      <c r="B86" t="s">
        <v>28</v>
      </c>
      <c r="C86" t="s">
        <v>1546</v>
      </c>
      <c r="D86" t="s">
        <v>7218</v>
      </c>
      <c r="E86">
        <v>85</v>
      </c>
      <c r="F86" t="s">
        <v>3946</v>
      </c>
      <c r="G86">
        <v>346800</v>
      </c>
      <c r="H86">
        <v>882699</v>
      </c>
      <c r="I86">
        <v>-60.7</v>
      </c>
      <c r="J86">
        <v>0.08</v>
      </c>
      <c r="K86">
        <v>0.12</v>
      </c>
      <c r="L86">
        <v>0</v>
      </c>
      <c r="M86">
        <v>277</v>
      </c>
      <c r="N86">
        <v>1059</v>
      </c>
      <c r="O86">
        <v>-73.8</v>
      </c>
    </row>
    <row r="87" spans="1:15" x14ac:dyDescent="0.25">
      <c r="A87" t="s">
        <v>564</v>
      </c>
      <c r="B87" t="s">
        <v>28</v>
      </c>
      <c r="C87" t="s">
        <v>1734</v>
      </c>
      <c r="D87" t="s">
        <v>7219</v>
      </c>
      <c r="E87">
        <v>86</v>
      </c>
      <c r="F87" t="s">
        <v>4854</v>
      </c>
      <c r="G87">
        <v>344448</v>
      </c>
      <c r="H87">
        <v>56671</v>
      </c>
      <c r="I87">
        <v>507.8</v>
      </c>
      <c r="J87">
        <v>0.79</v>
      </c>
      <c r="K87">
        <v>2.16</v>
      </c>
      <c r="L87">
        <v>-1.4</v>
      </c>
      <c r="M87">
        <v>2721</v>
      </c>
      <c r="N87">
        <v>1224</v>
      </c>
      <c r="O87">
        <v>122.3</v>
      </c>
    </row>
    <row r="88" spans="1:15" x14ac:dyDescent="0.25">
      <c r="A88" t="s">
        <v>564</v>
      </c>
      <c r="B88" t="s">
        <v>28</v>
      </c>
      <c r="C88" t="s">
        <v>1708</v>
      </c>
      <c r="D88" t="s">
        <v>7220</v>
      </c>
      <c r="E88">
        <v>87</v>
      </c>
      <c r="F88" t="s">
        <v>5528</v>
      </c>
      <c r="G88">
        <v>343279</v>
      </c>
      <c r="J88">
        <v>0.21</v>
      </c>
      <c r="M88">
        <v>721</v>
      </c>
    </row>
    <row r="89" spans="1:15" x14ac:dyDescent="0.25">
      <c r="A89" t="s">
        <v>564</v>
      </c>
      <c r="B89" t="s">
        <v>28</v>
      </c>
      <c r="C89" t="s">
        <v>1730</v>
      </c>
      <c r="D89" t="s">
        <v>7221</v>
      </c>
      <c r="E89">
        <v>88</v>
      </c>
      <c r="F89" t="s">
        <v>7222</v>
      </c>
      <c r="G89">
        <v>339655</v>
      </c>
      <c r="H89">
        <v>337840</v>
      </c>
      <c r="I89">
        <v>0.5</v>
      </c>
      <c r="J89">
        <v>0.16</v>
      </c>
      <c r="K89">
        <v>0.09</v>
      </c>
      <c r="L89">
        <v>0.1</v>
      </c>
      <c r="M89">
        <v>543</v>
      </c>
      <c r="N89">
        <v>304</v>
      </c>
      <c r="O89">
        <v>78.7</v>
      </c>
    </row>
    <row r="90" spans="1:15" x14ac:dyDescent="0.25">
      <c r="A90" t="s">
        <v>564</v>
      </c>
      <c r="B90" t="s">
        <v>28</v>
      </c>
      <c r="C90" t="s">
        <v>1747</v>
      </c>
      <c r="D90" t="s">
        <v>7223</v>
      </c>
      <c r="E90">
        <v>89</v>
      </c>
      <c r="F90" t="s">
        <v>3715</v>
      </c>
      <c r="G90">
        <v>336539</v>
      </c>
      <c r="H90">
        <v>278653</v>
      </c>
      <c r="I90">
        <v>20.8</v>
      </c>
      <c r="J90">
        <v>0.61</v>
      </c>
      <c r="K90">
        <v>0.47</v>
      </c>
      <c r="L90">
        <v>0.1</v>
      </c>
      <c r="M90">
        <v>2053</v>
      </c>
      <c r="N90">
        <v>1310</v>
      </c>
      <c r="O90">
        <v>56.7</v>
      </c>
    </row>
    <row r="91" spans="1:15" x14ac:dyDescent="0.25">
      <c r="A91" t="s">
        <v>564</v>
      </c>
      <c r="B91" t="s">
        <v>28</v>
      </c>
      <c r="C91" t="s">
        <v>1752</v>
      </c>
      <c r="D91" t="s">
        <v>7224</v>
      </c>
      <c r="E91">
        <v>90</v>
      </c>
      <c r="F91" t="s">
        <v>3909</v>
      </c>
      <c r="G91">
        <v>335941</v>
      </c>
      <c r="H91">
        <v>333896</v>
      </c>
      <c r="I91">
        <v>0.6</v>
      </c>
      <c r="J91">
        <v>7.0000000000000007E-2</v>
      </c>
      <c r="K91">
        <v>0.08</v>
      </c>
      <c r="L91">
        <v>0</v>
      </c>
      <c r="M91">
        <v>235</v>
      </c>
      <c r="N91">
        <v>267</v>
      </c>
      <c r="O91">
        <v>-12</v>
      </c>
    </row>
    <row r="92" spans="1:15" x14ac:dyDescent="0.25">
      <c r="A92" t="s">
        <v>564</v>
      </c>
      <c r="B92" t="s">
        <v>28</v>
      </c>
      <c r="C92" t="s">
        <v>1757</v>
      </c>
      <c r="D92" t="s">
        <v>7225</v>
      </c>
      <c r="E92">
        <v>91</v>
      </c>
      <c r="F92" t="s">
        <v>4386</v>
      </c>
      <c r="G92">
        <v>324699</v>
      </c>
      <c r="H92">
        <v>806664</v>
      </c>
      <c r="I92">
        <v>-59.7</v>
      </c>
      <c r="J92">
        <v>0.96</v>
      </c>
      <c r="K92">
        <v>0.79</v>
      </c>
      <c r="L92">
        <v>0.2</v>
      </c>
      <c r="M92">
        <v>3117</v>
      </c>
      <c r="N92">
        <v>6373</v>
      </c>
      <c r="O92">
        <v>-51.1</v>
      </c>
    </row>
    <row r="93" spans="1:15" x14ac:dyDescent="0.25">
      <c r="A93" t="s">
        <v>564</v>
      </c>
      <c r="B93" t="s">
        <v>28</v>
      </c>
      <c r="C93" t="s">
        <v>1762</v>
      </c>
      <c r="D93" t="s">
        <v>7226</v>
      </c>
      <c r="E93">
        <v>92</v>
      </c>
      <c r="F93" t="s">
        <v>5470</v>
      </c>
      <c r="G93">
        <v>324186</v>
      </c>
      <c r="H93">
        <v>688741</v>
      </c>
      <c r="I93">
        <v>-52.9</v>
      </c>
      <c r="J93">
        <v>1.21</v>
      </c>
      <c r="K93">
        <v>0.97</v>
      </c>
      <c r="L93">
        <v>0.2</v>
      </c>
      <c r="M93">
        <v>3923</v>
      </c>
      <c r="N93">
        <v>6681</v>
      </c>
      <c r="O93">
        <v>-41.3</v>
      </c>
    </row>
    <row r="94" spans="1:15" x14ac:dyDescent="0.25">
      <c r="A94" t="s">
        <v>564</v>
      </c>
      <c r="B94" t="s">
        <v>28</v>
      </c>
      <c r="C94" t="s">
        <v>1767</v>
      </c>
      <c r="D94" t="s">
        <v>7227</v>
      </c>
      <c r="E94">
        <v>93</v>
      </c>
      <c r="F94" t="s">
        <v>5085</v>
      </c>
      <c r="G94">
        <v>319716</v>
      </c>
      <c r="H94">
        <v>49121</v>
      </c>
      <c r="I94">
        <v>550.9</v>
      </c>
      <c r="J94">
        <v>0.28999999999999998</v>
      </c>
      <c r="K94">
        <v>0.79</v>
      </c>
      <c r="L94">
        <v>-0.5</v>
      </c>
      <c r="M94">
        <v>927</v>
      </c>
      <c r="N94">
        <v>388</v>
      </c>
      <c r="O94">
        <v>138.9</v>
      </c>
    </row>
    <row r="95" spans="1:15" x14ac:dyDescent="0.25">
      <c r="A95" t="s">
        <v>564</v>
      </c>
      <c r="B95" t="s">
        <v>28</v>
      </c>
      <c r="C95" t="s">
        <v>1772</v>
      </c>
      <c r="D95" t="s">
        <v>7228</v>
      </c>
      <c r="E95">
        <v>94</v>
      </c>
      <c r="F95" t="s">
        <v>4012</v>
      </c>
      <c r="G95">
        <v>317880</v>
      </c>
      <c r="H95">
        <v>194084</v>
      </c>
      <c r="I95">
        <v>63.8</v>
      </c>
      <c r="J95">
        <v>1.93</v>
      </c>
      <c r="K95">
        <v>2.64</v>
      </c>
      <c r="L95">
        <v>-0.7</v>
      </c>
      <c r="M95">
        <v>6135</v>
      </c>
      <c r="N95">
        <v>5124</v>
      </c>
      <c r="O95">
        <v>19.7</v>
      </c>
    </row>
    <row r="96" spans="1:15" x14ac:dyDescent="0.25">
      <c r="A96" t="s">
        <v>564</v>
      </c>
      <c r="B96" t="s">
        <v>28</v>
      </c>
      <c r="C96" t="s">
        <v>1777</v>
      </c>
      <c r="D96" t="s">
        <v>7229</v>
      </c>
      <c r="E96">
        <v>95</v>
      </c>
      <c r="F96" t="s">
        <v>3628</v>
      </c>
      <c r="G96">
        <v>312891</v>
      </c>
      <c r="H96">
        <v>616086</v>
      </c>
      <c r="I96">
        <v>-49.2</v>
      </c>
      <c r="J96">
        <v>0.43</v>
      </c>
      <c r="K96">
        <v>0.08</v>
      </c>
      <c r="L96">
        <v>0.4</v>
      </c>
      <c r="M96">
        <v>1345</v>
      </c>
      <c r="N96">
        <v>493</v>
      </c>
      <c r="O96">
        <v>173</v>
      </c>
    </row>
    <row r="97" spans="1:15" x14ac:dyDescent="0.25">
      <c r="A97" t="s">
        <v>564</v>
      </c>
      <c r="B97" t="s">
        <v>28</v>
      </c>
      <c r="C97" t="s">
        <v>1782</v>
      </c>
      <c r="D97" t="s">
        <v>7230</v>
      </c>
      <c r="E97">
        <v>96</v>
      </c>
      <c r="F97" t="s">
        <v>4648</v>
      </c>
      <c r="G97">
        <v>302796</v>
      </c>
      <c r="J97">
        <v>0.72</v>
      </c>
      <c r="M97">
        <v>2180</v>
      </c>
    </row>
    <row r="98" spans="1:15" x14ac:dyDescent="0.25">
      <c r="A98" t="s">
        <v>564</v>
      </c>
      <c r="B98" t="s">
        <v>28</v>
      </c>
      <c r="C98" t="s">
        <v>1787</v>
      </c>
      <c r="D98" t="s">
        <v>7231</v>
      </c>
      <c r="E98">
        <v>97</v>
      </c>
      <c r="F98" t="s">
        <v>4343</v>
      </c>
      <c r="G98">
        <v>301579</v>
      </c>
      <c r="J98">
        <v>1.26</v>
      </c>
      <c r="M98">
        <v>3800</v>
      </c>
    </row>
    <row r="99" spans="1:15" x14ac:dyDescent="0.25">
      <c r="A99" t="s">
        <v>564</v>
      </c>
      <c r="B99" t="s">
        <v>28</v>
      </c>
      <c r="C99" t="s">
        <v>1792</v>
      </c>
      <c r="D99" t="s">
        <v>7232</v>
      </c>
      <c r="E99">
        <v>98</v>
      </c>
      <c r="F99" t="s">
        <v>7233</v>
      </c>
      <c r="G99">
        <v>297002</v>
      </c>
      <c r="H99">
        <v>229099</v>
      </c>
      <c r="I99">
        <v>29.6</v>
      </c>
      <c r="J99">
        <v>14.28</v>
      </c>
      <c r="K99">
        <v>0.44</v>
      </c>
      <c r="L99">
        <v>13.8</v>
      </c>
      <c r="M99">
        <v>42412</v>
      </c>
      <c r="N99">
        <v>1008</v>
      </c>
      <c r="O99">
        <v>4107.3999999999996</v>
      </c>
    </row>
    <row r="100" spans="1:15" x14ac:dyDescent="0.25">
      <c r="A100" t="s">
        <v>564</v>
      </c>
      <c r="B100" t="s">
        <v>28</v>
      </c>
      <c r="C100" t="s">
        <v>1797</v>
      </c>
      <c r="D100" t="s">
        <v>7234</v>
      </c>
      <c r="E100">
        <v>99</v>
      </c>
      <c r="F100" t="s">
        <v>4239</v>
      </c>
      <c r="G100">
        <v>293077</v>
      </c>
      <c r="H100">
        <v>647872</v>
      </c>
      <c r="I100">
        <v>-54.8</v>
      </c>
      <c r="J100">
        <v>0.54</v>
      </c>
      <c r="K100">
        <v>0.44</v>
      </c>
      <c r="L100">
        <v>0.1</v>
      </c>
      <c r="M100">
        <v>1583</v>
      </c>
      <c r="N100">
        <v>2851</v>
      </c>
      <c r="O100">
        <v>-44.5</v>
      </c>
    </row>
    <row r="101" spans="1:15" x14ac:dyDescent="0.25">
      <c r="A101" t="s">
        <v>564</v>
      </c>
      <c r="B101" t="s">
        <v>28</v>
      </c>
      <c r="C101" t="s">
        <v>1802</v>
      </c>
      <c r="D101" t="s">
        <v>7235</v>
      </c>
      <c r="E101">
        <v>100</v>
      </c>
      <c r="F101" t="s">
        <v>4080</v>
      </c>
      <c r="G101">
        <v>286198</v>
      </c>
      <c r="J101">
        <v>0.41</v>
      </c>
      <c r="M101">
        <v>1173</v>
      </c>
    </row>
    <row r="102" spans="1:15" x14ac:dyDescent="0.25">
      <c r="A102" t="s">
        <v>564</v>
      </c>
      <c r="B102" t="s">
        <v>28</v>
      </c>
      <c r="C102" t="s">
        <v>1807</v>
      </c>
      <c r="D102" t="s">
        <v>7236</v>
      </c>
      <c r="E102">
        <v>101</v>
      </c>
      <c r="F102" t="s">
        <v>4964</v>
      </c>
      <c r="G102">
        <v>284934</v>
      </c>
      <c r="J102">
        <v>0.72</v>
      </c>
      <c r="M102">
        <v>2052</v>
      </c>
    </row>
    <row r="103" spans="1:15" x14ac:dyDescent="0.25">
      <c r="A103" t="s">
        <v>564</v>
      </c>
      <c r="B103" t="s">
        <v>28</v>
      </c>
      <c r="C103" t="s">
        <v>1812</v>
      </c>
      <c r="D103" t="s">
        <v>7237</v>
      </c>
      <c r="E103">
        <v>102</v>
      </c>
      <c r="F103" t="s">
        <v>7238</v>
      </c>
      <c r="G103">
        <v>280303</v>
      </c>
      <c r="J103">
        <v>1.68</v>
      </c>
      <c r="M103">
        <v>4709</v>
      </c>
    </row>
    <row r="104" spans="1:15" x14ac:dyDescent="0.25">
      <c r="A104" t="s">
        <v>564</v>
      </c>
      <c r="B104" t="s">
        <v>28</v>
      </c>
      <c r="C104" t="s">
        <v>1816</v>
      </c>
      <c r="D104" t="s">
        <v>7239</v>
      </c>
      <c r="E104">
        <v>103</v>
      </c>
      <c r="F104" t="s">
        <v>4670</v>
      </c>
      <c r="G104">
        <v>278057</v>
      </c>
      <c r="H104">
        <v>124709</v>
      </c>
      <c r="I104">
        <v>123</v>
      </c>
      <c r="J104">
        <v>1.46</v>
      </c>
      <c r="K104">
        <v>1.5</v>
      </c>
      <c r="L104">
        <v>0</v>
      </c>
      <c r="M104">
        <v>4060</v>
      </c>
      <c r="N104">
        <v>1871</v>
      </c>
      <c r="O104">
        <v>117</v>
      </c>
    </row>
    <row r="105" spans="1:15" x14ac:dyDescent="0.25">
      <c r="A105" t="s">
        <v>564</v>
      </c>
      <c r="B105" t="s">
        <v>28</v>
      </c>
      <c r="C105" t="s">
        <v>7240</v>
      </c>
      <c r="D105" t="s">
        <v>7241</v>
      </c>
      <c r="E105">
        <v>104</v>
      </c>
      <c r="F105" t="s">
        <v>7242</v>
      </c>
      <c r="G105">
        <v>264216</v>
      </c>
      <c r="H105">
        <v>187213</v>
      </c>
      <c r="I105">
        <v>41.1</v>
      </c>
      <c r="J105">
        <v>0.55000000000000004</v>
      </c>
      <c r="K105">
        <v>0.24</v>
      </c>
      <c r="L105">
        <v>0.3</v>
      </c>
      <c r="M105">
        <v>1453</v>
      </c>
      <c r="N105">
        <v>449</v>
      </c>
      <c r="O105">
        <v>223.4</v>
      </c>
    </row>
    <row r="106" spans="1:15" x14ac:dyDescent="0.25">
      <c r="A106" t="s">
        <v>564</v>
      </c>
      <c r="B106" t="s">
        <v>28</v>
      </c>
      <c r="C106" t="s">
        <v>7243</v>
      </c>
      <c r="D106" t="s">
        <v>7244</v>
      </c>
      <c r="E106">
        <v>105</v>
      </c>
      <c r="F106" t="s">
        <v>5627</v>
      </c>
      <c r="G106">
        <v>262389</v>
      </c>
      <c r="H106">
        <v>170304</v>
      </c>
      <c r="I106">
        <v>54.1</v>
      </c>
      <c r="J106">
        <v>0.82</v>
      </c>
      <c r="K106">
        <v>0.88</v>
      </c>
      <c r="L106">
        <v>-0.1</v>
      </c>
      <c r="M106">
        <v>2152</v>
      </c>
      <c r="N106">
        <v>1499</v>
      </c>
      <c r="O106">
        <v>43.6</v>
      </c>
    </row>
    <row r="107" spans="1:15" x14ac:dyDescent="0.25">
      <c r="A107" t="s">
        <v>564</v>
      </c>
      <c r="B107" t="s">
        <v>28</v>
      </c>
      <c r="C107" t="s">
        <v>7245</v>
      </c>
      <c r="D107" t="s">
        <v>7246</v>
      </c>
      <c r="E107">
        <v>106</v>
      </c>
      <c r="F107" t="s">
        <v>7247</v>
      </c>
      <c r="G107">
        <v>261820</v>
      </c>
      <c r="H107">
        <v>316505</v>
      </c>
      <c r="I107">
        <v>-17.3</v>
      </c>
      <c r="J107">
        <v>0.77</v>
      </c>
      <c r="K107">
        <v>0.72</v>
      </c>
      <c r="L107">
        <v>0.1</v>
      </c>
      <c r="M107">
        <v>2016</v>
      </c>
      <c r="N107">
        <v>2279</v>
      </c>
      <c r="O107">
        <v>-11.5</v>
      </c>
    </row>
    <row r="108" spans="1:15" x14ac:dyDescent="0.25">
      <c r="A108" t="s">
        <v>564</v>
      </c>
      <c r="B108" t="s">
        <v>28</v>
      </c>
      <c r="C108" t="s">
        <v>7248</v>
      </c>
      <c r="D108" t="s">
        <v>7249</v>
      </c>
      <c r="E108">
        <v>107</v>
      </c>
      <c r="F108" t="s">
        <v>4476</v>
      </c>
      <c r="G108">
        <v>259615</v>
      </c>
      <c r="H108">
        <v>167674</v>
      </c>
      <c r="I108">
        <v>54.8</v>
      </c>
      <c r="J108">
        <v>1.52</v>
      </c>
      <c r="K108">
        <v>2.76</v>
      </c>
      <c r="L108">
        <v>-1.2</v>
      </c>
      <c r="M108">
        <v>3946</v>
      </c>
      <c r="N108">
        <v>4628</v>
      </c>
      <c r="O108">
        <v>-14.7</v>
      </c>
    </row>
    <row r="109" spans="1:15" x14ac:dyDescent="0.25">
      <c r="A109" t="s">
        <v>564</v>
      </c>
      <c r="B109" t="s">
        <v>28</v>
      </c>
      <c r="C109" t="s">
        <v>7250</v>
      </c>
      <c r="D109" t="s">
        <v>7251</v>
      </c>
      <c r="E109">
        <v>108</v>
      </c>
      <c r="F109" t="s">
        <v>7252</v>
      </c>
      <c r="G109">
        <v>252740</v>
      </c>
      <c r="H109">
        <v>318272</v>
      </c>
      <c r="I109">
        <v>-20.6</v>
      </c>
      <c r="J109">
        <v>0.44</v>
      </c>
      <c r="K109">
        <v>0.63</v>
      </c>
      <c r="L109">
        <v>-0.2</v>
      </c>
      <c r="M109">
        <v>1112</v>
      </c>
      <c r="N109">
        <v>2005</v>
      </c>
      <c r="O109">
        <v>-44.5</v>
      </c>
    </row>
    <row r="110" spans="1:15" x14ac:dyDescent="0.25">
      <c r="A110" t="s">
        <v>564</v>
      </c>
      <c r="B110" t="s">
        <v>28</v>
      </c>
      <c r="C110" t="s">
        <v>7253</v>
      </c>
      <c r="D110" t="s">
        <v>7254</v>
      </c>
      <c r="E110">
        <v>109</v>
      </c>
      <c r="F110" t="s">
        <v>3510</v>
      </c>
      <c r="G110">
        <v>249999</v>
      </c>
      <c r="J110">
        <v>2.78</v>
      </c>
      <c r="M110">
        <v>6950</v>
      </c>
    </row>
    <row r="111" spans="1:15" x14ac:dyDescent="0.25">
      <c r="A111" t="s">
        <v>564</v>
      </c>
      <c r="B111" t="s">
        <v>28</v>
      </c>
      <c r="C111" t="s">
        <v>7255</v>
      </c>
      <c r="D111" t="s">
        <v>7256</v>
      </c>
      <c r="E111">
        <v>110</v>
      </c>
      <c r="F111" t="s">
        <v>5273</v>
      </c>
      <c r="G111">
        <v>245279</v>
      </c>
      <c r="H111">
        <v>717800</v>
      </c>
      <c r="I111">
        <v>-65.8</v>
      </c>
      <c r="J111">
        <v>1.61</v>
      </c>
      <c r="K111">
        <v>2.4900000000000002</v>
      </c>
      <c r="L111">
        <v>-0.9</v>
      </c>
      <c r="M111">
        <v>3949</v>
      </c>
      <c r="N111">
        <v>17873</v>
      </c>
      <c r="O111">
        <v>-77.900000000000006</v>
      </c>
    </row>
    <row r="112" spans="1:15" x14ac:dyDescent="0.25">
      <c r="A112" t="s">
        <v>564</v>
      </c>
      <c r="B112" t="s">
        <v>28</v>
      </c>
      <c r="C112" t="s">
        <v>7257</v>
      </c>
      <c r="D112" t="s">
        <v>7258</v>
      </c>
      <c r="E112">
        <v>111</v>
      </c>
      <c r="F112" t="s">
        <v>7259</v>
      </c>
      <c r="G112">
        <v>240855</v>
      </c>
      <c r="H112">
        <v>137750</v>
      </c>
      <c r="I112">
        <v>74.8</v>
      </c>
      <c r="J112">
        <v>1.19</v>
      </c>
      <c r="K112">
        <v>1.1599999999999999</v>
      </c>
      <c r="L112">
        <v>0</v>
      </c>
      <c r="M112">
        <v>2866</v>
      </c>
      <c r="N112">
        <v>1598</v>
      </c>
      <c r="O112">
        <v>79.400000000000006</v>
      </c>
    </row>
    <row r="113" spans="1:15" x14ac:dyDescent="0.25">
      <c r="A113" t="s">
        <v>564</v>
      </c>
      <c r="B113" t="s">
        <v>28</v>
      </c>
      <c r="C113" t="s">
        <v>7260</v>
      </c>
      <c r="D113" t="s">
        <v>7261</v>
      </c>
      <c r="E113">
        <v>112</v>
      </c>
      <c r="F113" t="s">
        <v>4911</v>
      </c>
      <c r="G113">
        <v>237771</v>
      </c>
      <c r="J113">
        <v>0.85</v>
      </c>
      <c r="M113">
        <v>2021</v>
      </c>
    </row>
    <row r="114" spans="1:15" x14ac:dyDescent="0.25">
      <c r="A114" t="s">
        <v>564</v>
      </c>
      <c r="B114" t="s">
        <v>28</v>
      </c>
      <c r="C114" t="s">
        <v>7262</v>
      </c>
      <c r="D114" t="s">
        <v>7263</v>
      </c>
      <c r="E114">
        <v>113</v>
      </c>
      <c r="F114" t="s">
        <v>5477</v>
      </c>
      <c r="G114">
        <v>232371</v>
      </c>
      <c r="H114">
        <v>126118</v>
      </c>
      <c r="I114">
        <v>84.2</v>
      </c>
      <c r="J114">
        <v>2.17</v>
      </c>
      <c r="K114">
        <v>1.46</v>
      </c>
      <c r="L114">
        <v>0.7</v>
      </c>
      <c r="M114">
        <v>5042</v>
      </c>
      <c r="N114">
        <v>1841</v>
      </c>
      <c r="O114">
        <v>173.8</v>
      </c>
    </row>
    <row r="115" spans="1:15" x14ac:dyDescent="0.25">
      <c r="A115" t="s">
        <v>564</v>
      </c>
      <c r="B115" t="s">
        <v>28</v>
      </c>
      <c r="C115" t="s">
        <v>7264</v>
      </c>
      <c r="D115" t="s">
        <v>7265</v>
      </c>
      <c r="E115">
        <v>114</v>
      </c>
      <c r="F115" t="s">
        <v>7266</v>
      </c>
      <c r="G115">
        <v>232079</v>
      </c>
      <c r="H115">
        <v>64091</v>
      </c>
      <c r="I115">
        <v>262.10000000000002</v>
      </c>
      <c r="J115">
        <v>1.32</v>
      </c>
      <c r="K115">
        <v>1.23</v>
      </c>
      <c r="L115">
        <v>0.1</v>
      </c>
      <c r="M115">
        <v>3063</v>
      </c>
      <c r="N115">
        <v>788</v>
      </c>
      <c r="O115">
        <v>288.60000000000002</v>
      </c>
    </row>
    <row r="116" spans="1:15" x14ac:dyDescent="0.25">
      <c r="A116" t="s">
        <v>564</v>
      </c>
      <c r="B116" t="s">
        <v>28</v>
      </c>
      <c r="C116" t="s">
        <v>7267</v>
      </c>
      <c r="D116" t="s">
        <v>7268</v>
      </c>
      <c r="E116">
        <v>115</v>
      </c>
      <c r="F116" t="s">
        <v>7269</v>
      </c>
      <c r="G116">
        <v>231812</v>
      </c>
      <c r="H116">
        <v>404290</v>
      </c>
      <c r="I116">
        <v>-42.7</v>
      </c>
      <c r="J116">
        <v>0.15</v>
      </c>
      <c r="K116">
        <v>0.18</v>
      </c>
      <c r="L116">
        <v>0</v>
      </c>
      <c r="M116">
        <v>348</v>
      </c>
      <c r="N116">
        <v>728</v>
      </c>
      <c r="O116">
        <v>-52.2</v>
      </c>
    </row>
    <row r="117" spans="1:15" x14ac:dyDescent="0.25">
      <c r="A117" t="s">
        <v>564</v>
      </c>
      <c r="B117" t="s">
        <v>28</v>
      </c>
      <c r="C117" t="s">
        <v>7270</v>
      </c>
      <c r="D117" t="s">
        <v>7271</v>
      </c>
      <c r="E117">
        <v>116</v>
      </c>
      <c r="F117" t="s">
        <v>4261</v>
      </c>
      <c r="G117">
        <v>229295</v>
      </c>
      <c r="H117">
        <v>330396</v>
      </c>
      <c r="I117">
        <v>-30.6</v>
      </c>
      <c r="J117">
        <v>1.9</v>
      </c>
      <c r="K117">
        <v>1.55</v>
      </c>
      <c r="L117">
        <v>0.4</v>
      </c>
      <c r="M117">
        <v>4357</v>
      </c>
      <c r="N117">
        <v>5121</v>
      </c>
      <c r="O117">
        <v>-14.9</v>
      </c>
    </row>
    <row r="118" spans="1:15" x14ac:dyDescent="0.25">
      <c r="A118" t="s">
        <v>564</v>
      </c>
      <c r="B118" t="s">
        <v>28</v>
      </c>
      <c r="C118" t="s">
        <v>7272</v>
      </c>
      <c r="D118" t="s">
        <v>7273</v>
      </c>
      <c r="E118">
        <v>117</v>
      </c>
      <c r="F118" t="s">
        <v>4189</v>
      </c>
      <c r="G118">
        <v>226722</v>
      </c>
      <c r="H118">
        <v>49963</v>
      </c>
      <c r="I118">
        <v>353.8</v>
      </c>
      <c r="J118">
        <v>0.71</v>
      </c>
      <c r="K118">
        <v>0.62</v>
      </c>
      <c r="L118">
        <v>0.1</v>
      </c>
      <c r="M118">
        <v>1610</v>
      </c>
      <c r="N118">
        <v>310</v>
      </c>
      <c r="O118">
        <v>419.7</v>
      </c>
    </row>
    <row r="119" spans="1:15" x14ac:dyDescent="0.25">
      <c r="A119" t="s">
        <v>564</v>
      </c>
      <c r="B119" t="s">
        <v>28</v>
      </c>
      <c r="C119" t="s">
        <v>7274</v>
      </c>
      <c r="D119" t="s">
        <v>7275</v>
      </c>
      <c r="E119">
        <v>118</v>
      </c>
      <c r="F119" t="s">
        <v>4987</v>
      </c>
      <c r="G119">
        <v>225708</v>
      </c>
      <c r="H119">
        <v>221157</v>
      </c>
      <c r="I119">
        <v>2.1</v>
      </c>
      <c r="J119">
        <v>0.68</v>
      </c>
      <c r="K119">
        <v>0.45</v>
      </c>
      <c r="L119">
        <v>0.2</v>
      </c>
      <c r="M119">
        <v>1535</v>
      </c>
      <c r="N119">
        <v>995</v>
      </c>
      <c r="O119">
        <v>54.2</v>
      </c>
    </row>
    <row r="120" spans="1:15" x14ac:dyDescent="0.25">
      <c r="A120" t="s">
        <v>564</v>
      </c>
      <c r="B120" t="s">
        <v>28</v>
      </c>
      <c r="C120" t="s">
        <v>7276</v>
      </c>
      <c r="D120" t="s">
        <v>7277</v>
      </c>
      <c r="E120">
        <v>119</v>
      </c>
      <c r="F120" t="s">
        <v>4042</v>
      </c>
      <c r="G120">
        <v>225557</v>
      </c>
      <c r="J120">
        <v>1.38</v>
      </c>
      <c r="M120">
        <v>3113</v>
      </c>
    </row>
    <row r="121" spans="1:15" x14ac:dyDescent="0.25">
      <c r="A121" t="s">
        <v>564</v>
      </c>
      <c r="B121" t="s">
        <v>28</v>
      </c>
      <c r="C121" t="s">
        <v>7278</v>
      </c>
      <c r="D121" t="s">
        <v>7279</v>
      </c>
      <c r="E121">
        <v>120</v>
      </c>
      <c r="F121" t="s">
        <v>4544</v>
      </c>
      <c r="G121">
        <v>223204</v>
      </c>
      <c r="J121">
        <v>1.87</v>
      </c>
      <c r="M121">
        <v>4174</v>
      </c>
    </row>
    <row r="122" spans="1:15" x14ac:dyDescent="0.25">
      <c r="A122" t="s">
        <v>564</v>
      </c>
      <c r="B122" t="s">
        <v>28</v>
      </c>
      <c r="C122" t="s">
        <v>7280</v>
      </c>
      <c r="D122" t="s">
        <v>7281</v>
      </c>
      <c r="E122">
        <v>121</v>
      </c>
      <c r="F122" t="s">
        <v>5536</v>
      </c>
      <c r="G122">
        <v>221278</v>
      </c>
      <c r="J122">
        <v>0.36</v>
      </c>
      <c r="M122">
        <v>797</v>
      </c>
    </row>
    <row r="123" spans="1:15" x14ac:dyDescent="0.25">
      <c r="A123" t="s">
        <v>564</v>
      </c>
      <c r="B123" t="s">
        <v>28</v>
      </c>
      <c r="C123" t="s">
        <v>7282</v>
      </c>
      <c r="D123" t="s">
        <v>7283</v>
      </c>
      <c r="E123">
        <v>122</v>
      </c>
      <c r="F123" t="s">
        <v>4640</v>
      </c>
      <c r="G123">
        <v>216965</v>
      </c>
      <c r="J123">
        <v>0.65</v>
      </c>
      <c r="M123">
        <v>1410</v>
      </c>
    </row>
    <row r="124" spans="1:15" x14ac:dyDescent="0.25">
      <c r="A124" t="s">
        <v>564</v>
      </c>
      <c r="B124" t="s">
        <v>28</v>
      </c>
      <c r="C124" t="s">
        <v>7284</v>
      </c>
      <c r="D124" t="s">
        <v>7285</v>
      </c>
      <c r="E124">
        <v>123</v>
      </c>
      <c r="F124" t="s">
        <v>7286</v>
      </c>
      <c r="G124">
        <v>212750</v>
      </c>
      <c r="H124">
        <v>179267</v>
      </c>
      <c r="I124">
        <v>18.7</v>
      </c>
      <c r="J124">
        <v>0.59</v>
      </c>
      <c r="K124">
        <v>0.14000000000000001</v>
      </c>
      <c r="L124">
        <v>0.5</v>
      </c>
      <c r="M124">
        <v>1255</v>
      </c>
      <c r="N124">
        <v>251</v>
      </c>
      <c r="O124">
        <v>400.1</v>
      </c>
    </row>
    <row r="125" spans="1:15" x14ac:dyDescent="0.25">
      <c r="A125" t="s">
        <v>564</v>
      </c>
      <c r="B125" t="s">
        <v>28</v>
      </c>
      <c r="C125" t="s">
        <v>7287</v>
      </c>
      <c r="D125" t="s">
        <v>7288</v>
      </c>
      <c r="E125">
        <v>124</v>
      </c>
      <c r="F125" t="s">
        <v>4785</v>
      </c>
      <c r="G125">
        <v>212570</v>
      </c>
      <c r="H125">
        <v>509039</v>
      </c>
      <c r="I125">
        <v>-58.2</v>
      </c>
      <c r="J125">
        <v>1.41</v>
      </c>
      <c r="K125">
        <v>2.06</v>
      </c>
      <c r="L125">
        <v>-0.7</v>
      </c>
      <c r="M125">
        <v>2997</v>
      </c>
      <c r="N125">
        <v>10486</v>
      </c>
      <c r="O125">
        <v>-71.400000000000006</v>
      </c>
    </row>
    <row r="126" spans="1:15" x14ac:dyDescent="0.25">
      <c r="A126" t="s">
        <v>564</v>
      </c>
      <c r="B126" t="s">
        <v>28</v>
      </c>
      <c r="C126" t="s">
        <v>7289</v>
      </c>
      <c r="D126" t="s">
        <v>7290</v>
      </c>
      <c r="E126">
        <v>125</v>
      </c>
      <c r="F126" t="s">
        <v>7291</v>
      </c>
      <c r="G126">
        <v>210449</v>
      </c>
      <c r="H126">
        <v>458830</v>
      </c>
      <c r="I126">
        <v>-54.1</v>
      </c>
      <c r="J126">
        <v>0.7</v>
      </c>
      <c r="K126">
        <v>0.28999999999999998</v>
      </c>
      <c r="L126">
        <v>0.4</v>
      </c>
      <c r="M126">
        <v>1473</v>
      </c>
      <c r="N126">
        <v>1331</v>
      </c>
      <c r="O126">
        <v>10.7</v>
      </c>
    </row>
    <row r="127" spans="1:15" x14ac:dyDescent="0.25">
      <c r="A127" t="s">
        <v>564</v>
      </c>
      <c r="B127" t="s">
        <v>28</v>
      </c>
      <c r="C127" t="s">
        <v>7292</v>
      </c>
      <c r="D127" t="s">
        <v>7293</v>
      </c>
      <c r="E127">
        <v>126</v>
      </c>
      <c r="F127" t="s">
        <v>4776</v>
      </c>
      <c r="G127">
        <v>208328</v>
      </c>
      <c r="J127">
        <v>21.32</v>
      </c>
      <c r="M127">
        <v>44416</v>
      </c>
    </row>
    <row r="128" spans="1:15" x14ac:dyDescent="0.25">
      <c r="A128" t="s">
        <v>564</v>
      </c>
      <c r="B128" t="s">
        <v>28</v>
      </c>
      <c r="C128" t="s">
        <v>7294</v>
      </c>
      <c r="D128" t="s">
        <v>7295</v>
      </c>
      <c r="E128">
        <v>127</v>
      </c>
      <c r="F128" t="s">
        <v>3738</v>
      </c>
      <c r="G128">
        <v>208214</v>
      </c>
      <c r="H128">
        <v>130675</v>
      </c>
      <c r="I128">
        <v>59.3</v>
      </c>
      <c r="J128">
        <v>0.47</v>
      </c>
      <c r="K128">
        <v>0.83</v>
      </c>
      <c r="L128">
        <v>-0.4</v>
      </c>
      <c r="M128">
        <v>979</v>
      </c>
      <c r="N128">
        <v>1085</v>
      </c>
      <c r="O128">
        <v>-9.8000000000000007</v>
      </c>
    </row>
    <row r="129" spans="1:15" x14ac:dyDescent="0.25">
      <c r="A129" t="s">
        <v>564</v>
      </c>
      <c r="B129" t="s">
        <v>28</v>
      </c>
      <c r="C129" t="s">
        <v>7296</v>
      </c>
      <c r="D129" t="s">
        <v>7297</v>
      </c>
      <c r="E129">
        <v>128</v>
      </c>
      <c r="F129" t="s">
        <v>7298</v>
      </c>
      <c r="G129">
        <v>207530</v>
      </c>
      <c r="H129">
        <v>535162</v>
      </c>
      <c r="I129">
        <v>-61.2</v>
      </c>
      <c r="J129">
        <v>1.1599999999999999</v>
      </c>
      <c r="K129">
        <v>2.16</v>
      </c>
      <c r="L129">
        <v>-1</v>
      </c>
      <c r="M129">
        <v>2407</v>
      </c>
      <c r="N129">
        <v>11559</v>
      </c>
      <c r="O129">
        <v>-79.2</v>
      </c>
    </row>
    <row r="130" spans="1:15" x14ac:dyDescent="0.25">
      <c r="A130" t="s">
        <v>564</v>
      </c>
      <c r="B130" t="s">
        <v>28</v>
      </c>
      <c r="C130" t="s">
        <v>7299</v>
      </c>
      <c r="D130" t="s">
        <v>7300</v>
      </c>
      <c r="E130">
        <v>129</v>
      </c>
      <c r="F130" t="s">
        <v>5685</v>
      </c>
      <c r="G130">
        <v>206050</v>
      </c>
      <c r="H130">
        <v>390690</v>
      </c>
      <c r="I130">
        <v>-47.3</v>
      </c>
      <c r="J130">
        <v>0.73</v>
      </c>
      <c r="K130">
        <v>1</v>
      </c>
      <c r="L130">
        <v>-0.3</v>
      </c>
      <c r="M130">
        <v>1504</v>
      </c>
      <c r="N130">
        <v>3907</v>
      </c>
      <c r="O130">
        <v>-61.5</v>
      </c>
    </row>
    <row r="131" spans="1:15" x14ac:dyDescent="0.25">
      <c r="A131" t="s">
        <v>564</v>
      </c>
      <c r="B131" t="s">
        <v>28</v>
      </c>
      <c r="C131" t="s">
        <v>7301</v>
      </c>
      <c r="D131" t="s">
        <v>7302</v>
      </c>
      <c r="E131">
        <v>130</v>
      </c>
      <c r="F131" t="s">
        <v>7303</v>
      </c>
      <c r="G131">
        <v>205769</v>
      </c>
      <c r="J131">
        <v>16.29</v>
      </c>
      <c r="M131">
        <v>33520</v>
      </c>
    </row>
    <row r="132" spans="1:15" x14ac:dyDescent="0.25">
      <c r="A132" t="s">
        <v>564</v>
      </c>
      <c r="B132" t="s">
        <v>28</v>
      </c>
      <c r="C132" t="s">
        <v>7304</v>
      </c>
      <c r="D132" t="s">
        <v>7305</v>
      </c>
      <c r="E132">
        <v>131</v>
      </c>
      <c r="F132" t="s">
        <v>3779</v>
      </c>
      <c r="G132">
        <v>205643</v>
      </c>
      <c r="H132">
        <v>182409</v>
      </c>
      <c r="I132">
        <v>12.7</v>
      </c>
      <c r="J132">
        <v>1.42</v>
      </c>
      <c r="K132">
        <v>0.91</v>
      </c>
      <c r="L132">
        <v>0.5</v>
      </c>
      <c r="M132">
        <v>2920</v>
      </c>
      <c r="N132">
        <v>1660</v>
      </c>
      <c r="O132">
        <v>75.900000000000006</v>
      </c>
    </row>
    <row r="133" spans="1:15" x14ac:dyDescent="0.25">
      <c r="A133" t="s">
        <v>564</v>
      </c>
      <c r="B133" t="s">
        <v>28</v>
      </c>
      <c r="C133" t="s">
        <v>7306</v>
      </c>
      <c r="D133" t="s">
        <v>7307</v>
      </c>
      <c r="E133">
        <v>132</v>
      </c>
      <c r="F133" t="s">
        <v>7308</v>
      </c>
      <c r="G133">
        <v>199789</v>
      </c>
      <c r="J133">
        <v>1.71</v>
      </c>
      <c r="M133">
        <v>3416</v>
      </c>
    </row>
    <row r="134" spans="1:15" x14ac:dyDescent="0.25">
      <c r="A134" t="s">
        <v>564</v>
      </c>
      <c r="B134" t="s">
        <v>28</v>
      </c>
      <c r="C134" t="s">
        <v>7309</v>
      </c>
      <c r="D134" t="s">
        <v>7310</v>
      </c>
      <c r="E134">
        <v>133</v>
      </c>
      <c r="F134" t="s">
        <v>5138</v>
      </c>
      <c r="G134">
        <v>198719</v>
      </c>
      <c r="J134">
        <v>1.45</v>
      </c>
      <c r="M134">
        <v>2881</v>
      </c>
    </row>
    <row r="135" spans="1:15" x14ac:dyDescent="0.25">
      <c r="A135" t="s">
        <v>564</v>
      </c>
      <c r="B135" t="s">
        <v>28</v>
      </c>
      <c r="C135" t="s">
        <v>7311</v>
      </c>
      <c r="D135" t="s">
        <v>7312</v>
      </c>
      <c r="E135">
        <v>134</v>
      </c>
      <c r="F135" t="s">
        <v>5485</v>
      </c>
      <c r="G135">
        <v>198643</v>
      </c>
      <c r="J135">
        <v>0.47</v>
      </c>
      <c r="M135">
        <v>934</v>
      </c>
    </row>
    <row r="136" spans="1:15" x14ac:dyDescent="0.25">
      <c r="A136" t="s">
        <v>564</v>
      </c>
      <c r="B136" t="s">
        <v>28</v>
      </c>
      <c r="C136" t="s">
        <v>7313</v>
      </c>
      <c r="D136" t="s">
        <v>7314</v>
      </c>
      <c r="E136">
        <v>135</v>
      </c>
      <c r="F136" t="s">
        <v>3788</v>
      </c>
      <c r="G136">
        <v>197107</v>
      </c>
      <c r="J136">
        <v>0.61</v>
      </c>
      <c r="M136">
        <v>1202</v>
      </c>
    </row>
    <row r="137" spans="1:15" x14ac:dyDescent="0.25">
      <c r="A137" t="s">
        <v>564</v>
      </c>
      <c r="B137" t="s">
        <v>28</v>
      </c>
      <c r="C137" t="s">
        <v>7315</v>
      </c>
      <c r="D137" t="s">
        <v>7316</v>
      </c>
      <c r="E137">
        <v>136</v>
      </c>
      <c r="F137" t="s">
        <v>5259</v>
      </c>
      <c r="G137">
        <v>190527</v>
      </c>
      <c r="H137">
        <v>351673</v>
      </c>
      <c r="I137">
        <v>-45.8</v>
      </c>
      <c r="J137">
        <v>0.54</v>
      </c>
      <c r="K137">
        <v>0.61</v>
      </c>
      <c r="L137">
        <v>-0.1</v>
      </c>
      <c r="M137">
        <v>1029</v>
      </c>
      <c r="N137">
        <v>2145</v>
      </c>
      <c r="O137">
        <v>-52</v>
      </c>
    </row>
    <row r="138" spans="1:15" x14ac:dyDescent="0.25">
      <c r="A138" t="s">
        <v>564</v>
      </c>
      <c r="B138" t="s">
        <v>28</v>
      </c>
      <c r="C138" t="s">
        <v>7317</v>
      </c>
      <c r="D138" t="s">
        <v>7318</v>
      </c>
      <c r="E138">
        <v>137</v>
      </c>
      <c r="F138" t="s">
        <v>5493</v>
      </c>
      <c r="G138">
        <v>182056</v>
      </c>
      <c r="H138">
        <v>573650</v>
      </c>
      <c r="I138">
        <v>-68.3</v>
      </c>
      <c r="J138">
        <v>1.29</v>
      </c>
      <c r="K138">
        <v>1.66</v>
      </c>
      <c r="L138">
        <v>-0.4</v>
      </c>
      <c r="M138">
        <v>2349</v>
      </c>
      <c r="N138">
        <v>9523</v>
      </c>
      <c r="O138">
        <v>-75.3</v>
      </c>
    </row>
    <row r="139" spans="1:15" x14ac:dyDescent="0.25">
      <c r="A139" t="s">
        <v>564</v>
      </c>
      <c r="B139" t="s">
        <v>28</v>
      </c>
      <c r="C139" t="s">
        <v>7319</v>
      </c>
      <c r="D139" t="s">
        <v>7320</v>
      </c>
      <c r="E139">
        <v>138</v>
      </c>
      <c r="F139" t="s">
        <v>7321</v>
      </c>
      <c r="G139">
        <v>175038</v>
      </c>
      <c r="J139">
        <v>0.13</v>
      </c>
      <c r="M139">
        <v>228</v>
      </c>
    </row>
    <row r="140" spans="1:15" x14ac:dyDescent="0.25">
      <c r="A140" t="s">
        <v>564</v>
      </c>
      <c r="B140" t="s">
        <v>28</v>
      </c>
      <c r="C140" t="s">
        <v>7322</v>
      </c>
      <c r="D140" t="s">
        <v>7323</v>
      </c>
      <c r="E140">
        <v>139</v>
      </c>
      <c r="F140" t="s">
        <v>7324</v>
      </c>
      <c r="G140">
        <v>174469</v>
      </c>
      <c r="J140">
        <v>52.63</v>
      </c>
      <c r="M140">
        <v>91823</v>
      </c>
    </row>
    <row r="141" spans="1:15" x14ac:dyDescent="0.25">
      <c r="A141" t="s">
        <v>564</v>
      </c>
      <c r="B141" t="s">
        <v>28</v>
      </c>
      <c r="C141" t="s">
        <v>7325</v>
      </c>
      <c r="D141" t="s">
        <v>7326</v>
      </c>
      <c r="E141">
        <v>140</v>
      </c>
      <c r="F141" t="s">
        <v>7327</v>
      </c>
      <c r="G141">
        <v>173536</v>
      </c>
      <c r="J141">
        <v>1.8</v>
      </c>
      <c r="M141">
        <v>3124</v>
      </c>
    </row>
    <row r="142" spans="1:15" x14ac:dyDescent="0.25">
      <c r="A142" t="s">
        <v>564</v>
      </c>
      <c r="B142" t="s">
        <v>28</v>
      </c>
      <c r="C142" t="s">
        <v>7328</v>
      </c>
      <c r="D142" t="s">
        <v>7329</v>
      </c>
      <c r="E142">
        <v>141</v>
      </c>
      <c r="F142" t="s">
        <v>5502</v>
      </c>
      <c r="G142">
        <v>172921</v>
      </c>
      <c r="J142">
        <v>1.59</v>
      </c>
      <c r="M142">
        <v>2749</v>
      </c>
    </row>
    <row r="143" spans="1:15" x14ac:dyDescent="0.25">
      <c r="A143" t="s">
        <v>564</v>
      </c>
      <c r="B143" t="s">
        <v>28</v>
      </c>
      <c r="C143" t="s">
        <v>7330</v>
      </c>
      <c r="D143" t="s">
        <v>7331</v>
      </c>
      <c r="E143">
        <v>142</v>
      </c>
      <c r="F143" t="s">
        <v>4405</v>
      </c>
      <c r="G143">
        <v>170406</v>
      </c>
      <c r="H143">
        <v>208708</v>
      </c>
      <c r="I143">
        <v>-18.399999999999999</v>
      </c>
      <c r="J143">
        <v>0.94</v>
      </c>
      <c r="K143">
        <v>1.46</v>
      </c>
      <c r="L143">
        <v>-0.5</v>
      </c>
      <c r="M143">
        <v>1602</v>
      </c>
      <c r="N143">
        <v>3047</v>
      </c>
      <c r="O143">
        <v>-47.4</v>
      </c>
    </row>
    <row r="144" spans="1:15" x14ac:dyDescent="0.25">
      <c r="A144" t="s">
        <v>564</v>
      </c>
      <c r="B144" t="s">
        <v>28</v>
      </c>
      <c r="C144" t="s">
        <v>7332</v>
      </c>
      <c r="D144" t="s">
        <v>7333</v>
      </c>
      <c r="E144">
        <v>143</v>
      </c>
      <c r="F144" t="s">
        <v>3747</v>
      </c>
      <c r="G144">
        <v>170292</v>
      </c>
      <c r="H144">
        <v>156826</v>
      </c>
      <c r="I144">
        <v>8.6</v>
      </c>
      <c r="J144">
        <v>0.39</v>
      </c>
      <c r="K144">
        <v>0.11</v>
      </c>
      <c r="L144">
        <v>0.3</v>
      </c>
      <c r="M144">
        <v>664</v>
      </c>
      <c r="N144">
        <v>173</v>
      </c>
      <c r="O144">
        <v>285</v>
      </c>
    </row>
    <row r="145" spans="1:15" x14ac:dyDescent="0.25">
      <c r="A145" t="s">
        <v>564</v>
      </c>
      <c r="B145" t="s">
        <v>28</v>
      </c>
      <c r="C145" t="s">
        <v>7334</v>
      </c>
      <c r="D145" t="s">
        <v>7335</v>
      </c>
      <c r="E145">
        <v>144</v>
      </c>
      <c r="F145" t="s">
        <v>3771</v>
      </c>
      <c r="G145">
        <v>168562</v>
      </c>
      <c r="H145">
        <v>402000</v>
      </c>
      <c r="I145">
        <v>-58.1</v>
      </c>
      <c r="J145">
        <v>1.92</v>
      </c>
      <c r="K145">
        <v>1.93</v>
      </c>
      <c r="L145">
        <v>0</v>
      </c>
      <c r="M145">
        <v>3236</v>
      </c>
      <c r="N145">
        <v>7759</v>
      </c>
      <c r="O145">
        <v>-58.3</v>
      </c>
    </row>
    <row r="146" spans="1:15" x14ac:dyDescent="0.25">
      <c r="A146" t="s">
        <v>564</v>
      </c>
      <c r="B146" t="s">
        <v>28</v>
      </c>
      <c r="C146" t="s">
        <v>7336</v>
      </c>
      <c r="D146" t="s">
        <v>7337</v>
      </c>
      <c r="E146">
        <v>145</v>
      </c>
      <c r="F146" t="s">
        <v>5362</v>
      </c>
      <c r="G146">
        <v>168239</v>
      </c>
      <c r="J146">
        <v>1.32</v>
      </c>
      <c r="M146">
        <v>2221</v>
      </c>
    </row>
    <row r="147" spans="1:15" x14ac:dyDescent="0.25">
      <c r="A147" t="s">
        <v>564</v>
      </c>
      <c r="B147" t="s">
        <v>28</v>
      </c>
      <c r="C147" t="s">
        <v>7338</v>
      </c>
      <c r="D147" t="s">
        <v>7339</v>
      </c>
      <c r="E147">
        <v>146</v>
      </c>
      <c r="F147" t="s">
        <v>7340</v>
      </c>
      <c r="G147">
        <v>166374</v>
      </c>
      <c r="H147">
        <v>155368</v>
      </c>
      <c r="I147">
        <v>7.1</v>
      </c>
      <c r="J147">
        <v>0.15</v>
      </c>
      <c r="K147">
        <v>0.25</v>
      </c>
      <c r="L147">
        <v>-0.1</v>
      </c>
      <c r="M147">
        <v>250</v>
      </c>
      <c r="N147">
        <v>388</v>
      </c>
      <c r="O147">
        <v>-35.700000000000003</v>
      </c>
    </row>
    <row r="148" spans="1:15" x14ac:dyDescent="0.25">
      <c r="A148" t="s">
        <v>564</v>
      </c>
      <c r="B148" t="s">
        <v>28</v>
      </c>
      <c r="C148" t="s">
        <v>7341</v>
      </c>
      <c r="D148" t="s">
        <v>7342</v>
      </c>
      <c r="E148">
        <v>147</v>
      </c>
      <c r="F148" t="s">
        <v>4840</v>
      </c>
      <c r="G148">
        <v>165652</v>
      </c>
      <c r="H148">
        <v>102283</v>
      </c>
      <c r="I148">
        <v>62</v>
      </c>
      <c r="J148">
        <v>0.4</v>
      </c>
      <c r="K148">
        <v>0.63</v>
      </c>
      <c r="L148">
        <v>-0.2</v>
      </c>
      <c r="M148">
        <v>663</v>
      </c>
      <c r="N148">
        <v>644</v>
      </c>
      <c r="O148">
        <v>2.8</v>
      </c>
    </row>
    <row r="149" spans="1:15" x14ac:dyDescent="0.25">
      <c r="A149" t="s">
        <v>564</v>
      </c>
      <c r="B149" t="s">
        <v>28</v>
      </c>
      <c r="C149" t="s">
        <v>7343</v>
      </c>
      <c r="D149" t="s">
        <v>7344</v>
      </c>
      <c r="E149">
        <v>148</v>
      </c>
      <c r="F149" t="s">
        <v>4363</v>
      </c>
      <c r="G149">
        <v>165121</v>
      </c>
      <c r="H149">
        <v>322852</v>
      </c>
      <c r="I149">
        <v>-48.9</v>
      </c>
      <c r="J149">
        <v>2</v>
      </c>
      <c r="K149">
        <v>0.23</v>
      </c>
      <c r="L149">
        <v>1.8</v>
      </c>
      <c r="M149">
        <v>3302</v>
      </c>
      <c r="N149">
        <v>743</v>
      </c>
      <c r="O149">
        <v>344.7</v>
      </c>
    </row>
    <row r="150" spans="1:15" x14ac:dyDescent="0.25">
      <c r="A150" t="s">
        <v>564</v>
      </c>
      <c r="B150" t="s">
        <v>28</v>
      </c>
      <c r="C150" t="s">
        <v>7345</v>
      </c>
      <c r="D150" t="s">
        <v>7346</v>
      </c>
      <c r="E150">
        <v>149</v>
      </c>
      <c r="F150" t="s">
        <v>7347</v>
      </c>
      <c r="G150">
        <v>160626</v>
      </c>
      <c r="H150">
        <v>60104</v>
      </c>
      <c r="I150">
        <v>167.2</v>
      </c>
      <c r="J150">
        <v>0.47</v>
      </c>
      <c r="K150">
        <v>0.32</v>
      </c>
      <c r="L150">
        <v>0.1</v>
      </c>
      <c r="M150">
        <v>755</v>
      </c>
      <c r="N150">
        <v>192</v>
      </c>
      <c r="O150">
        <v>292.5</v>
      </c>
    </row>
    <row r="151" spans="1:15" x14ac:dyDescent="0.25">
      <c r="A151" t="s">
        <v>564</v>
      </c>
      <c r="B151" t="s">
        <v>28</v>
      </c>
      <c r="C151" t="s">
        <v>7348</v>
      </c>
      <c r="D151" t="s">
        <v>7349</v>
      </c>
      <c r="E151">
        <v>150</v>
      </c>
      <c r="F151" t="s">
        <v>4218</v>
      </c>
      <c r="G151">
        <v>158713</v>
      </c>
      <c r="J151">
        <v>1.07</v>
      </c>
      <c r="M151">
        <v>1698</v>
      </c>
    </row>
    <row r="152" spans="1:15" x14ac:dyDescent="0.25">
      <c r="A152" t="s">
        <v>564</v>
      </c>
      <c r="B152" t="s">
        <v>28</v>
      </c>
      <c r="C152" t="s">
        <v>7350</v>
      </c>
      <c r="D152" t="s">
        <v>7351</v>
      </c>
      <c r="E152">
        <v>151</v>
      </c>
      <c r="F152" t="s">
        <v>7352</v>
      </c>
      <c r="G152">
        <v>157826</v>
      </c>
      <c r="J152">
        <v>0.66</v>
      </c>
      <c r="M152">
        <v>1042</v>
      </c>
    </row>
    <row r="153" spans="1:15" x14ac:dyDescent="0.25">
      <c r="A153" t="s">
        <v>564</v>
      </c>
      <c r="B153" t="s">
        <v>28</v>
      </c>
      <c r="C153" t="s">
        <v>7353</v>
      </c>
      <c r="D153" t="s">
        <v>7354</v>
      </c>
      <c r="E153">
        <v>152</v>
      </c>
      <c r="F153" t="s">
        <v>7355</v>
      </c>
      <c r="G153">
        <v>157683</v>
      </c>
      <c r="J153">
        <v>2.74</v>
      </c>
      <c r="M153">
        <v>4321</v>
      </c>
    </row>
    <row r="154" spans="1:15" x14ac:dyDescent="0.25">
      <c r="A154" t="s">
        <v>564</v>
      </c>
      <c r="B154" t="s">
        <v>28</v>
      </c>
      <c r="C154" t="s">
        <v>7356</v>
      </c>
      <c r="D154" t="s">
        <v>7357</v>
      </c>
      <c r="E154">
        <v>153</v>
      </c>
      <c r="F154" t="s">
        <v>3900</v>
      </c>
      <c r="G154">
        <v>157358</v>
      </c>
      <c r="J154">
        <v>0.42</v>
      </c>
      <c r="M154">
        <v>661</v>
      </c>
    </row>
    <row r="155" spans="1:15" x14ac:dyDescent="0.25">
      <c r="A155" t="s">
        <v>564</v>
      </c>
      <c r="B155" t="s">
        <v>28</v>
      </c>
      <c r="C155" t="s">
        <v>7358</v>
      </c>
      <c r="D155" t="s">
        <v>7359</v>
      </c>
      <c r="E155">
        <v>154</v>
      </c>
      <c r="F155" t="s">
        <v>7360</v>
      </c>
      <c r="G155">
        <v>156747</v>
      </c>
      <c r="J155">
        <v>1.1000000000000001</v>
      </c>
      <c r="M155">
        <v>1724</v>
      </c>
    </row>
    <row r="156" spans="1:15" x14ac:dyDescent="0.25">
      <c r="A156" t="s">
        <v>564</v>
      </c>
      <c r="B156" t="s">
        <v>28</v>
      </c>
      <c r="C156" t="s">
        <v>7361</v>
      </c>
      <c r="D156" t="s">
        <v>7362</v>
      </c>
      <c r="E156">
        <v>155</v>
      </c>
      <c r="F156" t="s">
        <v>4057</v>
      </c>
      <c r="G156">
        <v>156033</v>
      </c>
      <c r="J156">
        <v>0.76</v>
      </c>
      <c r="M156">
        <v>1186</v>
      </c>
    </row>
    <row r="157" spans="1:15" x14ac:dyDescent="0.25">
      <c r="A157" t="s">
        <v>564</v>
      </c>
      <c r="B157" t="s">
        <v>28</v>
      </c>
      <c r="C157" t="s">
        <v>7363</v>
      </c>
      <c r="D157" t="s">
        <v>7364</v>
      </c>
      <c r="E157">
        <v>156</v>
      </c>
      <c r="F157" t="s">
        <v>4210</v>
      </c>
      <c r="G157">
        <v>155631</v>
      </c>
      <c r="J157">
        <v>11.5</v>
      </c>
      <c r="M157">
        <v>17898</v>
      </c>
    </row>
    <row r="158" spans="1:15" x14ac:dyDescent="0.25">
      <c r="A158" t="s">
        <v>564</v>
      </c>
      <c r="B158" t="s">
        <v>28</v>
      </c>
      <c r="C158" t="s">
        <v>7365</v>
      </c>
      <c r="D158" t="s">
        <v>7366</v>
      </c>
      <c r="E158">
        <v>157</v>
      </c>
      <c r="F158" t="s">
        <v>5657</v>
      </c>
      <c r="G158">
        <v>155188</v>
      </c>
      <c r="H158">
        <v>127338</v>
      </c>
      <c r="I158">
        <v>21.9</v>
      </c>
      <c r="J158">
        <v>2.12</v>
      </c>
      <c r="K158">
        <v>0.56000000000000005</v>
      </c>
      <c r="L158">
        <v>1.6</v>
      </c>
      <c r="M158">
        <v>3290</v>
      </c>
      <c r="N158">
        <v>713</v>
      </c>
      <c r="O158">
        <v>361.4</v>
      </c>
    </row>
    <row r="159" spans="1:15" x14ac:dyDescent="0.25">
      <c r="A159" t="s">
        <v>564</v>
      </c>
      <c r="B159" t="s">
        <v>28</v>
      </c>
      <c r="C159" t="s">
        <v>7367</v>
      </c>
      <c r="D159" t="s">
        <v>7368</v>
      </c>
      <c r="E159">
        <v>158</v>
      </c>
      <c r="F159" t="s">
        <v>7369</v>
      </c>
      <c r="G159">
        <v>152987</v>
      </c>
      <c r="J159">
        <v>2.1800000000000002</v>
      </c>
      <c r="M159">
        <v>3335</v>
      </c>
    </row>
    <row r="160" spans="1:15" x14ac:dyDescent="0.25">
      <c r="A160" t="s">
        <v>564</v>
      </c>
      <c r="B160" t="s">
        <v>28</v>
      </c>
      <c r="C160" t="s">
        <v>7370</v>
      </c>
      <c r="D160" t="s">
        <v>7371</v>
      </c>
      <c r="E160">
        <v>159</v>
      </c>
      <c r="F160" t="s">
        <v>7372</v>
      </c>
      <c r="G160">
        <v>150924</v>
      </c>
      <c r="H160">
        <v>90748</v>
      </c>
      <c r="I160">
        <v>66.3</v>
      </c>
      <c r="J160">
        <v>2.4900000000000002</v>
      </c>
      <c r="K160">
        <v>3.15</v>
      </c>
      <c r="L160">
        <v>-0.7</v>
      </c>
      <c r="M160">
        <v>3758</v>
      </c>
      <c r="N160">
        <v>2859</v>
      </c>
      <c r="O160">
        <v>31.5</v>
      </c>
    </row>
    <row r="161" spans="1:15" x14ac:dyDescent="0.25">
      <c r="A161" t="s">
        <v>564</v>
      </c>
      <c r="B161" t="s">
        <v>28</v>
      </c>
      <c r="C161" t="s">
        <v>7373</v>
      </c>
      <c r="D161" t="s">
        <v>7374</v>
      </c>
      <c r="E161">
        <v>160</v>
      </c>
      <c r="F161" t="s">
        <v>7375</v>
      </c>
      <c r="G161">
        <v>150128</v>
      </c>
      <c r="J161">
        <v>0.87</v>
      </c>
      <c r="M161">
        <v>1306</v>
      </c>
    </row>
    <row r="162" spans="1:15" x14ac:dyDescent="0.25">
      <c r="A162" t="s">
        <v>564</v>
      </c>
      <c r="B162" t="s">
        <v>28</v>
      </c>
      <c r="C162" t="s">
        <v>7376</v>
      </c>
      <c r="D162" t="s">
        <v>7377</v>
      </c>
      <c r="E162">
        <v>161</v>
      </c>
      <c r="F162" t="s">
        <v>7378</v>
      </c>
      <c r="G162">
        <v>146514</v>
      </c>
      <c r="H162">
        <v>199488</v>
      </c>
      <c r="I162">
        <v>-26.6</v>
      </c>
      <c r="J162">
        <v>1.0900000000000001</v>
      </c>
      <c r="K162">
        <v>0.97</v>
      </c>
      <c r="L162">
        <v>0.1</v>
      </c>
      <c r="M162">
        <v>1597</v>
      </c>
      <c r="N162">
        <v>1935</v>
      </c>
      <c r="O162">
        <v>-17.5</v>
      </c>
    </row>
    <row r="163" spans="1:15" x14ac:dyDescent="0.25">
      <c r="A163" t="s">
        <v>564</v>
      </c>
      <c r="B163" t="s">
        <v>28</v>
      </c>
      <c r="C163" t="s">
        <v>7379</v>
      </c>
      <c r="D163" t="s">
        <v>7380</v>
      </c>
      <c r="E163">
        <v>162</v>
      </c>
      <c r="F163" t="s">
        <v>3917</v>
      </c>
      <c r="G163">
        <v>143817</v>
      </c>
      <c r="J163">
        <v>2.39</v>
      </c>
      <c r="M163">
        <v>3437</v>
      </c>
    </row>
    <row r="164" spans="1:15" x14ac:dyDescent="0.25">
      <c r="A164" t="s">
        <v>564</v>
      </c>
      <c r="B164" t="s">
        <v>28</v>
      </c>
      <c r="C164" t="s">
        <v>7381</v>
      </c>
      <c r="D164" t="s">
        <v>7382</v>
      </c>
      <c r="E164">
        <v>163</v>
      </c>
      <c r="F164" t="s">
        <v>7383</v>
      </c>
      <c r="G164">
        <v>142158</v>
      </c>
      <c r="H164">
        <v>362654</v>
      </c>
      <c r="I164">
        <v>-60.8</v>
      </c>
      <c r="J164">
        <v>1.74</v>
      </c>
      <c r="K164">
        <v>1.63</v>
      </c>
      <c r="L164">
        <v>0.1</v>
      </c>
      <c r="M164">
        <v>2474</v>
      </c>
      <c r="N164">
        <v>5911</v>
      </c>
      <c r="O164">
        <v>-58.2</v>
      </c>
    </row>
    <row r="165" spans="1:15" x14ac:dyDescent="0.25">
      <c r="A165" t="s">
        <v>564</v>
      </c>
      <c r="B165" t="s">
        <v>28</v>
      </c>
      <c r="C165" t="s">
        <v>7384</v>
      </c>
      <c r="D165" t="s">
        <v>7385</v>
      </c>
      <c r="E165">
        <v>164</v>
      </c>
      <c r="F165" t="s">
        <v>5113</v>
      </c>
      <c r="G165">
        <v>141938</v>
      </c>
      <c r="J165">
        <v>0.56999999999999995</v>
      </c>
      <c r="M165">
        <v>809</v>
      </c>
    </row>
    <row r="166" spans="1:15" x14ac:dyDescent="0.25">
      <c r="A166" t="s">
        <v>564</v>
      </c>
      <c r="B166" t="s">
        <v>28</v>
      </c>
      <c r="C166" t="s">
        <v>7386</v>
      </c>
      <c r="D166" t="s">
        <v>7387</v>
      </c>
      <c r="E166">
        <v>165</v>
      </c>
      <c r="F166" t="s">
        <v>5398</v>
      </c>
      <c r="G166">
        <v>140409</v>
      </c>
      <c r="J166">
        <v>1.4</v>
      </c>
      <c r="M166">
        <v>1966</v>
      </c>
    </row>
    <row r="167" spans="1:15" x14ac:dyDescent="0.25">
      <c r="A167" t="s">
        <v>564</v>
      </c>
      <c r="B167" t="s">
        <v>28</v>
      </c>
      <c r="C167" t="s">
        <v>7388</v>
      </c>
      <c r="D167" t="s">
        <v>7389</v>
      </c>
      <c r="E167">
        <v>166</v>
      </c>
      <c r="F167" t="s">
        <v>4415</v>
      </c>
      <c r="G167">
        <v>139244</v>
      </c>
      <c r="J167">
        <v>1.72</v>
      </c>
      <c r="M167">
        <v>2395</v>
      </c>
    </row>
    <row r="168" spans="1:15" x14ac:dyDescent="0.25">
      <c r="A168" t="s">
        <v>564</v>
      </c>
      <c r="B168" t="s">
        <v>28</v>
      </c>
      <c r="C168" t="s">
        <v>7390</v>
      </c>
      <c r="D168" t="s">
        <v>7391</v>
      </c>
      <c r="E168">
        <v>167</v>
      </c>
      <c r="F168" t="s">
        <v>4226</v>
      </c>
      <c r="G168">
        <v>137415</v>
      </c>
      <c r="H168">
        <v>44680</v>
      </c>
      <c r="I168">
        <v>207.6</v>
      </c>
      <c r="J168">
        <v>1.29</v>
      </c>
      <c r="K168">
        <v>2.92</v>
      </c>
      <c r="L168">
        <v>-1.6</v>
      </c>
      <c r="M168">
        <v>1773</v>
      </c>
      <c r="N168">
        <v>1305</v>
      </c>
      <c r="O168">
        <v>35.9</v>
      </c>
    </row>
    <row r="169" spans="1:15" x14ac:dyDescent="0.25">
      <c r="A169" t="s">
        <v>564</v>
      </c>
      <c r="B169" t="s">
        <v>28</v>
      </c>
      <c r="C169" t="s">
        <v>7392</v>
      </c>
      <c r="D169" t="s">
        <v>7393</v>
      </c>
      <c r="E169">
        <v>168</v>
      </c>
      <c r="F169" t="s">
        <v>4832</v>
      </c>
      <c r="G169">
        <v>135057</v>
      </c>
      <c r="H169">
        <v>117859</v>
      </c>
      <c r="I169">
        <v>14.6</v>
      </c>
      <c r="J169">
        <v>0.43</v>
      </c>
      <c r="K169">
        <v>0.82</v>
      </c>
      <c r="L169">
        <v>-0.4</v>
      </c>
      <c r="M169">
        <v>581</v>
      </c>
      <c r="N169">
        <v>966</v>
      </c>
      <c r="O169">
        <v>-39.9</v>
      </c>
    </row>
    <row r="170" spans="1:15" x14ac:dyDescent="0.25">
      <c r="A170" t="s">
        <v>564</v>
      </c>
      <c r="B170" t="s">
        <v>28</v>
      </c>
      <c r="C170" t="s">
        <v>7394</v>
      </c>
      <c r="D170" t="s">
        <v>7395</v>
      </c>
      <c r="E170">
        <v>169</v>
      </c>
      <c r="F170" t="s">
        <v>7396</v>
      </c>
      <c r="G170">
        <v>132093</v>
      </c>
      <c r="H170">
        <v>105488</v>
      </c>
      <c r="I170">
        <v>25.2</v>
      </c>
      <c r="J170">
        <v>2.44</v>
      </c>
      <c r="K170">
        <v>1.86</v>
      </c>
      <c r="L170">
        <v>0.6</v>
      </c>
      <c r="M170">
        <v>3223</v>
      </c>
      <c r="N170">
        <v>1962</v>
      </c>
      <c r="O170">
        <v>64.3</v>
      </c>
    </row>
    <row r="171" spans="1:15" x14ac:dyDescent="0.25">
      <c r="A171" t="s">
        <v>564</v>
      </c>
      <c r="B171" t="s">
        <v>28</v>
      </c>
      <c r="C171" t="s">
        <v>7397</v>
      </c>
      <c r="D171" t="s">
        <v>7398</v>
      </c>
      <c r="E171">
        <v>170</v>
      </c>
      <c r="F171" t="s">
        <v>5251</v>
      </c>
      <c r="G171">
        <v>131819</v>
      </c>
      <c r="J171">
        <v>0.34</v>
      </c>
      <c r="M171">
        <v>448</v>
      </c>
    </row>
    <row r="172" spans="1:15" x14ac:dyDescent="0.25">
      <c r="A172" t="s">
        <v>564</v>
      </c>
      <c r="B172" t="s">
        <v>28</v>
      </c>
      <c r="C172" t="s">
        <v>7399</v>
      </c>
      <c r="D172" t="s">
        <v>7400</v>
      </c>
      <c r="E172">
        <v>171</v>
      </c>
      <c r="F172" t="s">
        <v>7401</v>
      </c>
      <c r="G172">
        <v>130538</v>
      </c>
      <c r="H172">
        <v>271441</v>
      </c>
      <c r="I172">
        <v>-51.9</v>
      </c>
      <c r="J172">
        <v>6.03</v>
      </c>
      <c r="K172">
        <v>9.4</v>
      </c>
      <c r="L172">
        <v>-3.4</v>
      </c>
      <c r="M172">
        <v>7871</v>
      </c>
      <c r="N172">
        <v>25515</v>
      </c>
      <c r="O172">
        <v>-69.2</v>
      </c>
    </row>
    <row r="173" spans="1:15" x14ac:dyDescent="0.25">
      <c r="A173" t="s">
        <v>564</v>
      </c>
      <c r="B173" t="s">
        <v>28</v>
      </c>
      <c r="C173" t="s">
        <v>7402</v>
      </c>
      <c r="D173" t="s">
        <v>7403</v>
      </c>
      <c r="E173">
        <v>172</v>
      </c>
      <c r="F173" t="s">
        <v>7404</v>
      </c>
      <c r="G173">
        <v>129648</v>
      </c>
      <c r="J173">
        <v>1.1499999999999999</v>
      </c>
      <c r="M173">
        <v>1491</v>
      </c>
    </row>
    <row r="174" spans="1:15" x14ac:dyDescent="0.25">
      <c r="A174" t="s">
        <v>564</v>
      </c>
      <c r="B174" t="s">
        <v>28</v>
      </c>
      <c r="C174" t="s">
        <v>7405</v>
      </c>
      <c r="D174" t="s">
        <v>7406</v>
      </c>
      <c r="E174">
        <v>173</v>
      </c>
      <c r="F174" t="s">
        <v>7407</v>
      </c>
      <c r="G174">
        <v>129582</v>
      </c>
      <c r="H174">
        <v>42184</v>
      </c>
      <c r="I174">
        <v>207.2</v>
      </c>
      <c r="J174">
        <v>0.62</v>
      </c>
      <c r="K174">
        <v>1.65</v>
      </c>
      <c r="L174">
        <v>-1</v>
      </c>
      <c r="M174">
        <v>803</v>
      </c>
      <c r="N174">
        <v>696</v>
      </c>
      <c r="O174">
        <v>15.4</v>
      </c>
    </row>
    <row r="175" spans="1:15" x14ac:dyDescent="0.25">
      <c r="A175" t="s">
        <v>564</v>
      </c>
      <c r="B175" t="s">
        <v>28</v>
      </c>
      <c r="C175" t="s">
        <v>7408</v>
      </c>
      <c r="D175" t="s">
        <v>7409</v>
      </c>
      <c r="E175">
        <v>174</v>
      </c>
      <c r="F175" t="s">
        <v>7410</v>
      </c>
      <c r="G175">
        <v>126853</v>
      </c>
      <c r="H175">
        <v>98386</v>
      </c>
      <c r="I175">
        <v>28.9</v>
      </c>
      <c r="J175">
        <v>0.53</v>
      </c>
      <c r="K175">
        <v>0.79</v>
      </c>
      <c r="L175">
        <v>-0.3</v>
      </c>
      <c r="M175">
        <v>672</v>
      </c>
      <c r="N175">
        <v>777</v>
      </c>
      <c r="O175">
        <v>-13.5</v>
      </c>
    </row>
    <row r="176" spans="1:15" x14ac:dyDescent="0.25">
      <c r="A176" t="s">
        <v>564</v>
      </c>
      <c r="B176" t="s">
        <v>28</v>
      </c>
      <c r="C176" t="s">
        <v>7411</v>
      </c>
      <c r="D176" t="s">
        <v>7412</v>
      </c>
      <c r="E176">
        <v>175</v>
      </c>
      <c r="F176" t="s">
        <v>7413</v>
      </c>
      <c r="G176">
        <v>125213</v>
      </c>
      <c r="J176">
        <v>3.07</v>
      </c>
      <c r="M176">
        <v>3844</v>
      </c>
    </row>
    <row r="177" spans="1:15" x14ac:dyDescent="0.25">
      <c r="A177" t="s">
        <v>564</v>
      </c>
      <c r="B177" t="s">
        <v>28</v>
      </c>
      <c r="C177" t="s">
        <v>7414</v>
      </c>
      <c r="D177" t="s">
        <v>7415</v>
      </c>
      <c r="E177">
        <v>176</v>
      </c>
      <c r="F177" t="s">
        <v>4110</v>
      </c>
      <c r="G177">
        <v>123883</v>
      </c>
      <c r="H177">
        <v>183504</v>
      </c>
      <c r="I177">
        <v>-32.5</v>
      </c>
      <c r="J177">
        <v>1.67</v>
      </c>
      <c r="K177">
        <v>2.36</v>
      </c>
      <c r="L177">
        <v>-0.7</v>
      </c>
      <c r="M177">
        <v>2069</v>
      </c>
      <c r="N177">
        <v>4331</v>
      </c>
      <c r="O177">
        <v>-52.2</v>
      </c>
    </row>
    <row r="178" spans="1:15" x14ac:dyDescent="0.25">
      <c r="A178" t="s">
        <v>564</v>
      </c>
      <c r="B178" t="s">
        <v>28</v>
      </c>
      <c r="C178" t="s">
        <v>7416</v>
      </c>
      <c r="D178" t="s">
        <v>7417</v>
      </c>
      <c r="E178">
        <v>177</v>
      </c>
      <c r="F178" t="s">
        <v>5671</v>
      </c>
      <c r="G178">
        <v>122480</v>
      </c>
      <c r="J178">
        <v>0.77</v>
      </c>
      <c r="M178">
        <v>943</v>
      </c>
    </row>
    <row r="179" spans="1:15" x14ac:dyDescent="0.25">
      <c r="A179" t="s">
        <v>564</v>
      </c>
      <c r="B179" t="s">
        <v>28</v>
      </c>
      <c r="C179" t="s">
        <v>7418</v>
      </c>
      <c r="D179" t="s">
        <v>7419</v>
      </c>
      <c r="E179">
        <v>178</v>
      </c>
      <c r="F179" t="s">
        <v>7420</v>
      </c>
      <c r="G179">
        <v>121839</v>
      </c>
      <c r="H179">
        <v>85979</v>
      </c>
      <c r="I179">
        <v>41.7</v>
      </c>
      <c r="J179">
        <v>1</v>
      </c>
      <c r="K179">
        <v>0.73</v>
      </c>
      <c r="L179">
        <v>0.3</v>
      </c>
      <c r="M179">
        <v>1218</v>
      </c>
      <c r="N179">
        <v>628</v>
      </c>
      <c r="O179">
        <v>94.1</v>
      </c>
    </row>
    <row r="180" spans="1:15" x14ac:dyDescent="0.25">
      <c r="A180" t="s">
        <v>564</v>
      </c>
      <c r="B180" t="s">
        <v>28</v>
      </c>
      <c r="C180" t="s">
        <v>7421</v>
      </c>
      <c r="D180" t="s">
        <v>7422</v>
      </c>
      <c r="E180">
        <v>179</v>
      </c>
      <c r="F180" t="s">
        <v>7423</v>
      </c>
      <c r="G180">
        <v>120540</v>
      </c>
      <c r="H180">
        <v>215591</v>
      </c>
      <c r="I180">
        <v>-44.1</v>
      </c>
      <c r="J180">
        <v>1.18</v>
      </c>
      <c r="K180">
        <v>1.26</v>
      </c>
      <c r="L180">
        <v>-0.1</v>
      </c>
      <c r="M180">
        <v>1422</v>
      </c>
      <c r="N180">
        <v>2716</v>
      </c>
      <c r="O180">
        <v>-47.6</v>
      </c>
    </row>
    <row r="181" spans="1:15" x14ac:dyDescent="0.25">
      <c r="A181" t="s">
        <v>564</v>
      </c>
      <c r="B181" t="s">
        <v>28</v>
      </c>
      <c r="C181" t="s">
        <v>7424</v>
      </c>
      <c r="D181" t="s">
        <v>7425</v>
      </c>
      <c r="E181">
        <v>180</v>
      </c>
      <c r="F181" t="s">
        <v>6025</v>
      </c>
      <c r="G181">
        <v>120135</v>
      </c>
      <c r="H181">
        <v>252512</v>
      </c>
      <c r="I181">
        <v>-52.4</v>
      </c>
      <c r="J181">
        <v>1.51</v>
      </c>
      <c r="K181">
        <v>2.3199999999999998</v>
      </c>
      <c r="L181">
        <v>-0.8</v>
      </c>
      <c r="M181">
        <v>1814</v>
      </c>
      <c r="N181">
        <v>5858</v>
      </c>
      <c r="O181">
        <v>-69</v>
      </c>
    </row>
    <row r="182" spans="1:15" x14ac:dyDescent="0.25">
      <c r="A182" t="s">
        <v>564</v>
      </c>
      <c r="B182" t="s">
        <v>28</v>
      </c>
      <c r="C182" t="s">
        <v>7426</v>
      </c>
      <c r="D182" t="s">
        <v>7427</v>
      </c>
      <c r="E182">
        <v>181</v>
      </c>
      <c r="F182" t="s">
        <v>7428</v>
      </c>
      <c r="G182">
        <v>117816</v>
      </c>
      <c r="J182">
        <v>0.68</v>
      </c>
      <c r="M182">
        <v>801</v>
      </c>
    </row>
    <row r="183" spans="1:15" x14ac:dyDescent="0.25">
      <c r="A183" t="s">
        <v>564</v>
      </c>
      <c r="B183" t="s">
        <v>28</v>
      </c>
      <c r="C183" t="s">
        <v>7429</v>
      </c>
      <c r="D183" t="s">
        <v>7430</v>
      </c>
      <c r="E183">
        <v>182</v>
      </c>
      <c r="F183" t="s">
        <v>7431</v>
      </c>
      <c r="G183">
        <v>117312</v>
      </c>
      <c r="H183">
        <v>211465</v>
      </c>
      <c r="I183">
        <v>-44.5</v>
      </c>
      <c r="J183">
        <v>0.19</v>
      </c>
      <c r="K183">
        <v>1.83</v>
      </c>
      <c r="L183">
        <v>-1.6</v>
      </c>
      <c r="M183">
        <v>223</v>
      </c>
      <c r="N183">
        <v>3870</v>
      </c>
      <c r="O183">
        <v>-94.2</v>
      </c>
    </row>
    <row r="184" spans="1:15" x14ac:dyDescent="0.25">
      <c r="A184" t="s">
        <v>564</v>
      </c>
      <c r="B184" t="s">
        <v>28</v>
      </c>
      <c r="C184" t="s">
        <v>7432</v>
      </c>
      <c r="D184" t="s">
        <v>7433</v>
      </c>
      <c r="E184">
        <v>183</v>
      </c>
      <c r="F184" t="s">
        <v>4972</v>
      </c>
      <c r="G184">
        <v>117100</v>
      </c>
      <c r="J184">
        <v>1.79</v>
      </c>
      <c r="M184">
        <v>2096</v>
      </c>
    </row>
    <row r="185" spans="1:15" x14ac:dyDescent="0.25">
      <c r="A185" t="s">
        <v>564</v>
      </c>
      <c r="B185" t="s">
        <v>28</v>
      </c>
      <c r="C185" t="s">
        <v>7434</v>
      </c>
      <c r="D185" t="s">
        <v>7435</v>
      </c>
      <c r="E185">
        <v>184</v>
      </c>
      <c r="F185" t="s">
        <v>7436</v>
      </c>
      <c r="G185">
        <v>116532</v>
      </c>
      <c r="J185">
        <v>1.5</v>
      </c>
      <c r="M185">
        <v>1748</v>
      </c>
    </row>
    <row r="186" spans="1:15" x14ac:dyDescent="0.25">
      <c r="A186" t="s">
        <v>564</v>
      </c>
      <c r="B186" t="s">
        <v>28</v>
      </c>
      <c r="C186" t="s">
        <v>7437</v>
      </c>
      <c r="D186" t="s">
        <v>7438</v>
      </c>
      <c r="E186">
        <v>185</v>
      </c>
      <c r="F186" t="s">
        <v>4394</v>
      </c>
      <c r="G186">
        <v>115867</v>
      </c>
      <c r="J186">
        <v>1.1599999999999999</v>
      </c>
      <c r="M186">
        <v>1344</v>
      </c>
    </row>
    <row r="187" spans="1:15" x14ac:dyDescent="0.25">
      <c r="A187" t="s">
        <v>564</v>
      </c>
      <c r="B187" t="s">
        <v>28</v>
      </c>
      <c r="C187" t="s">
        <v>7439</v>
      </c>
      <c r="D187" t="s">
        <v>7440</v>
      </c>
      <c r="E187">
        <v>186</v>
      </c>
      <c r="F187" t="s">
        <v>7441</v>
      </c>
      <c r="G187">
        <v>112507</v>
      </c>
      <c r="H187">
        <v>70325</v>
      </c>
      <c r="I187">
        <v>60</v>
      </c>
      <c r="J187">
        <v>1.45</v>
      </c>
      <c r="K187">
        <v>0.49</v>
      </c>
      <c r="L187">
        <v>1</v>
      </c>
      <c r="M187">
        <v>1631</v>
      </c>
      <c r="N187">
        <v>345</v>
      </c>
      <c r="O187">
        <v>373.4</v>
      </c>
    </row>
    <row r="188" spans="1:15" x14ac:dyDescent="0.25">
      <c r="A188" t="s">
        <v>564</v>
      </c>
      <c r="B188" t="s">
        <v>28</v>
      </c>
      <c r="C188" t="s">
        <v>7442</v>
      </c>
      <c r="D188" t="s">
        <v>7443</v>
      </c>
      <c r="E188">
        <v>187</v>
      </c>
      <c r="F188" t="s">
        <v>7444</v>
      </c>
      <c r="G188">
        <v>111710</v>
      </c>
      <c r="J188">
        <v>1.27</v>
      </c>
      <c r="M188">
        <v>1419</v>
      </c>
    </row>
    <row r="189" spans="1:15" x14ac:dyDescent="0.25">
      <c r="A189" t="s">
        <v>564</v>
      </c>
      <c r="B189" t="s">
        <v>28</v>
      </c>
      <c r="C189" t="s">
        <v>7445</v>
      </c>
      <c r="D189" t="s">
        <v>7446</v>
      </c>
      <c r="E189">
        <v>188</v>
      </c>
      <c r="F189" t="s">
        <v>7447</v>
      </c>
      <c r="G189">
        <v>111627</v>
      </c>
      <c r="J189">
        <v>0.77</v>
      </c>
      <c r="M189">
        <v>860</v>
      </c>
    </row>
    <row r="190" spans="1:15" x14ac:dyDescent="0.25">
      <c r="A190" t="s">
        <v>564</v>
      </c>
      <c r="B190" t="s">
        <v>28</v>
      </c>
      <c r="C190" t="s">
        <v>7448</v>
      </c>
      <c r="D190" t="s">
        <v>7449</v>
      </c>
      <c r="E190">
        <v>189</v>
      </c>
      <c r="F190" t="s">
        <v>5406</v>
      </c>
      <c r="G190">
        <v>108610</v>
      </c>
      <c r="J190">
        <v>0.46</v>
      </c>
      <c r="M190">
        <v>500</v>
      </c>
    </row>
    <row r="191" spans="1:15" x14ac:dyDescent="0.25">
      <c r="A191" t="s">
        <v>564</v>
      </c>
      <c r="B191" t="s">
        <v>28</v>
      </c>
      <c r="C191" t="s">
        <v>7450</v>
      </c>
      <c r="D191" t="s">
        <v>7451</v>
      </c>
      <c r="E191">
        <v>190</v>
      </c>
      <c r="F191" t="s">
        <v>7452</v>
      </c>
      <c r="G191">
        <v>108323</v>
      </c>
      <c r="H191">
        <v>285346</v>
      </c>
      <c r="I191">
        <v>-62</v>
      </c>
      <c r="J191">
        <v>0.69</v>
      </c>
      <c r="K191">
        <v>5.4</v>
      </c>
      <c r="L191">
        <v>-4.7</v>
      </c>
      <c r="M191">
        <v>747</v>
      </c>
      <c r="N191">
        <v>15409</v>
      </c>
      <c r="O191">
        <v>-95.1</v>
      </c>
    </row>
    <row r="192" spans="1:15" x14ac:dyDescent="0.25">
      <c r="A192" t="s">
        <v>564</v>
      </c>
      <c r="B192" t="s">
        <v>28</v>
      </c>
      <c r="C192" t="s">
        <v>7453</v>
      </c>
      <c r="D192" t="s">
        <v>7454</v>
      </c>
      <c r="E192">
        <v>191</v>
      </c>
      <c r="F192" t="s">
        <v>5420</v>
      </c>
      <c r="G192">
        <v>107339</v>
      </c>
      <c r="H192">
        <v>878191</v>
      </c>
      <c r="I192">
        <v>-87.8</v>
      </c>
      <c r="J192">
        <v>0.62</v>
      </c>
      <c r="K192">
        <v>1.52</v>
      </c>
      <c r="L192">
        <v>-0.9</v>
      </c>
      <c r="M192">
        <v>666</v>
      </c>
      <c r="N192">
        <v>13349</v>
      </c>
      <c r="O192">
        <v>-95</v>
      </c>
    </row>
    <row r="193" spans="1:15" x14ac:dyDescent="0.25">
      <c r="A193" t="s">
        <v>564</v>
      </c>
      <c r="B193" t="s">
        <v>28</v>
      </c>
      <c r="C193" t="s">
        <v>7455</v>
      </c>
      <c r="D193" t="s">
        <v>7456</v>
      </c>
      <c r="E193">
        <v>192</v>
      </c>
      <c r="F193" t="s">
        <v>4693</v>
      </c>
      <c r="G193">
        <v>107233</v>
      </c>
      <c r="H193">
        <v>39845</v>
      </c>
      <c r="I193">
        <v>169.1</v>
      </c>
      <c r="J193">
        <v>0.63</v>
      </c>
      <c r="K193">
        <v>6.91</v>
      </c>
      <c r="L193">
        <v>-6.3</v>
      </c>
      <c r="M193">
        <v>676</v>
      </c>
      <c r="N193">
        <v>2753</v>
      </c>
      <c r="O193">
        <v>-75.5</v>
      </c>
    </row>
    <row r="194" spans="1:15" x14ac:dyDescent="0.25">
      <c r="A194" t="s">
        <v>564</v>
      </c>
      <c r="B194" t="s">
        <v>28</v>
      </c>
      <c r="C194" t="s">
        <v>7457</v>
      </c>
      <c r="D194" t="s">
        <v>7458</v>
      </c>
      <c r="E194">
        <v>193</v>
      </c>
      <c r="F194" t="s">
        <v>7459</v>
      </c>
      <c r="G194">
        <v>106212</v>
      </c>
      <c r="H194">
        <v>704553</v>
      </c>
      <c r="I194">
        <v>-84.9</v>
      </c>
      <c r="J194">
        <v>0.32</v>
      </c>
      <c r="K194">
        <v>0.6</v>
      </c>
      <c r="L194">
        <v>-0.3</v>
      </c>
      <c r="M194">
        <v>340</v>
      </c>
      <c r="N194">
        <v>4227</v>
      </c>
      <c r="O194">
        <v>-92</v>
      </c>
    </row>
    <row r="195" spans="1:15" x14ac:dyDescent="0.25">
      <c r="A195" t="s">
        <v>564</v>
      </c>
      <c r="B195" t="s">
        <v>28</v>
      </c>
      <c r="C195" t="s">
        <v>7460</v>
      </c>
      <c r="D195" t="s">
        <v>7461</v>
      </c>
      <c r="E195">
        <v>194</v>
      </c>
      <c r="F195" t="s">
        <v>7462</v>
      </c>
      <c r="G195">
        <v>105769</v>
      </c>
      <c r="H195">
        <v>572406</v>
      </c>
      <c r="I195">
        <v>-81.5</v>
      </c>
      <c r="J195">
        <v>1.04</v>
      </c>
      <c r="K195">
        <v>0.66</v>
      </c>
      <c r="L195">
        <v>0.4</v>
      </c>
      <c r="M195">
        <v>1100</v>
      </c>
      <c r="N195">
        <v>3778</v>
      </c>
      <c r="O195">
        <v>-70.900000000000006</v>
      </c>
    </row>
    <row r="196" spans="1:15" x14ac:dyDescent="0.25">
      <c r="A196" t="s">
        <v>564</v>
      </c>
      <c r="B196" t="s">
        <v>28</v>
      </c>
      <c r="C196" t="s">
        <v>7463</v>
      </c>
      <c r="D196" t="s">
        <v>7464</v>
      </c>
      <c r="E196">
        <v>195</v>
      </c>
      <c r="F196" t="s">
        <v>7465</v>
      </c>
      <c r="G196">
        <v>103845</v>
      </c>
      <c r="H196">
        <v>621406</v>
      </c>
      <c r="I196">
        <v>-83.3</v>
      </c>
      <c r="J196">
        <v>0.71</v>
      </c>
      <c r="K196">
        <v>1</v>
      </c>
      <c r="L196">
        <v>-0.3</v>
      </c>
      <c r="M196">
        <v>737</v>
      </c>
      <c r="N196">
        <v>6214</v>
      </c>
      <c r="O196">
        <v>-88.1</v>
      </c>
    </row>
    <row r="197" spans="1:15" x14ac:dyDescent="0.25">
      <c r="A197" t="s">
        <v>564</v>
      </c>
      <c r="B197" t="s">
        <v>28</v>
      </c>
      <c r="C197" t="s">
        <v>7466</v>
      </c>
      <c r="D197" t="s">
        <v>7467</v>
      </c>
      <c r="E197">
        <v>196</v>
      </c>
      <c r="F197" t="s">
        <v>7468</v>
      </c>
      <c r="G197">
        <v>101841</v>
      </c>
      <c r="H197">
        <v>41319</v>
      </c>
      <c r="I197">
        <v>146.5</v>
      </c>
      <c r="J197">
        <v>1.75</v>
      </c>
      <c r="K197">
        <v>1.58</v>
      </c>
      <c r="L197">
        <v>0.2</v>
      </c>
      <c r="M197">
        <v>1782</v>
      </c>
      <c r="N197">
        <v>653</v>
      </c>
      <c r="O197">
        <v>173</v>
      </c>
    </row>
    <row r="198" spans="1:15" x14ac:dyDescent="0.25">
      <c r="A198" t="s">
        <v>564</v>
      </c>
      <c r="B198" t="s">
        <v>28</v>
      </c>
      <c r="C198" t="s">
        <v>7469</v>
      </c>
      <c r="D198" t="s">
        <v>7470</v>
      </c>
      <c r="E198">
        <v>197</v>
      </c>
      <c r="F198" t="s">
        <v>7471</v>
      </c>
      <c r="G198">
        <v>99887</v>
      </c>
      <c r="H198">
        <v>232677</v>
      </c>
      <c r="I198">
        <v>-57.1</v>
      </c>
      <c r="J198">
        <v>0.94</v>
      </c>
      <c r="K198">
        <v>1.23</v>
      </c>
      <c r="L198">
        <v>-0.3</v>
      </c>
      <c r="M198">
        <v>939</v>
      </c>
      <c r="N198">
        <v>2862</v>
      </c>
      <c r="O198">
        <v>-67.2</v>
      </c>
    </row>
    <row r="199" spans="1:15" x14ac:dyDescent="0.25">
      <c r="A199" t="s">
        <v>564</v>
      </c>
      <c r="B199" t="s">
        <v>28</v>
      </c>
      <c r="C199" t="s">
        <v>7472</v>
      </c>
      <c r="D199" t="s">
        <v>7473</v>
      </c>
      <c r="E199">
        <v>198</v>
      </c>
      <c r="F199" t="s">
        <v>7474</v>
      </c>
      <c r="G199">
        <v>99214</v>
      </c>
      <c r="J199">
        <v>0.7</v>
      </c>
      <c r="M199">
        <v>694</v>
      </c>
    </row>
    <row r="200" spans="1:15" x14ac:dyDescent="0.25">
      <c r="A200" t="s">
        <v>564</v>
      </c>
      <c r="B200" t="s">
        <v>28</v>
      </c>
      <c r="C200" t="s">
        <v>7475</v>
      </c>
      <c r="D200" t="s">
        <v>7476</v>
      </c>
      <c r="E200">
        <v>199</v>
      </c>
      <c r="F200" t="s">
        <v>7477</v>
      </c>
      <c r="G200">
        <v>98939</v>
      </c>
      <c r="H200">
        <v>42294</v>
      </c>
      <c r="I200">
        <v>133.9</v>
      </c>
      <c r="J200">
        <v>1.27</v>
      </c>
      <c r="K200">
        <v>0.91</v>
      </c>
      <c r="L200">
        <v>0.4</v>
      </c>
      <c r="M200">
        <v>1257</v>
      </c>
      <c r="N200">
        <v>385</v>
      </c>
      <c r="O200">
        <v>226.5</v>
      </c>
    </row>
    <row r="201" spans="1:15" x14ac:dyDescent="0.25">
      <c r="A201" t="s">
        <v>564</v>
      </c>
      <c r="B201" t="s">
        <v>28</v>
      </c>
      <c r="C201" t="s">
        <v>7478</v>
      </c>
      <c r="D201" t="s">
        <v>7479</v>
      </c>
      <c r="E201">
        <v>200</v>
      </c>
      <c r="F201" t="s">
        <v>7480</v>
      </c>
      <c r="G201">
        <v>98769</v>
      </c>
      <c r="J201">
        <v>1.74</v>
      </c>
      <c r="M201">
        <v>1719</v>
      </c>
    </row>
    <row r="202" spans="1:15" x14ac:dyDescent="0.25">
      <c r="A202" t="s">
        <v>564</v>
      </c>
      <c r="B202" t="s">
        <v>28</v>
      </c>
      <c r="C202" t="s">
        <v>7481</v>
      </c>
      <c r="D202" t="s">
        <v>7482</v>
      </c>
      <c r="E202">
        <v>201</v>
      </c>
      <c r="F202" t="s">
        <v>7483</v>
      </c>
      <c r="G202">
        <v>98334</v>
      </c>
      <c r="H202">
        <v>273282</v>
      </c>
      <c r="I202">
        <v>-64</v>
      </c>
      <c r="J202">
        <v>0.34</v>
      </c>
      <c r="K202">
        <v>0.57999999999999996</v>
      </c>
      <c r="L202">
        <v>-0.2</v>
      </c>
      <c r="M202">
        <v>334</v>
      </c>
      <c r="N202">
        <v>1585</v>
      </c>
      <c r="O202">
        <v>-78.900000000000006</v>
      </c>
    </row>
    <row r="203" spans="1:15" x14ac:dyDescent="0.25">
      <c r="A203" t="s">
        <v>564</v>
      </c>
      <c r="B203" t="s">
        <v>28</v>
      </c>
      <c r="C203" t="s">
        <v>7484</v>
      </c>
      <c r="D203" t="s">
        <v>7485</v>
      </c>
      <c r="E203">
        <v>202</v>
      </c>
      <c r="F203" t="s">
        <v>7486</v>
      </c>
      <c r="G203">
        <v>97091</v>
      </c>
      <c r="H203">
        <v>424207</v>
      </c>
      <c r="I203">
        <v>-77.099999999999994</v>
      </c>
      <c r="J203">
        <v>0.15</v>
      </c>
      <c r="K203">
        <v>0.15</v>
      </c>
      <c r="L203">
        <v>0</v>
      </c>
      <c r="M203">
        <v>146</v>
      </c>
      <c r="N203">
        <v>636</v>
      </c>
      <c r="O203">
        <v>-77.099999999999994</v>
      </c>
    </row>
    <row r="204" spans="1:15" x14ac:dyDescent="0.25">
      <c r="A204" t="s">
        <v>564</v>
      </c>
      <c r="B204" t="s">
        <v>28</v>
      </c>
      <c r="C204" t="s">
        <v>7487</v>
      </c>
      <c r="D204" t="s">
        <v>7488</v>
      </c>
      <c r="E204">
        <v>203</v>
      </c>
      <c r="F204" t="s">
        <v>7489</v>
      </c>
      <c r="G204">
        <v>95890</v>
      </c>
      <c r="J204">
        <v>0.84</v>
      </c>
      <c r="M204">
        <v>805</v>
      </c>
    </row>
    <row r="205" spans="1:15" x14ac:dyDescent="0.25">
      <c r="A205" t="s">
        <v>564</v>
      </c>
      <c r="B205" t="s">
        <v>28</v>
      </c>
      <c r="C205" t="s">
        <v>7490</v>
      </c>
      <c r="D205" t="s">
        <v>7491</v>
      </c>
      <c r="E205">
        <v>204</v>
      </c>
      <c r="F205" t="s">
        <v>7492</v>
      </c>
      <c r="G205">
        <v>91795</v>
      </c>
      <c r="J205">
        <v>1.91</v>
      </c>
      <c r="M205">
        <v>1753</v>
      </c>
    </row>
    <row r="206" spans="1:15" x14ac:dyDescent="0.25">
      <c r="A206" t="s">
        <v>564</v>
      </c>
      <c r="B206" t="s">
        <v>28</v>
      </c>
      <c r="C206" t="s">
        <v>7493</v>
      </c>
      <c r="D206" t="s">
        <v>7494</v>
      </c>
      <c r="E206">
        <v>205</v>
      </c>
      <c r="F206" t="s">
        <v>7495</v>
      </c>
      <c r="G206">
        <v>91236</v>
      </c>
      <c r="H206">
        <v>317672</v>
      </c>
      <c r="I206">
        <v>-71.3</v>
      </c>
      <c r="J206">
        <v>1.07</v>
      </c>
      <c r="K206">
        <v>1.66</v>
      </c>
      <c r="L206">
        <v>-0.6</v>
      </c>
      <c r="M206">
        <v>976</v>
      </c>
      <c r="N206">
        <v>5273</v>
      </c>
      <c r="O206">
        <v>-81.5</v>
      </c>
    </row>
    <row r="207" spans="1:15" x14ac:dyDescent="0.25">
      <c r="A207" t="s">
        <v>564</v>
      </c>
      <c r="B207" t="s">
        <v>28</v>
      </c>
      <c r="C207" t="s">
        <v>7496</v>
      </c>
      <c r="D207" t="s">
        <v>7497</v>
      </c>
      <c r="E207">
        <v>206</v>
      </c>
      <c r="F207" t="s">
        <v>7498</v>
      </c>
      <c r="G207">
        <v>91148</v>
      </c>
      <c r="J207">
        <v>0.84</v>
      </c>
      <c r="M207">
        <v>766</v>
      </c>
    </row>
    <row r="208" spans="1:15" x14ac:dyDescent="0.25">
      <c r="A208" t="s">
        <v>564</v>
      </c>
      <c r="B208" t="s">
        <v>28</v>
      </c>
      <c r="C208" t="s">
        <v>7499</v>
      </c>
      <c r="D208" t="s">
        <v>7500</v>
      </c>
      <c r="E208">
        <v>207</v>
      </c>
      <c r="F208" t="s">
        <v>7501</v>
      </c>
      <c r="G208">
        <v>90571</v>
      </c>
      <c r="J208">
        <v>0.97</v>
      </c>
      <c r="M208">
        <v>879</v>
      </c>
    </row>
    <row r="209" spans="1:15" x14ac:dyDescent="0.25">
      <c r="A209" t="s">
        <v>564</v>
      </c>
      <c r="B209" t="s">
        <v>28</v>
      </c>
      <c r="C209" t="s">
        <v>7502</v>
      </c>
      <c r="D209" t="s">
        <v>7503</v>
      </c>
      <c r="E209">
        <v>208</v>
      </c>
      <c r="F209" t="s">
        <v>7504</v>
      </c>
      <c r="G209">
        <v>89735</v>
      </c>
      <c r="J209">
        <v>0.84</v>
      </c>
      <c r="M209">
        <v>754</v>
      </c>
    </row>
    <row r="210" spans="1:15" x14ac:dyDescent="0.25">
      <c r="A210" t="s">
        <v>564</v>
      </c>
      <c r="B210" t="s">
        <v>28</v>
      </c>
      <c r="C210" t="s">
        <v>7505</v>
      </c>
      <c r="D210" t="s">
        <v>7506</v>
      </c>
      <c r="E210">
        <v>209</v>
      </c>
      <c r="F210" t="s">
        <v>7507</v>
      </c>
      <c r="G210">
        <v>89600</v>
      </c>
      <c r="J210">
        <v>0.53</v>
      </c>
      <c r="M210">
        <v>475</v>
      </c>
    </row>
    <row r="211" spans="1:15" x14ac:dyDescent="0.25">
      <c r="A211" t="s">
        <v>564</v>
      </c>
      <c r="B211" t="s">
        <v>28</v>
      </c>
      <c r="C211" t="s">
        <v>7508</v>
      </c>
      <c r="D211" t="s">
        <v>7509</v>
      </c>
      <c r="E211">
        <v>210</v>
      </c>
      <c r="F211" t="s">
        <v>7510</v>
      </c>
      <c r="G211">
        <v>88780</v>
      </c>
      <c r="H211">
        <v>62980</v>
      </c>
      <c r="I211">
        <v>41</v>
      </c>
      <c r="J211">
        <v>10.38</v>
      </c>
      <c r="K211">
        <v>7.1</v>
      </c>
      <c r="L211">
        <v>3.3</v>
      </c>
      <c r="M211">
        <v>9215</v>
      </c>
      <c r="N211">
        <v>4472</v>
      </c>
      <c r="O211">
        <v>106.1</v>
      </c>
    </row>
    <row r="212" spans="1:15" x14ac:dyDescent="0.25">
      <c r="A212" t="s">
        <v>564</v>
      </c>
      <c r="B212" t="s">
        <v>28</v>
      </c>
      <c r="C212" t="s">
        <v>7511</v>
      </c>
      <c r="D212" t="s">
        <v>7512</v>
      </c>
      <c r="E212">
        <v>211</v>
      </c>
      <c r="F212" t="s">
        <v>7513</v>
      </c>
      <c r="G212">
        <v>88568</v>
      </c>
      <c r="H212">
        <v>44314</v>
      </c>
      <c r="I212">
        <v>99.9</v>
      </c>
      <c r="J212">
        <v>0.39</v>
      </c>
      <c r="K212">
        <v>0.05</v>
      </c>
      <c r="L212">
        <v>0.3</v>
      </c>
      <c r="M212">
        <v>345</v>
      </c>
      <c r="N212">
        <v>22</v>
      </c>
      <c r="O212">
        <v>1458.9</v>
      </c>
    </row>
    <row r="213" spans="1:15" x14ac:dyDescent="0.25">
      <c r="A213" t="s">
        <v>564</v>
      </c>
      <c r="B213" t="s">
        <v>28</v>
      </c>
      <c r="C213" t="s">
        <v>7514</v>
      </c>
      <c r="D213" t="s">
        <v>7515</v>
      </c>
      <c r="E213">
        <v>212</v>
      </c>
      <c r="F213" t="s">
        <v>7516</v>
      </c>
      <c r="G213">
        <v>88556</v>
      </c>
      <c r="H213">
        <v>236481</v>
      </c>
      <c r="I213">
        <v>-62.6</v>
      </c>
      <c r="J213">
        <v>0.08</v>
      </c>
      <c r="K213">
        <v>0.33</v>
      </c>
      <c r="L213">
        <v>-0.3</v>
      </c>
      <c r="M213">
        <v>71</v>
      </c>
      <c r="N213">
        <v>780</v>
      </c>
      <c r="O213">
        <v>-90.9</v>
      </c>
    </row>
    <row r="214" spans="1:15" x14ac:dyDescent="0.25">
      <c r="A214" t="s">
        <v>564</v>
      </c>
      <c r="B214" t="s">
        <v>28</v>
      </c>
      <c r="C214" t="s">
        <v>7517</v>
      </c>
      <c r="D214" t="s">
        <v>7518</v>
      </c>
      <c r="E214">
        <v>213</v>
      </c>
      <c r="F214" t="s">
        <v>7519</v>
      </c>
      <c r="G214">
        <v>88489</v>
      </c>
      <c r="H214">
        <v>71286</v>
      </c>
      <c r="I214">
        <v>24.1</v>
      </c>
      <c r="J214">
        <v>0.37</v>
      </c>
      <c r="K214">
        <v>0.14000000000000001</v>
      </c>
      <c r="L214">
        <v>0.2</v>
      </c>
      <c r="M214">
        <v>327</v>
      </c>
      <c r="N214">
        <v>100</v>
      </c>
      <c r="O214">
        <v>228.1</v>
      </c>
    </row>
    <row r="215" spans="1:15" x14ac:dyDescent="0.25">
      <c r="A215" t="s">
        <v>564</v>
      </c>
      <c r="B215" t="s">
        <v>28</v>
      </c>
      <c r="C215" t="s">
        <v>7520</v>
      </c>
      <c r="D215" t="s">
        <v>7521</v>
      </c>
      <c r="E215">
        <v>214</v>
      </c>
      <c r="F215" t="s">
        <v>7522</v>
      </c>
      <c r="G215">
        <v>88302</v>
      </c>
      <c r="H215">
        <v>52223</v>
      </c>
      <c r="I215">
        <v>69.099999999999994</v>
      </c>
      <c r="J215">
        <v>0.67</v>
      </c>
      <c r="K215">
        <v>0.44</v>
      </c>
      <c r="L215">
        <v>0.2</v>
      </c>
      <c r="M215">
        <v>592</v>
      </c>
      <c r="N215">
        <v>230</v>
      </c>
      <c r="O215">
        <v>157.5</v>
      </c>
    </row>
    <row r="216" spans="1:15" x14ac:dyDescent="0.25">
      <c r="A216" t="s">
        <v>564</v>
      </c>
      <c r="B216" t="s">
        <v>28</v>
      </c>
      <c r="C216" t="s">
        <v>7523</v>
      </c>
      <c r="D216" t="s">
        <v>7524</v>
      </c>
      <c r="E216">
        <v>215</v>
      </c>
      <c r="F216" t="s">
        <v>7525</v>
      </c>
      <c r="G216">
        <v>86754</v>
      </c>
      <c r="J216">
        <v>0.17</v>
      </c>
      <c r="M216">
        <v>147</v>
      </c>
    </row>
    <row r="217" spans="1:15" x14ac:dyDescent="0.25">
      <c r="A217" t="s">
        <v>564</v>
      </c>
      <c r="B217" t="s">
        <v>28</v>
      </c>
      <c r="C217" t="s">
        <v>7526</v>
      </c>
      <c r="D217" t="s">
        <v>7527</v>
      </c>
      <c r="E217">
        <v>216</v>
      </c>
      <c r="F217" t="s">
        <v>7528</v>
      </c>
      <c r="G217">
        <v>85361</v>
      </c>
      <c r="H217">
        <v>171002</v>
      </c>
      <c r="I217">
        <v>-50.1</v>
      </c>
      <c r="J217">
        <v>0.1</v>
      </c>
      <c r="K217">
        <v>0.06</v>
      </c>
      <c r="L217">
        <v>0</v>
      </c>
      <c r="M217">
        <v>85</v>
      </c>
      <c r="N217">
        <v>103</v>
      </c>
      <c r="O217">
        <v>-16.8</v>
      </c>
    </row>
    <row r="218" spans="1:15" x14ac:dyDescent="0.25">
      <c r="A218" t="s">
        <v>564</v>
      </c>
      <c r="B218" t="s">
        <v>28</v>
      </c>
      <c r="C218" t="s">
        <v>7529</v>
      </c>
      <c r="D218" t="s">
        <v>7530</v>
      </c>
      <c r="E218">
        <v>217</v>
      </c>
      <c r="F218" t="s">
        <v>7531</v>
      </c>
      <c r="G218">
        <v>85202</v>
      </c>
      <c r="J218">
        <v>0.63</v>
      </c>
      <c r="M218">
        <v>537</v>
      </c>
    </row>
    <row r="219" spans="1:15" x14ac:dyDescent="0.25">
      <c r="A219" t="s">
        <v>564</v>
      </c>
      <c r="B219" t="s">
        <v>28</v>
      </c>
      <c r="C219" t="s">
        <v>7532</v>
      </c>
      <c r="D219" t="s">
        <v>7533</v>
      </c>
      <c r="E219">
        <v>218</v>
      </c>
      <c r="F219" t="s">
        <v>7534</v>
      </c>
      <c r="G219">
        <v>83839</v>
      </c>
      <c r="H219">
        <v>52059</v>
      </c>
      <c r="I219">
        <v>61</v>
      </c>
      <c r="J219">
        <v>1.99</v>
      </c>
      <c r="K219">
        <v>1.07</v>
      </c>
      <c r="L219">
        <v>0.9</v>
      </c>
      <c r="M219">
        <v>1668</v>
      </c>
      <c r="N219">
        <v>557</v>
      </c>
      <c r="O219">
        <v>199.5</v>
      </c>
    </row>
    <row r="220" spans="1:15" x14ac:dyDescent="0.25">
      <c r="A220" t="s">
        <v>564</v>
      </c>
      <c r="B220" t="s">
        <v>28</v>
      </c>
      <c r="C220" t="s">
        <v>7535</v>
      </c>
      <c r="D220" t="s">
        <v>7536</v>
      </c>
      <c r="E220">
        <v>219</v>
      </c>
      <c r="F220" t="s">
        <v>7537</v>
      </c>
      <c r="G220">
        <v>83806</v>
      </c>
      <c r="J220">
        <v>0.84</v>
      </c>
      <c r="M220">
        <v>704</v>
      </c>
    </row>
    <row r="221" spans="1:15" x14ac:dyDescent="0.25">
      <c r="A221" t="s">
        <v>564</v>
      </c>
      <c r="B221" t="s">
        <v>28</v>
      </c>
      <c r="C221" t="s">
        <v>7538</v>
      </c>
      <c r="D221" t="s">
        <v>7539</v>
      </c>
      <c r="E221">
        <v>220</v>
      </c>
      <c r="F221" t="s">
        <v>7540</v>
      </c>
      <c r="G221">
        <v>82650</v>
      </c>
      <c r="J221">
        <v>0.75</v>
      </c>
      <c r="M221">
        <v>620</v>
      </c>
    </row>
    <row r="222" spans="1:15" x14ac:dyDescent="0.25">
      <c r="A222" t="s">
        <v>564</v>
      </c>
      <c r="B222" t="s">
        <v>28</v>
      </c>
      <c r="C222" t="s">
        <v>7541</v>
      </c>
      <c r="D222" t="s">
        <v>7542</v>
      </c>
      <c r="E222">
        <v>221</v>
      </c>
      <c r="F222" t="s">
        <v>7543</v>
      </c>
      <c r="G222">
        <v>82066</v>
      </c>
      <c r="J222">
        <v>1.2</v>
      </c>
      <c r="M222">
        <v>985</v>
      </c>
    </row>
    <row r="223" spans="1:15" x14ac:dyDescent="0.25">
      <c r="A223" t="s">
        <v>564</v>
      </c>
      <c r="B223" t="s">
        <v>28</v>
      </c>
      <c r="C223" t="s">
        <v>7544</v>
      </c>
      <c r="D223" t="s">
        <v>7545</v>
      </c>
      <c r="E223">
        <v>222</v>
      </c>
      <c r="F223" t="s">
        <v>7546</v>
      </c>
      <c r="G223">
        <v>81593</v>
      </c>
      <c r="J223">
        <v>1.77</v>
      </c>
      <c r="M223">
        <v>1444</v>
      </c>
    </row>
    <row r="224" spans="1:15" x14ac:dyDescent="0.25">
      <c r="A224" t="s">
        <v>564</v>
      </c>
      <c r="B224" t="s">
        <v>28</v>
      </c>
      <c r="C224" t="s">
        <v>7547</v>
      </c>
      <c r="D224" t="s">
        <v>7548</v>
      </c>
      <c r="E224">
        <v>223</v>
      </c>
      <c r="F224" t="s">
        <v>7549</v>
      </c>
      <c r="G224">
        <v>81340</v>
      </c>
      <c r="J224">
        <v>0.4</v>
      </c>
      <c r="M224">
        <v>325</v>
      </c>
    </row>
    <row r="225" spans="1:15" x14ac:dyDescent="0.25">
      <c r="A225" t="s">
        <v>564</v>
      </c>
      <c r="B225" t="s">
        <v>28</v>
      </c>
      <c r="C225" t="s">
        <v>7550</v>
      </c>
      <c r="D225" t="s">
        <v>7551</v>
      </c>
      <c r="E225">
        <v>224</v>
      </c>
      <c r="F225" t="s">
        <v>7552</v>
      </c>
      <c r="G225">
        <v>81033</v>
      </c>
      <c r="J225">
        <v>2.06</v>
      </c>
      <c r="M225">
        <v>1669</v>
      </c>
    </row>
    <row r="226" spans="1:15" x14ac:dyDescent="0.25">
      <c r="A226" t="s">
        <v>564</v>
      </c>
      <c r="B226" t="s">
        <v>28</v>
      </c>
      <c r="C226" t="s">
        <v>7553</v>
      </c>
      <c r="D226" t="s">
        <v>7554</v>
      </c>
      <c r="E226">
        <v>225</v>
      </c>
      <c r="F226" t="s">
        <v>7555</v>
      </c>
      <c r="G226">
        <v>81018</v>
      </c>
      <c r="J226">
        <v>0.8</v>
      </c>
      <c r="M226">
        <v>648</v>
      </c>
    </row>
    <row r="227" spans="1:15" x14ac:dyDescent="0.25">
      <c r="A227" t="s">
        <v>564</v>
      </c>
      <c r="B227" t="s">
        <v>28</v>
      </c>
      <c r="C227" t="s">
        <v>7556</v>
      </c>
      <c r="D227" t="s">
        <v>7557</v>
      </c>
      <c r="E227">
        <v>226</v>
      </c>
      <c r="F227" t="s">
        <v>7558</v>
      </c>
      <c r="G227">
        <v>80393</v>
      </c>
      <c r="H227">
        <v>125931</v>
      </c>
      <c r="I227">
        <v>-36.200000000000003</v>
      </c>
      <c r="J227">
        <v>0.45</v>
      </c>
      <c r="K227">
        <v>1.08</v>
      </c>
      <c r="L227">
        <v>-0.6</v>
      </c>
      <c r="M227">
        <v>362</v>
      </c>
      <c r="N227">
        <v>1360</v>
      </c>
      <c r="O227">
        <v>-73.400000000000006</v>
      </c>
    </row>
    <row r="228" spans="1:15" x14ac:dyDescent="0.25">
      <c r="A228" t="s">
        <v>564</v>
      </c>
      <c r="B228" t="s">
        <v>28</v>
      </c>
      <c r="C228" t="s">
        <v>7559</v>
      </c>
      <c r="D228" t="s">
        <v>7560</v>
      </c>
      <c r="E228">
        <v>227</v>
      </c>
      <c r="F228" t="s">
        <v>7561</v>
      </c>
      <c r="G228">
        <v>80029</v>
      </c>
      <c r="H228">
        <v>121607</v>
      </c>
      <c r="I228">
        <v>-34.200000000000003</v>
      </c>
      <c r="J228">
        <v>0.46</v>
      </c>
      <c r="K228">
        <v>0.54</v>
      </c>
      <c r="L228">
        <v>-0.1</v>
      </c>
      <c r="M228">
        <v>368</v>
      </c>
      <c r="N228">
        <v>657</v>
      </c>
      <c r="O228">
        <v>-43.9</v>
      </c>
    </row>
    <row r="229" spans="1:15" x14ac:dyDescent="0.25">
      <c r="A229" t="s">
        <v>564</v>
      </c>
      <c r="B229" t="s">
        <v>28</v>
      </c>
      <c r="C229" t="s">
        <v>7562</v>
      </c>
      <c r="D229" t="s">
        <v>7563</v>
      </c>
      <c r="E229">
        <v>228</v>
      </c>
      <c r="F229" t="s">
        <v>7564</v>
      </c>
      <c r="G229">
        <v>78772</v>
      </c>
      <c r="H229">
        <v>46894</v>
      </c>
      <c r="I229">
        <v>68</v>
      </c>
      <c r="J229">
        <v>0.84</v>
      </c>
      <c r="K229">
        <v>1.32</v>
      </c>
      <c r="L229">
        <v>-0.5</v>
      </c>
      <c r="M229">
        <v>662</v>
      </c>
      <c r="N229">
        <v>619</v>
      </c>
      <c r="O229">
        <v>6.9</v>
      </c>
    </row>
    <row r="230" spans="1:15" x14ac:dyDescent="0.25">
      <c r="A230" t="s">
        <v>564</v>
      </c>
      <c r="B230" t="s">
        <v>28</v>
      </c>
      <c r="C230" t="s">
        <v>7565</v>
      </c>
      <c r="D230" t="s">
        <v>7566</v>
      </c>
      <c r="E230">
        <v>229</v>
      </c>
      <c r="F230" t="s">
        <v>7567</v>
      </c>
      <c r="G230">
        <v>78601</v>
      </c>
      <c r="J230">
        <v>4.4000000000000004</v>
      </c>
      <c r="M230">
        <v>3458</v>
      </c>
    </row>
    <row r="231" spans="1:15" x14ac:dyDescent="0.25">
      <c r="A231" t="s">
        <v>564</v>
      </c>
      <c r="B231" t="s">
        <v>28</v>
      </c>
      <c r="C231" t="s">
        <v>7568</v>
      </c>
      <c r="D231" t="s">
        <v>7569</v>
      </c>
      <c r="E231">
        <v>230</v>
      </c>
      <c r="F231" t="s">
        <v>7570</v>
      </c>
      <c r="G231">
        <v>78249</v>
      </c>
      <c r="H231">
        <v>53900</v>
      </c>
      <c r="I231">
        <v>45.2</v>
      </c>
      <c r="J231">
        <v>0.27</v>
      </c>
      <c r="K231">
        <v>0.44</v>
      </c>
      <c r="L231">
        <v>-0.2</v>
      </c>
      <c r="M231">
        <v>211</v>
      </c>
      <c r="N231">
        <v>237</v>
      </c>
      <c r="O231">
        <v>-10.9</v>
      </c>
    </row>
    <row r="232" spans="1:15" x14ac:dyDescent="0.25">
      <c r="A232" t="s">
        <v>564</v>
      </c>
      <c r="B232" t="s">
        <v>28</v>
      </c>
      <c r="C232" t="s">
        <v>7571</v>
      </c>
      <c r="D232" t="s">
        <v>7572</v>
      </c>
      <c r="E232">
        <v>231</v>
      </c>
      <c r="F232" t="s">
        <v>7573</v>
      </c>
      <c r="G232">
        <v>78054</v>
      </c>
      <c r="J232">
        <v>0.83</v>
      </c>
      <c r="M232">
        <v>648</v>
      </c>
    </row>
    <row r="233" spans="1:15" x14ac:dyDescent="0.25">
      <c r="A233" t="s">
        <v>564</v>
      </c>
      <c r="B233" t="s">
        <v>28</v>
      </c>
      <c r="C233" t="s">
        <v>7574</v>
      </c>
      <c r="D233" t="s">
        <v>7575</v>
      </c>
      <c r="E233">
        <v>232</v>
      </c>
      <c r="F233" t="s">
        <v>7576</v>
      </c>
      <c r="G233">
        <v>76336</v>
      </c>
      <c r="J233">
        <v>2.64</v>
      </c>
      <c r="M233">
        <v>2015</v>
      </c>
    </row>
    <row r="234" spans="1:15" x14ac:dyDescent="0.25">
      <c r="A234" t="s">
        <v>564</v>
      </c>
      <c r="B234" t="s">
        <v>28</v>
      </c>
      <c r="C234" t="s">
        <v>7577</v>
      </c>
      <c r="D234" t="s">
        <v>7578</v>
      </c>
      <c r="E234">
        <v>233</v>
      </c>
      <c r="F234" t="s">
        <v>7579</v>
      </c>
      <c r="G234">
        <v>75701</v>
      </c>
      <c r="H234">
        <v>101379</v>
      </c>
      <c r="I234">
        <v>-25.3</v>
      </c>
      <c r="J234">
        <v>1.84</v>
      </c>
      <c r="K234">
        <v>1.74</v>
      </c>
      <c r="L234">
        <v>0.1</v>
      </c>
      <c r="M234">
        <v>1393</v>
      </c>
      <c r="N234">
        <v>1764</v>
      </c>
      <c r="O234">
        <v>-21</v>
      </c>
    </row>
    <row r="235" spans="1:15" x14ac:dyDescent="0.25">
      <c r="A235" t="s">
        <v>564</v>
      </c>
      <c r="B235" t="s">
        <v>28</v>
      </c>
      <c r="C235" t="s">
        <v>7580</v>
      </c>
      <c r="D235" t="s">
        <v>7581</v>
      </c>
      <c r="E235">
        <v>234</v>
      </c>
      <c r="F235" t="s">
        <v>7582</v>
      </c>
      <c r="G235">
        <v>75665</v>
      </c>
      <c r="J235">
        <v>1.98</v>
      </c>
      <c r="M235">
        <v>1498</v>
      </c>
    </row>
    <row r="236" spans="1:15" x14ac:dyDescent="0.25">
      <c r="A236" t="s">
        <v>564</v>
      </c>
      <c r="B236" t="s">
        <v>28</v>
      </c>
      <c r="C236" t="s">
        <v>7583</v>
      </c>
      <c r="D236" t="s">
        <v>7584</v>
      </c>
      <c r="E236">
        <v>235</v>
      </c>
      <c r="F236" t="s">
        <v>7585</v>
      </c>
      <c r="G236">
        <v>74913</v>
      </c>
      <c r="J236">
        <v>0.56999999999999995</v>
      </c>
      <c r="M236">
        <v>427</v>
      </c>
    </row>
    <row r="237" spans="1:15" x14ac:dyDescent="0.25">
      <c r="A237" t="s">
        <v>564</v>
      </c>
      <c r="B237" t="s">
        <v>28</v>
      </c>
      <c r="C237" t="s">
        <v>7586</v>
      </c>
      <c r="D237" t="s">
        <v>7587</v>
      </c>
      <c r="E237">
        <v>236</v>
      </c>
      <c r="F237" t="s">
        <v>7588</v>
      </c>
      <c r="G237">
        <v>74781</v>
      </c>
      <c r="J237">
        <v>0.99</v>
      </c>
      <c r="M237">
        <v>740</v>
      </c>
    </row>
    <row r="238" spans="1:15" x14ac:dyDescent="0.25">
      <c r="A238" t="s">
        <v>564</v>
      </c>
      <c r="B238" t="s">
        <v>28</v>
      </c>
      <c r="C238" t="s">
        <v>7589</v>
      </c>
      <c r="D238" t="s">
        <v>7590</v>
      </c>
      <c r="E238">
        <v>237</v>
      </c>
      <c r="F238" t="s">
        <v>7591</v>
      </c>
      <c r="G238">
        <v>73392</v>
      </c>
      <c r="H238">
        <v>122100</v>
      </c>
      <c r="I238">
        <v>-39.9</v>
      </c>
      <c r="J238">
        <v>0.54</v>
      </c>
      <c r="K238">
        <v>0.19</v>
      </c>
      <c r="L238">
        <v>0.4</v>
      </c>
      <c r="M238">
        <v>396</v>
      </c>
      <c r="N238">
        <v>232</v>
      </c>
      <c r="O238">
        <v>70.8</v>
      </c>
    </row>
    <row r="239" spans="1:15" x14ac:dyDescent="0.25">
      <c r="A239" t="s">
        <v>564</v>
      </c>
      <c r="B239" t="s">
        <v>28</v>
      </c>
      <c r="C239" t="s">
        <v>7592</v>
      </c>
      <c r="D239" t="s">
        <v>7593</v>
      </c>
      <c r="E239">
        <v>238</v>
      </c>
      <c r="F239" t="s">
        <v>7594</v>
      </c>
      <c r="G239">
        <v>72916</v>
      </c>
      <c r="J239">
        <v>0.28999999999999998</v>
      </c>
      <c r="M239">
        <v>211</v>
      </c>
    </row>
    <row r="240" spans="1:15" x14ac:dyDescent="0.25">
      <c r="A240" t="s">
        <v>564</v>
      </c>
      <c r="B240" t="s">
        <v>28</v>
      </c>
      <c r="C240" t="s">
        <v>7595</v>
      </c>
      <c r="D240" t="s">
        <v>7596</v>
      </c>
      <c r="E240">
        <v>239</v>
      </c>
      <c r="F240" t="s">
        <v>7597</v>
      </c>
      <c r="G240">
        <v>72628</v>
      </c>
      <c r="H240">
        <v>203629</v>
      </c>
      <c r="I240">
        <v>-64.3</v>
      </c>
      <c r="J240">
        <v>1.62</v>
      </c>
      <c r="K240">
        <v>2.23</v>
      </c>
      <c r="L240">
        <v>-0.6</v>
      </c>
      <c r="M240">
        <v>1177</v>
      </c>
      <c r="N240">
        <v>4541</v>
      </c>
      <c r="O240">
        <v>-74.099999999999994</v>
      </c>
    </row>
    <row r="241" spans="1:15" x14ac:dyDescent="0.25">
      <c r="A241" t="s">
        <v>564</v>
      </c>
      <c r="B241" t="s">
        <v>28</v>
      </c>
      <c r="C241" t="s">
        <v>7598</v>
      </c>
      <c r="D241" t="s">
        <v>7599</v>
      </c>
      <c r="E241">
        <v>240</v>
      </c>
      <c r="F241" t="s">
        <v>7600</v>
      </c>
      <c r="G241">
        <v>72591</v>
      </c>
      <c r="H241">
        <v>209111</v>
      </c>
      <c r="I241">
        <v>-65.3</v>
      </c>
      <c r="J241">
        <v>0.84</v>
      </c>
      <c r="K241">
        <v>0.68</v>
      </c>
      <c r="L241">
        <v>0.2</v>
      </c>
      <c r="M241">
        <v>610</v>
      </c>
      <c r="N241">
        <v>1422</v>
      </c>
      <c r="O241">
        <v>-57.1</v>
      </c>
    </row>
    <row r="242" spans="1:15" x14ac:dyDescent="0.25">
      <c r="A242" t="s">
        <v>564</v>
      </c>
      <c r="B242" t="s">
        <v>28</v>
      </c>
      <c r="C242" t="s">
        <v>7601</v>
      </c>
      <c r="D242" t="s">
        <v>7602</v>
      </c>
      <c r="E242">
        <v>241</v>
      </c>
      <c r="F242" t="s">
        <v>7603</v>
      </c>
      <c r="G242">
        <v>71347</v>
      </c>
      <c r="H242">
        <v>371853</v>
      </c>
      <c r="I242">
        <v>-80.8</v>
      </c>
      <c r="J242">
        <v>0.48</v>
      </c>
      <c r="K242">
        <v>0.76</v>
      </c>
      <c r="L242">
        <v>-0.3</v>
      </c>
      <c r="M242">
        <v>342</v>
      </c>
      <c r="N242">
        <v>2826</v>
      </c>
      <c r="O242">
        <v>-87.9</v>
      </c>
    </row>
    <row r="243" spans="1:15" x14ac:dyDescent="0.25">
      <c r="A243" t="s">
        <v>564</v>
      </c>
      <c r="B243" t="s">
        <v>28</v>
      </c>
      <c r="C243" t="s">
        <v>7604</v>
      </c>
      <c r="D243" t="s">
        <v>7605</v>
      </c>
      <c r="E243">
        <v>242</v>
      </c>
      <c r="F243" t="s">
        <v>7606</v>
      </c>
      <c r="G243">
        <v>71245</v>
      </c>
      <c r="H243">
        <v>97203</v>
      </c>
      <c r="I243">
        <v>-26.7</v>
      </c>
      <c r="J243">
        <v>0.37</v>
      </c>
      <c r="K243">
        <v>0.99</v>
      </c>
      <c r="L243">
        <v>-0.6</v>
      </c>
      <c r="M243">
        <v>264</v>
      </c>
      <c r="N243">
        <v>962</v>
      </c>
      <c r="O243">
        <v>-72.599999999999994</v>
      </c>
    </row>
    <row r="244" spans="1:15" x14ac:dyDescent="0.25">
      <c r="A244" t="s">
        <v>564</v>
      </c>
      <c r="B244" t="s">
        <v>28</v>
      </c>
      <c r="C244" t="s">
        <v>7607</v>
      </c>
      <c r="D244" t="s">
        <v>7608</v>
      </c>
      <c r="E244">
        <v>243</v>
      </c>
      <c r="F244" t="s">
        <v>7609</v>
      </c>
      <c r="G244">
        <v>70752</v>
      </c>
      <c r="H244">
        <v>96191</v>
      </c>
      <c r="I244">
        <v>-26.4</v>
      </c>
      <c r="J244">
        <v>0.74</v>
      </c>
      <c r="K244">
        <v>0.56000000000000005</v>
      </c>
      <c r="L244">
        <v>0.2</v>
      </c>
      <c r="M244">
        <v>524</v>
      </c>
      <c r="N244">
        <v>539</v>
      </c>
      <c r="O244">
        <v>-2.8</v>
      </c>
    </row>
    <row r="245" spans="1:15" x14ac:dyDescent="0.25">
      <c r="A245" t="s">
        <v>564</v>
      </c>
      <c r="B245" t="s">
        <v>28</v>
      </c>
      <c r="C245" t="s">
        <v>7610</v>
      </c>
      <c r="D245" t="s">
        <v>7611</v>
      </c>
      <c r="E245">
        <v>244</v>
      </c>
      <c r="F245" t="s">
        <v>7612</v>
      </c>
      <c r="G245">
        <v>70335</v>
      </c>
      <c r="H245">
        <v>169521</v>
      </c>
      <c r="I245">
        <v>-58.5</v>
      </c>
      <c r="J245">
        <v>0.93</v>
      </c>
      <c r="K245">
        <v>1.75</v>
      </c>
      <c r="L245">
        <v>-0.8</v>
      </c>
      <c r="M245">
        <v>654</v>
      </c>
      <c r="N245">
        <v>2967</v>
      </c>
      <c r="O245">
        <v>-78</v>
      </c>
    </row>
    <row r="246" spans="1:15" x14ac:dyDescent="0.25">
      <c r="A246" t="s">
        <v>564</v>
      </c>
      <c r="B246" t="s">
        <v>28</v>
      </c>
      <c r="C246" t="s">
        <v>7613</v>
      </c>
      <c r="D246" t="s">
        <v>7614</v>
      </c>
      <c r="E246">
        <v>245</v>
      </c>
      <c r="F246" t="s">
        <v>7615</v>
      </c>
      <c r="G246">
        <v>69078</v>
      </c>
      <c r="J246">
        <v>0.14000000000000001</v>
      </c>
      <c r="M246">
        <v>97</v>
      </c>
    </row>
    <row r="247" spans="1:15" x14ac:dyDescent="0.25">
      <c r="A247" t="s">
        <v>564</v>
      </c>
      <c r="B247" t="s">
        <v>28</v>
      </c>
      <c r="C247" t="s">
        <v>7616</v>
      </c>
      <c r="D247" t="s">
        <v>7617</v>
      </c>
      <c r="E247">
        <v>246</v>
      </c>
      <c r="F247" t="s">
        <v>7618</v>
      </c>
      <c r="G247">
        <v>68094</v>
      </c>
      <c r="H247">
        <v>103069</v>
      </c>
      <c r="I247">
        <v>-33.9</v>
      </c>
      <c r="J247">
        <v>0.23</v>
      </c>
      <c r="K247">
        <v>0.46</v>
      </c>
      <c r="L247">
        <v>-0.2</v>
      </c>
      <c r="M247">
        <v>157</v>
      </c>
      <c r="N247">
        <v>474</v>
      </c>
      <c r="O247">
        <v>-67</v>
      </c>
    </row>
    <row r="248" spans="1:15" x14ac:dyDescent="0.25">
      <c r="A248" t="s">
        <v>564</v>
      </c>
      <c r="B248" t="s">
        <v>28</v>
      </c>
      <c r="C248" t="s">
        <v>7619</v>
      </c>
      <c r="D248" t="s">
        <v>7620</v>
      </c>
      <c r="E248">
        <v>247</v>
      </c>
      <c r="F248" t="s">
        <v>7621</v>
      </c>
      <c r="G248">
        <v>67870</v>
      </c>
      <c r="J248">
        <v>1.48</v>
      </c>
      <c r="M248">
        <v>1004</v>
      </c>
    </row>
    <row r="249" spans="1:15" x14ac:dyDescent="0.25">
      <c r="A249" t="s">
        <v>564</v>
      </c>
      <c r="B249" t="s">
        <v>28</v>
      </c>
      <c r="C249" t="s">
        <v>7622</v>
      </c>
      <c r="D249" t="s">
        <v>7623</v>
      </c>
      <c r="E249">
        <v>248</v>
      </c>
      <c r="F249" t="s">
        <v>7624</v>
      </c>
      <c r="G249">
        <v>67790</v>
      </c>
      <c r="J249">
        <v>1.54</v>
      </c>
      <c r="M249">
        <v>1044</v>
      </c>
    </row>
    <row r="250" spans="1:15" x14ac:dyDescent="0.25">
      <c r="A250" t="s">
        <v>564</v>
      </c>
      <c r="B250" t="s">
        <v>28</v>
      </c>
      <c r="C250" t="s">
        <v>7625</v>
      </c>
      <c r="D250" t="s">
        <v>7626</v>
      </c>
      <c r="E250">
        <v>249</v>
      </c>
      <c r="F250" t="s">
        <v>7627</v>
      </c>
      <c r="G250">
        <v>65930</v>
      </c>
      <c r="J250">
        <v>1.85</v>
      </c>
      <c r="M250">
        <v>1220</v>
      </c>
    </row>
    <row r="251" spans="1:15" x14ac:dyDescent="0.25">
      <c r="A251" t="s">
        <v>564</v>
      </c>
      <c r="B251" t="s">
        <v>28</v>
      </c>
      <c r="C251" t="s">
        <v>7628</v>
      </c>
      <c r="D251" t="s">
        <v>7629</v>
      </c>
      <c r="E251">
        <v>250</v>
      </c>
      <c r="F251" t="s">
        <v>7630</v>
      </c>
      <c r="G251">
        <v>65918</v>
      </c>
      <c r="J251">
        <v>1.04</v>
      </c>
      <c r="M251">
        <v>686</v>
      </c>
    </row>
    <row r="252" spans="1:15" x14ac:dyDescent="0.25">
      <c r="A252" t="s">
        <v>564</v>
      </c>
      <c r="B252" t="s">
        <v>28</v>
      </c>
      <c r="C252" t="s">
        <v>7631</v>
      </c>
      <c r="D252" t="s">
        <v>7632</v>
      </c>
      <c r="E252">
        <v>251</v>
      </c>
      <c r="F252" t="s">
        <v>7633</v>
      </c>
      <c r="G252">
        <v>65333</v>
      </c>
      <c r="H252">
        <v>51091</v>
      </c>
      <c r="I252">
        <v>27.9</v>
      </c>
      <c r="J252">
        <v>0.64</v>
      </c>
      <c r="K252">
        <v>0.08</v>
      </c>
      <c r="L252">
        <v>0.6</v>
      </c>
      <c r="M252">
        <v>418</v>
      </c>
      <c r="N252">
        <v>41</v>
      </c>
      <c r="O252">
        <v>923</v>
      </c>
    </row>
    <row r="253" spans="1:15" x14ac:dyDescent="0.25">
      <c r="A253" t="s">
        <v>564</v>
      </c>
      <c r="B253" t="s">
        <v>28</v>
      </c>
      <c r="C253" t="s">
        <v>7634</v>
      </c>
      <c r="D253" t="s">
        <v>7635</v>
      </c>
      <c r="E253">
        <v>252</v>
      </c>
      <c r="F253" t="s">
        <v>7636</v>
      </c>
      <c r="G253">
        <v>64136</v>
      </c>
      <c r="J253">
        <v>3.08</v>
      </c>
      <c r="M253">
        <v>1975</v>
      </c>
    </row>
    <row r="254" spans="1:15" x14ac:dyDescent="0.25">
      <c r="A254" t="s">
        <v>564</v>
      </c>
      <c r="B254" t="s">
        <v>28</v>
      </c>
      <c r="C254" t="s">
        <v>7637</v>
      </c>
      <c r="D254" t="s">
        <v>7638</v>
      </c>
      <c r="E254">
        <v>253</v>
      </c>
      <c r="F254" t="s">
        <v>7639</v>
      </c>
      <c r="G254">
        <v>64051</v>
      </c>
      <c r="J254">
        <v>0.56999999999999995</v>
      </c>
      <c r="M254">
        <v>365</v>
      </c>
    </row>
    <row r="255" spans="1:15" x14ac:dyDescent="0.25">
      <c r="A255" t="s">
        <v>564</v>
      </c>
      <c r="B255" t="s">
        <v>28</v>
      </c>
      <c r="C255" t="s">
        <v>7640</v>
      </c>
      <c r="D255" t="s">
        <v>7641</v>
      </c>
      <c r="E255">
        <v>254</v>
      </c>
      <c r="F255" t="s">
        <v>7642</v>
      </c>
      <c r="G255">
        <v>63524</v>
      </c>
      <c r="H255">
        <v>346995</v>
      </c>
      <c r="I255">
        <v>-81.7</v>
      </c>
      <c r="J255">
        <v>0.5</v>
      </c>
      <c r="K255">
        <v>0.59</v>
      </c>
      <c r="L255">
        <v>-0.1</v>
      </c>
      <c r="M255">
        <v>318</v>
      </c>
      <c r="N255">
        <v>2047</v>
      </c>
      <c r="O255">
        <v>-84.5</v>
      </c>
    </row>
    <row r="256" spans="1:15" x14ac:dyDescent="0.25">
      <c r="A256" t="s">
        <v>564</v>
      </c>
      <c r="B256" t="s">
        <v>28</v>
      </c>
      <c r="C256" t="s">
        <v>7643</v>
      </c>
      <c r="D256" t="s">
        <v>7644</v>
      </c>
      <c r="E256">
        <v>255</v>
      </c>
      <c r="F256" t="s">
        <v>7645</v>
      </c>
      <c r="G256">
        <v>63508</v>
      </c>
      <c r="H256">
        <v>69008</v>
      </c>
      <c r="I256">
        <v>-8</v>
      </c>
      <c r="J256">
        <v>1.43</v>
      </c>
      <c r="K256">
        <v>1.52</v>
      </c>
      <c r="L256">
        <v>-0.1</v>
      </c>
      <c r="M256">
        <v>908</v>
      </c>
      <c r="N256">
        <v>1049</v>
      </c>
      <c r="O256">
        <v>-13.4</v>
      </c>
    </row>
    <row r="257" spans="1:15" x14ac:dyDescent="0.25">
      <c r="A257" t="s">
        <v>564</v>
      </c>
      <c r="B257" t="s">
        <v>28</v>
      </c>
      <c r="C257" t="s">
        <v>7646</v>
      </c>
      <c r="D257" t="s">
        <v>7647</v>
      </c>
      <c r="E257">
        <v>256</v>
      </c>
      <c r="F257" t="s">
        <v>7648</v>
      </c>
      <c r="G257">
        <v>63380</v>
      </c>
      <c r="J257">
        <v>1.49</v>
      </c>
      <c r="M257">
        <v>944</v>
      </c>
    </row>
    <row r="258" spans="1:15" x14ac:dyDescent="0.25">
      <c r="A258" t="s">
        <v>564</v>
      </c>
      <c r="B258" t="s">
        <v>28</v>
      </c>
      <c r="C258" t="s">
        <v>7649</v>
      </c>
      <c r="D258" t="s">
        <v>7650</v>
      </c>
      <c r="E258">
        <v>257</v>
      </c>
      <c r="F258" t="s">
        <v>7651</v>
      </c>
      <c r="G258">
        <v>63332</v>
      </c>
      <c r="J258">
        <v>1.35</v>
      </c>
      <c r="M258">
        <v>855</v>
      </c>
    </row>
    <row r="259" spans="1:15" x14ac:dyDescent="0.25">
      <c r="A259" t="s">
        <v>564</v>
      </c>
      <c r="B259" t="s">
        <v>28</v>
      </c>
      <c r="C259" t="s">
        <v>7652</v>
      </c>
      <c r="D259" t="s">
        <v>7653</v>
      </c>
      <c r="E259">
        <v>258</v>
      </c>
      <c r="F259" t="s">
        <v>7654</v>
      </c>
      <c r="G259">
        <v>63133</v>
      </c>
      <c r="J259">
        <v>1.91</v>
      </c>
      <c r="M259">
        <v>1206</v>
      </c>
    </row>
    <row r="260" spans="1:15" x14ac:dyDescent="0.25">
      <c r="A260" t="s">
        <v>564</v>
      </c>
      <c r="B260" t="s">
        <v>28</v>
      </c>
      <c r="C260" t="s">
        <v>7655</v>
      </c>
      <c r="D260" t="s">
        <v>7656</v>
      </c>
      <c r="E260">
        <v>259</v>
      </c>
      <c r="F260" t="s">
        <v>7657</v>
      </c>
      <c r="G260">
        <v>61045</v>
      </c>
      <c r="H260">
        <v>60875</v>
      </c>
      <c r="I260">
        <v>0.3</v>
      </c>
      <c r="J260">
        <v>0.43</v>
      </c>
      <c r="K260">
        <v>0.32</v>
      </c>
      <c r="L260">
        <v>0.1</v>
      </c>
      <c r="M260">
        <v>262</v>
      </c>
      <c r="N260">
        <v>195</v>
      </c>
      <c r="O260">
        <v>34.799999999999997</v>
      </c>
    </row>
    <row r="261" spans="1:15" x14ac:dyDescent="0.25">
      <c r="A261" t="s">
        <v>564</v>
      </c>
      <c r="B261" t="s">
        <v>28</v>
      </c>
      <c r="C261" t="s">
        <v>7658</v>
      </c>
      <c r="D261" t="s">
        <v>7659</v>
      </c>
      <c r="E261">
        <v>260</v>
      </c>
      <c r="F261" t="s">
        <v>7660</v>
      </c>
      <c r="G261">
        <v>60485</v>
      </c>
      <c r="J261">
        <v>1.03</v>
      </c>
      <c r="M261">
        <v>623</v>
      </c>
    </row>
    <row r="262" spans="1:15" x14ac:dyDescent="0.25">
      <c r="A262" t="s">
        <v>564</v>
      </c>
      <c r="B262" t="s">
        <v>28</v>
      </c>
      <c r="C262" t="s">
        <v>7661</v>
      </c>
      <c r="D262" t="s">
        <v>7662</v>
      </c>
      <c r="E262">
        <v>261</v>
      </c>
      <c r="F262" t="s">
        <v>394</v>
      </c>
      <c r="G262">
        <v>59905</v>
      </c>
      <c r="H262">
        <v>119333</v>
      </c>
      <c r="I262">
        <v>-49.8</v>
      </c>
      <c r="J262">
        <v>0.7</v>
      </c>
      <c r="K262">
        <v>0.18</v>
      </c>
      <c r="L262">
        <v>0.5</v>
      </c>
      <c r="M262">
        <v>419</v>
      </c>
      <c r="N262">
        <v>215</v>
      </c>
      <c r="O262">
        <v>95.2</v>
      </c>
    </row>
    <row r="263" spans="1:15" x14ac:dyDescent="0.25">
      <c r="A263" t="s">
        <v>564</v>
      </c>
      <c r="B263" t="s">
        <v>28</v>
      </c>
      <c r="C263" t="s">
        <v>7663</v>
      </c>
      <c r="D263" t="s">
        <v>7664</v>
      </c>
      <c r="E263">
        <v>262</v>
      </c>
      <c r="F263" t="s">
        <v>7665</v>
      </c>
      <c r="G263">
        <v>59832</v>
      </c>
      <c r="J263">
        <v>0.34</v>
      </c>
      <c r="M263">
        <v>203</v>
      </c>
    </row>
    <row r="264" spans="1:15" x14ac:dyDescent="0.25">
      <c r="A264" t="s">
        <v>564</v>
      </c>
      <c r="B264" t="s">
        <v>28</v>
      </c>
      <c r="C264" t="s">
        <v>7666</v>
      </c>
      <c r="D264" t="s">
        <v>7667</v>
      </c>
      <c r="E264">
        <v>263</v>
      </c>
      <c r="F264" t="s">
        <v>7668</v>
      </c>
      <c r="G264">
        <v>59629</v>
      </c>
      <c r="H264">
        <v>119901</v>
      </c>
      <c r="I264">
        <v>-50.3</v>
      </c>
      <c r="J264">
        <v>0.33</v>
      </c>
      <c r="K264">
        <v>0.43</v>
      </c>
      <c r="L264">
        <v>-0.1</v>
      </c>
      <c r="M264">
        <v>197</v>
      </c>
      <c r="N264">
        <v>516</v>
      </c>
      <c r="O264">
        <v>-61.8</v>
      </c>
    </row>
    <row r="265" spans="1:15" x14ac:dyDescent="0.25">
      <c r="A265" t="s">
        <v>564</v>
      </c>
      <c r="B265" t="s">
        <v>28</v>
      </c>
      <c r="C265" t="s">
        <v>7669</v>
      </c>
      <c r="D265" t="s">
        <v>7670</v>
      </c>
      <c r="E265">
        <v>264</v>
      </c>
      <c r="F265" t="s">
        <v>7671</v>
      </c>
      <c r="G265">
        <v>59310</v>
      </c>
      <c r="J265">
        <v>1.48</v>
      </c>
      <c r="M265">
        <v>878</v>
      </c>
    </row>
    <row r="266" spans="1:15" x14ac:dyDescent="0.25">
      <c r="A266" t="s">
        <v>564</v>
      </c>
      <c r="B266" t="s">
        <v>28</v>
      </c>
      <c r="C266" t="s">
        <v>7672</v>
      </c>
      <c r="D266" t="s">
        <v>7673</v>
      </c>
      <c r="E266">
        <v>265</v>
      </c>
      <c r="F266" t="s">
        <v>7674</v>
      </c>
      <c r="G266">
        <v>57566</v>
      </c>
      <c r="H266">
        <v>45591</v>
      </c>
      <c r="I266">
        <v>26.3</v>
      </c>
      <c r="J266">
        <v>4.3</v>
      </c>
      <c r="K266">
        <v>2.99</v>
      </c>
      <c r="L266">
        <v>1.3</v>
      </c>
      <c r="M266">
        <v>2475</v>
      </c>
      <c r="N266">
        <v>1363</v>
      </c>
      <c r="O266">
        <v>81.599999999999994</v>
      </c>
    </row>
    <row r="267" spans="1:15" x14ac:dyDescent="0.25">
      <c r="A267" t="s">
        <v>564</v>
      </c>
      <c r="B267" t="s">
        <v>28</v>
      </c>
      <c r="C267" t="s">
        <v>7675</v>
      </c>
      <c r="D267" t="s">
        <v>7676</v>
      </c>
      <c r="E267">
        <v>266</v>
      </c>
      <c r="F267" t="s">
        <v>7677</v>
      </c>
      <c r="G267">
        <v>57427</v>
      </c>
      <c r="J267">
        <v>0.71</v>
      </c>
      <c r="M267">
        <v>408</v>
      </c>
    </row>
    <row r="268" spans="1:15" x14ac:dyDescent="0.25">
      <c r="A268" t="s">
        <v>564</v>
      </c>
      <c r="B268" t="s">
        <v>28</v>
      </c>
      <c r="C268" t="s">
        <v>7678</v>
      </c>
      <c r="D268" t="s">
        <v>7679</v>
      </c>
      <c r="E268">
        <v>267</v>
      </c>
      <c r="F268" t="s">
        <v>7680</v>
      </c>
      <c r="G268">
        <v>56739</v>
      </c>
      <c r="J268">
        <v>4.1500000000000004</v>
      </c>
      <c r="M268">
        <v>2355</v>
      </c>
    </row>
    <row r="269" spans="1:15" x14ac:dyDescent="0.25">
      <c r="A269" t="s">
        <v>564</v>
      </c>
      <c r="B269" t="s">
        <v>28</v>
      </c>
      <c r="C269" t="s">
        <v>7681</v>
      </c>
      <c r="D269" t="s">
        <v>7682</v>
      </c>
      <c r="E269">
        <v>268</v>
      </c>
      <c r="F269" t="s">
        <v>7683</v>
      </c>
      <c r="G269">
        <v>56218</v>
      </c>
      <c r="H269">
        <v>2022647</v>
      </c>
      <c r="I269">
        <v>-97.2</v>
      </c>
      <c r="J269">
        <v>1.1599999999999999</v>
      </c>
      <c r="K269">
        <v>2.37</v>
      </c>
      <c r="L269">
        <v>-1.2</v>
      </c>
      <c r="M269">
        <v>652</v>
      </c>
      <c r="N269">
        <v>47937</v>
      </c>
      <c r="O269">
        <v>-98.6</v>
      </c>
    </row>
    <row r="270" spans="1:15" x14ac:dyDescent="0.25">
      <c r="A270" t="s">
        <v>564</v>
      </c>
      <c r="B270" t="s">
        <v>28</v>
      </c>
      <c r="C270" t="s">
        <v>7684</v>
      </c>
      <c r="D270" t="s">
        <v>7685</v>
      </c>
      <c r="E270">
        <v>269</v>
      </c>
      <c r="F270" t="s">
        <v>7686</v>
      </c>
      <c r="G270">
        <v>55951</v>
      </c>
      <c r="H270">
        <v>133302</v>
      </c>
      <c r="I270">
        <v>-58</v>
      </c>
      <c r="J270">
        <v>0.44</v>
      </c>
      <c r="K270">
        <v>0.09</v>
      </c>
      <c r="L270">
        <v>0.4</v>
      </c>
      <c r="M270">
        <v>246</v>
      </c>
      <c r="N270">
        <v>120</v>
      </c>
      <c r="O270">
        <v>105.2</v>
      </c>
    </row>
    <row r="271" spans="1:15" x14ac:dyDescent="0.25">
      <c r="A271" t="s">
        <v>564</v>
      </c>
      <c r="B271" t="s">
        <v>28</v>
      </c>
      <c r="C271" t="s">
        <v>7687</v>
      </c>
      <c r="D271" t="s">
        <v>7688</v>
      </c>
      <c r="E271">
        <v>270</v>
      </c>
      <c r="F271" t="s">
        <v>7689</v>
      </c>
      <c r="G271">
        <v>55209</v>
      </c>
      <c r="J271">
        <v>2.25</v>
      </c>
      <c r="M271">
        <v>1242</v>
      </c>
    </row>
    <row r="272" spans="1:15" x14ac:dyDescent="0.25">
      <c r="A272" t="s">
        <v>564</v>
      </c>
      <c r="B272" t="s">
        <v>28</v>
      </c>
      <c r="C272" t="s">
        <v>7690</v>
      </c>
      <c r="D272" t="s">
        <v>7691</v>
      </c>
      <c r="E272">
        <v>271</v>
      </c>
      <c r="F272" t="s">
        <v>7692</v>
      </c>
      <c r="G272">
        <v>54783</v>
      </c>
      <c r="H272">
        <v>52027</v>
      </c>
      <c r="I272">
        <v>5.3</v>
      </c>
      <c r="J272">
        <v>0.54</v>
      </c>
      <c r="K272">
        <v>0.47</v>
      </c>
      <c r="L272">
        <v>0.1</v>
      </c>
      <c r="M272">
        <v>296</v>
      </c>
      <c r="N272">
        <v>245</v>
      </c>
      <c r="O272">
        <v>21</v>
      </c>
    </row>
    <row r="273" spans="1:15" x14ac:dyDescent="0.25">
      <c r="A273" t="s">
        <v>564</v>
      </c>
      <c r="B273" t="s">
        <v>28</v>
      </c>
      <c r="C273" t="s">
        <v>7693</v>
      </c>
      <c r="D273" t="s">
        <v>7694</v>
      </c>
      <c r="E273">
        <v>272</v>
      </c>
      <c r="F273" t="s">
        <v>7695</v>
      </c>
      <c r="G273">
        <v>53838</v>
      </c>
      <c r="J273">
        <v>0.08</v>
      </c>
      <c r="M273">
        <v>43</v>
      </c>
    </row>
    <row r="274" spans="1:15" x14ac:dyDescent="0.25">
      <c r="A274" t="s">
        <v>564</v>
      </c>
      <c r="B274" t="s">
        <v>28</v>
      </c>
      <c r="C274" t="s">
        <v>7696</v>
      </c>
      <c r="D274" t="s">
        <v>7697</v>
      </c>
      <c r="E274">
        <v>273</v>
      </c>
      <c r="F274" t="s">
        <v>7698</v>
      </c>
      <c r="G274">
        <v>52084</v>
      </c>
      <c r="H274">
        <v>80147</v>
      </c>
      <c r="I274">
        <v>-35</v>
      </c>
      <c r="J274">
        <v>4.26</v>
      </c>
      <c r="K274">
        <v>4.01</v>
      </c>
      <c r="L274">
        <v>0.3</v>
      </c>
      <c r="M274">
        <v>2219</v>
      </c>
      <c r="N274">
        <v>3214</v>
      </c>
      <c r="O274">
        <v>-31</v>
      </c>
    </row>
    <row r="275" spans="1:15" x14ac:dyDescent="0.25">
      <c r="A275" t="s">
        <v>564</v>
      </c>
      <c r="B275" t="s">
        <v>28</v>
      </c>
      <c r="C275" t="s">
        <v>7699</v>
      </c>
      <c r="D275" t="s">
        <v>7700</v>
      </c>
      <c r="E275">
        <v>274</v>
      </c>
      <c r="F275" t="s">
        <v>7701</v>
      </c>
      <c r="G275">
        <v>51992</v>
      </c>
      <c r="H275">
        <v>68780</v>
      </c>
      <c r="I275">
        <v>-24.4</v>
      </c>
      <c r="J275">
        <v>1.97</v>
      </c>
      <c r="K275">
        <v>0.71</v>
      </c>
      <c r="L275">
        <v>1.3</v>
      </c>
      <c r="M275">
        <v>1024</v>
      </c>
      <c r="N275">
        <v>488</v>
      </c>
      <c r="O275">
        <v>109.7</v>
      </c>
    </row>
    <row r="276" spans="1:15" x14ac:dyDescent="0.25">
      <c r="A276" t="s">
        <v>564</v>
      </c>
      <c r="B276" t="s">
        <v>28</v>
      </c>
      <c r="C276" t="s">
        <v>7702</v>
      </c>
      <c r="D276" t="s">
        <v>7703</v>
      </c>
      <c r="E276">
        <v>275</v>
      </c>
      <c r="F276" t="s">
        <v>7704</v>
      </c>
      <c r="G276">
        <v>51968</v>
      </c>
      <c r="J276">
        <v>0.56000000000000005</v>
      </c>
      <c r="M276">
        <v>291</v>
      </c>
    </row>
    <row r="277" spans="1:15" x14ac:dyDescent="0.25">
      <c r="A277" t="s">
        <v>564</v>
      </c>
      <c r="B277" t="s">
        <v>28</v>
      </c>
      <c r="C277" t="s">
        <v>7705</v>
      </c>
      <c r="D277" t="s">
        <v>7706</v>
      </c>
      <c r="E277">
        <v>276</v>
      </c>
      <c r="F277" t="s">
        <v>7707</v>
      </c>
      <c r="G277">
        <v>51622</v>
      </c>
      <c r="H277">
        <v>266622</v>
      </c>
      <c r="I277">
        <v>-80.599999999999994</v>
      </c>
      <c r="J277">
        <v>1.03</v>
      </c>
      <c r="K277">
        <v>3.17</v>
      </c>
      <c r="L277">
        <v>-2.1</v>
      </c>
      <c r="M277">
        <v>532</v>
      </c>
      <c r="N277">
        <v>8452</v>
      </c>
      <c r="O277">
        <v>-93.7</v>
      </c>
    </row>
    <row r="278" spans="1:15" x14ac:dyDescent="0.25">
      <c r="A278" t="s">
        <v>564</v>
      </c>
      <c r="B278" t="s">
        <v>28</v>
      </c>
      <c r="C278" t="s">
        <v>7708</v>
      </c>
      <c r="D278" t="s">
        <v>7709</v>
      </c>
      <c r="E278">
        <v>277</v>
      </c>
      <c r="F278" t="s">
        <v>7710</v>
      </c>
      <c r="G278">
        <v>51502</v>
      </c>
      <c r="J278">
        <v>1.1299999999999999</v>
      </c>
      <c r="M278">
        <v>582</v>
      </c>
    </row>
    <row r="279" spans="1:15" x14ac:dyDescent="0.25">
      <c r="A279" t="s">
        <v>564</v>
      </c>
      <c r="B279" t="s">
        <v>28</v>
      </c>
      <c r="C279" t="s">
        <v>7711</v>
      </c>
      <c r="D279" t="s">
        <v>7712</v>
      </c>
      <c r="E279">
        <v>278</v>
      </c>
      <c r="F279" t="s">
        <v>7713</v>
      </c>
      <c r="G279">
        <v>50890</v>
      </c>
      <c r="H279">
        <v>501370</v>
      </c>
      <c r="I279">
        <v>-89.8</v>
      </c>
      <c r="J279">
        <v>0.72</v>
      </c>
      <c r="K279">
        <v>1.01</v>
      </c>
      <c r="L279">
        <v>-0.3</v>
      </c>
      <c r="M279">
        <v>366</v>
      </c>
      <c r="N279">
        <v>5064</v>
      </c>
      <c r="O279">
        <v>-92.8</v>
      </c>
    </row>
    <row r="280" spans="1:15" x14ac:dyDescent="0.25">
      <c r="A280" t="s">
        <v>564</v>
      </c>
      <c r="B280" t="s">
        <v>28</v>
      </c>
      <c r="C280" t="s">
        <v>7714</v>
      </c>
      <c r="D280" t="s">
        <v>7715</v>
      </c>
      <c r="E280">
        <v>279</v>
      </c>
      <c r="F280" t="s">
        <v>7716</v>
      </c>
      <c r="G280">
        <v>49768</v>
      </c>
      <c r="J280">
        <v>2.0099999999999998</v>
      </c>
      <c r="M280">
        <v>1000</v>
      </c>
    </row>
    <row r="281" spans="1:15" x14ac:dyDescent="0.25">
      <c r="A281" t="s">
        <v>564</v>
      </c>
      <c r="B281" t="s">
        <v>28</v>
      </c>
      <c r="C281" t="s">
        <v>7717</v>
      </c>
      <c r="D281" t="s">
        <v>7718</v>
      </c>
      <c r="E281">
        <v>280</v>
      </c>
      <c r="F281" t="s">
        <v>7719</v>
      </c>
      <c r="G281">
        <v>49552</v>
      </c>
      <c r="J281">
        <v>0.95</v>
      </c>
      <c r="M281">
        <v>471</v>
      </c>
    </row>
    <row r="282" spans="1:15" x14ac:dyDescent="0.25">
      <c r="A282" t="s">
        <v>564</v>
      </c>
      <c r="B282" t="s">
        <v>28</v>
      </c>
      <c r="C282" t="s">
        <v>7720</v>
      </c>
      <c r="D282" t="s">
        <v>7721</v>
      </c>
      <c r="E282">
        <v>281</v>
      </c>
      <c r="F282" t="s">
        <v>7722</v>
      </c>
      <c r="G282">
        <v>49522</v>
      </c>
      <c r="H282">
        <v>87830</v>
      </c>
      <c r="I282">
        <v>-43.6</v>
      </c>
      <c r="J282">
        <v>0.08</v>
      </c>
      <c r="K282">
        <v>0.08</v>
      </c>
      <c r="L282">
        <v>0</v>
      </c>
      <c r="M282">
        <v>40</v>
      </c>
      <c r="N282">
        <v>70</v>
      </c>
      <c r="O282">
        <v>-43.6</v>
      </c>
    </row>
    <row r="283" spans="1:15" x14ac:dyDescent="0.25">
      <c r="A283" t="s">
        <v>564</v>
      </c>
      <c r="B283" t="s">
        <v>28</v>
      </c>
      <c r="C283" t="s">
        <v>7723</v>
      </c>
      <c r="D283" t="s">
        <v>7724</v>
      </c>
      <c r="E283">
        <v>282</v>
      </c>
      <c r="F283" t="s">
        <v>7725</v>
      </c>
      <c r="G283">
        <v>48086</v>
      </c>
      <c r="H283">
        <v>197204</v>
      </c>
      <c r="I283">
        <v>-75.599999999999994</v>
      </c>
      <c r="J283">
        <v>0.84</v>
      </c>
      <c r="K283">
        <v>1.53</v>
      </c>
      <c r="L283">
        <v>-0.7</v>
      </c>
      <c r="M283">
        <v>404</v>
      </c>
      <c r="N283">
        <v>3017</v>
      </c>
      <c r="O283">
        <v>-86.6</v>
      </c>
    </row>
    <row r="284" spans="1:15" x14ac:dyDescent="0.25">
      <c r="A284" t="s">
        <v>564</v>
      </c>
      <c r="B284" t="s">
        <v>28</v>
      </c>
      <c r="C284" t="s">
        <v>7726</v>
      </c>
      <c r="D284" t="s">
        <v>7727</v>
      </c>
      <c r="E284">
        <v>283</v>
      </c>
      <c r="F284" t="s">
        <v>7728</v>
      </c>
      <c r="G284">
        <v>47757</v>
      </c>
      <c r="H284">
        <v>191583</v>
      </c>
      <c r="I284">
        <v>-75.099999999999994</v>
      </c>
      <c r="J284">
        <v>0.89</v>
      </c>
      <c r="K284">
        <v>1.32</v>
      </c>
      <c r="L284">
        <v>-0.4</v>
      </c>
      <c r="M284">
        <v>425</v>
      </c>
      <c r="N284">
        <v>2529</v>
      </c>
      <c r="O284">
        <v>-83.2</v>
      </c>
    </row>
    <row r="285" spans="1:15" x14ac:dyDescent="0.25">
      <c r="A285" t="s">
        <v>564</v>
      </c>
      <c r="B285" t="s">
        <v>28</v>
      </c>
      <c r="C285" t="s">
        <v>7729</v>
      </c>
      <c r="D285" t="s">
        <v>7730</v>
      </c>
      <c r="E285">
        <v>284</v>
      </c>
      <c r="F285" t="s">
        <v>7731</v>
      </c>
      <c r="G285">
        <v>47232</v>
      </c>
      <c r="H285">
        <v>101495</v>
      </c>
      <c r="I285">
        <v>-53.5</v>
      </c>
      <c r="J285">
        <v>0.34</v>
      </c>
      <c r="K285">
        <v>0.7</v>
      </c>
      <c r="L285">
        <v>-0.4</v>
      </c>
      <c r="M285">
        <v>161</v>
      </c>
      <c r="N285">
        <v>710</v>
      </c>
      <c r="O285">
        <v>-77.400000000000006</v>
      </c>
    </row>
    <row r="286" spans="1:15" x14ac:dyDescent="0.25">
      <c r="A286" t="s">
        <v>564</v>
      </c>
      <c r="B286" t="s">
        <v>28</v>
      </c>
      <c r="C286" t="s">
        <v>7732</v>
      </c>
      <c r="D286" t="s">
        <v>7733</v>
      </c>
      <c r="E286">
        <v>285</v>
      </c>
      <c r="F286" t="s">
        <v>7734</v>
      </c>
      <c r="G286">
        <v>46995</v>
      </c>
      <c r="J286">
        <v>2.36</v>
      </c>
      <c r="M286">
        <v>1109</v>
      </c>
    </row>
    <row r="287" spans="1:15" x14ac:dyDescent="0.25">
      <c r="A287" t="s">
        <v>564</v>
      </c>
      <c r="B287" t="s">
        <v>28</v>
      </c>
      <c r="C287" t="s">
        <v>7735</v>
      </c>
      <c r="D287" t="s">
        <v>7736</v>
      </c>
      <c r="E287">
        <v>286</v>
      </c>
      <c r="F287" t="s">
        <v>7737</v>
      </c>
      <c r="G287">
        <v>46965</v>
      </c>
      <c r="H287">
        <v>159615</v>
      </c>
      <c r="I287">
        <v>-70.599999999999994</v>
      </c>
      <c r="J287">
        <v>0.17</v>
      </c>
      <c r="K287">
        <v>0.25</v>
      </c>
      <c r="L287">
        <v>-0.1</v>
      </c>
      <c r="M287">
        <v>80</v>
      </c>
      <c r="N287">
        <v>399</v>
      </c>
      <c r="O287">
        <v>-80</v>
      </c>
    </row>
    <row r="288" spans="1:15" x14ac:dyDescent="0.25">
      <c r="A288" t="s">
        <v>564</v>
      </c>
      <c r="B288" t="s">
        <v>28</v>
      </c>
      <c r="C288" t="s">
        <v>7738</v>
      </c>
      <c r="D288" t="s">
        <v>7739</v>
      </c>
      <c r="E288">
        <v>287</v>
      </c>
      <c r="F288" t="s">
        <v>7740</v>
      </c>
      <c r="G288">
        <v>46767</v>
      </c>
      <c r="J288">
        <v>0.92</v>
      </c>
      <c r="M288">
        <v>430</v>
      </c>
    </row>
    <row r="289" spans="1:15" x14ac:dyDescent="0.25">
      <c r="A289" t="s">
        <v>564</v>
      </c>
      <c r="B289" t="s">
        <v>28</v>
      </c>
      <c r="C289" t="s">
        <v>7741</v>
      </c>
      <c r="D289" t="s">
        <v>7742</v>
      </c>
      <c r="E289">
        <v>288</v>
      </c>
      <c r="F289" t="s">
        <v>7743</v>
      </c>
      <c r="G289">
        <v>46653</v>
      </c>
      <c r="J289">
        <v>5.46</v>
      </c>
      <c r="M289">
        <v>2547</v>
      </c>
    </row>
    <row r="290" spans="1:15" x14ac:dyDescent="0.25">
      <c r="A290" t="s">
        <v>564</v>
      </c>
      <c r="B290" t="s">
        <v>28</v>
      </c>
      <c r="C290" t="s">
        <v>7744</v>
      </c>
      <c r="D290" t="s">
        <v>7745</v>
      </c>
      <c r="E290">
        <v>289</v>
      </c>
      <c r="F290" t="s">
        <v>7746</v>
      </c>
      <c r="G290">
        <v>46013</v>
      </c>
      <c r="J290">
        <v>5.5</v>
      </c>
      <c r="M290">
        <v>2531</v>
      </c>
    </row>
    <row r="291" spans="1:15" x14ac:dyDescent="0.25">
      <c r="A291" t="s">
        <v>564</v>
      </c>
      <c r="B291" t="s">
        <v>28</v>
      </c>
      <c r="C291" t="s">
        <v>7747</v>
      </c>
      <c r="D291" t="s">
        <v>7748</v>
      </c>
      <c r="E291">
        <v>290</v>
      </c>
      <c r="F291" t="s">
        <v>7749</v>
      </c>
      <c r="G291">
        <v>45816</v>
      </c>
      <c r="J291">
        <v>1.95</v>
      </c>
      <c r="M291">
        <v>893</v>
      </c>
    </row>
    <row r="292" spans="1:15" x14ac:dyDescent="0.25">
      <c r="A292" t="s">
        <v>564</v>
      </c>
      <c r="B292" t="s">
        <v>28</v>
      </c>
      <c r="C292" t="s">
        <v>7750</v>
      </c>
      <c r="D292" t="s">
        <v>7751</v>
      </c>
      <c r="E292">
        <v>291</v>
      </c>
      <c r="F292" t="s">
        <v>7752</v>
      </c>
      <c r="G292">
        <v>45753</v>
      </c>
      <c r="J292">
        <v>0.81</v>
      </c>
      <c r="M292">
        <v>371</v>
      </c>
    </row>
    <row r="293" spans="1:15" x14ac:dyDescent="0.25">
      <c r="A293" t="s">
        <v>564</v>
      </c>
      <c r="B293" t="s">
        <v>28</v>
      </c>
      <c r="C293" t="s">
        <v>7753</v>
      </c>
      <c r="D293" t="s">
        <v>7754</v>
      </c>
      <c r="E293">
        <v>292</v>
      </c>
      <c r="F293" t="s">
        <v>7755</v>
      </c>
      <c r="G293">
        <v>45752</v>
      </c>
      <c r="J293">
        <v>1.37</v>
      </c>
      <c r="M293">
        <v>627</v>
      </c>
    </row>
    <row r="294" spans="1:15" x14ac:dyDescent="0.25">
      <c r="A294" t="s">
        <v>564</v>
      </c>
      <c r="B294" t="s">
        <v>28</v>
      </c>
      <c r="C294" t="s">
        <v>7756</v>
      </c>
      <c r="D294" t="s">
        <v>7757</v>
      </c>
      <c r="E294">
        <v>293</v>
      </c>
      <c r="F294" t="s">
        <v>7758</v>
      </c>
      <c r="G294">
        <v>45449</v>
      </c>
      <c r="J294">
        <v>1.47</v>
      </c>
      <c r="M294">
        <v>668</v>
      </c>
    </row>
    <row r="295" spans="1:15" x14ac:dyDescent="0.25">
      <c r="A295" t="s">
        <v>564</v>
      </c>
      <c r="B295" t="s">
        <v>28</v>
      </c>
      <c r="C295" t="s">
        <v>7759</v>
      </c>
      <c r="D295" t="s">
        <v>7760</v>
      </c>
      <c r="E295">
        <v>294</v>
      </c>
      <c r="F295" t="s">
        <v>7761</v>
      </c>
      <c r="G295">
        <v>45186</v>
      </c>
      <c r="J295">
        <v>0.72</v>
      </c>
      <c r="M295">
        <v>325</v>
      </c>
    </row>
    <row r="296" spans="1:15" x14ac:dyDescent="0.25">
      <c r="A296" t="s">
        <v>564</v>
      </c>
      <c r="B296" t="s">
        <v>28</v>
      </c>
      <c r="C296" t="s">
        <v>7762</v>
      </c>
      <c r="D296" t="s">
        <v>7763</v>
      </c>
      <c r="E296">
        <v>295</v>
      </c>
      <c r="F296" t="s">
        <v>7764</v>
      </c>
      <c r="G296">
        <v>44465</v>
      </c>
      <c r="H296">
        <v>98565</v>
      </c>
      <c r="I296">
        <v>-54.9</v>
      </c>
      <c r="J296">
        <v>2.2000000000000002</v>
      </c>
      <c r="K296">
        <v>0.27</v>
      </c>
      <c r="L296">
        <v>1.9</v>
      </c>
      <c r="M296">
        <v>978</v>
      </c>
      <c r="N296">
        <v>266</v>
      </c>
      <c r="O296">
        <v>267.60000000000002</v>
      </c>
    </row>
    <row r="297" spans="1:15" x14ac:dyDescent="0.25">
      <c r="A297" t="s">
        <v>564</v>
      </c>
      <c r="B297" t="s">
        <v>28</v>
      </c>
      <c r="C297" t="s">
        <v>7765</v>
      </c>
      <c r="D297" t="s">
        <v>7766</v>
      </c>
      <c r="E297">
        <v>296</v>
      </c>
      <c r="F297" t="s">
        <v>7767</v>
      </c>
      <c r="G297">
        <v>42950</v>
      </c>
      <c r="H297">
        <v>75255</v>
      </c>
      <c r="I297">
        <v>-42.9</v>
      </c>
      <c r="J297">
        <v>0.91</v>
      </c>
      <c r="K297">
        <v>0.56999999999999995</v>
      </c>
      <c r="L297">
        <v>0.3</v>
      </c>
      <c r="M297">
        <v>391</v>
      </c>
      <c r="N297">
        <v>429</v>
      </c>
      <c r="O297">
        <v>-8.9</v>
      </c>
    </row>
    <row r="298" spans="1:15" x14ac:dyDescent="0.25">
      <c r="A298" t="s">
        <v>564</v>
      </c>
      <c r="B298" t="s">
        <v>28</v>
      </c>
      <c r="C298" t="s">
        <v>7768</v>
      </c>
      <c r="D298" t="s">
        <v>7769</v>
      </c>
      <c r="E298">
        <v>297</v>
      </c>
      <c r="F298" t="s">
        <v>7770</v>
      </c>
      <c r="G298">
        <v>42789</v>
      </c>
      <c r="J298">
        <v>0.6</v>
      </c>
      <c r="M298">
        <v>257</v>
      </c>
    </row>
    <row r="299" spans="1:15" x14ac:dyDescent="0.25">
      <c r="A299" t="s">
        <v>564</v>
      </c>
      <c r="B299" t="s">
        <v>28</v>
      </c>
      <c r="C299" t="s">
        <v>7771</v>
      </c>
      <c r="D299" t="s">
        <v>7772</v>
      </c>
      <c r="E299">
        <v>298</v>
      </c>
      <c r="F299" t="s">
        <v>7773</v>
      </c>
      <c r="G299">
        <v>41304</v>
      </c>
      <c r="J299">
        <v>10.08</v>
      </c>
      <c r="M299">
        <v>4163</v>
      </c>
    </row>
    <row r="300" spans="1:15" x14ac:dyDescent="0.25">
      <c r="A300" t="s">
        <v>564</v>
      </c>
      <c r="B300" t="s">
        <v>28</v>
      </c>
      <c r="C300" t="s">
        <v>7774</v>
      </c>
      <c r="D300" t="s">
        <v>7775</v>
      </c>
      <c r="E300">
        <v>299</v>
      </c>
      <c r="F300" t="s">
        <v>7776</v>
      </c>
      <c r="G300">
        <v>41009</v>
      </c>
      <c r="J300">
        <v>1.75</v>
      </c>
      <c r="M300">
        <v>718</v>
      </c>
    </row>
    <row r="301" spans="1:15" x14ac:dyDescent="0.25">
      <c r="A301" t="s">
        <v>564</v>
      </c>
      <c r="B301" t="s">
        <v>28</v>
      </c>
      <c r="C301" t="s">
        <v>7777</v>
      </c>
      <c r="D301" t="s">
        <v>7778</v>
      </c>
      <c r="E301">
        <v>300</v>
      </c>
      <c r="F301" t="s">
        <v>7779</v>
      </c>
      <c r="G301">
        <v>40635</v>
      </c>
      <c r="J301">
        <v>1.66</v>
      </c>
      <c r="M301">
        <v>675</v>
      </c>
    </row>
    <row r="302" spans="1:15" x14ac:dyDescent="0.25">
      <c r="A302" t="s">
        <v>564</v>
      </c>
      <c r="B302" t="s">
        <v>30</v>
      </c>
      <c r="C302" t="s">
        <v>1821</v>
      </c>
      <c r="D302" t="s">
        <v>7780</v>
      </c>
      <c r="E302">
        <v>1</v>
      </c>
      <c r="F302" t="s">
        <v>150</v>
      </c>
      <c r="G302">
        <v>6229666</v>
      </c>
      <c r="H302">
        <v>14210996</v>
      </c>
      <c r="I302">
        <v>-56.2</v>
      </c>
      <c r="J302">
        <v>7.76</v>
      </c>
      <c r="K302">
        <v>7.19</v>
      </c>
      <c r="L302">
        <v>0.6</v>
      </c>
      <c r="M302">
        <v>483422</v>
      </c>
      <c r="N302">
        <v>1021771</v>
      </c>
      <c r="O302">
        <v>-52.7</v>
      </c>
    </row>
    <row r="303" spans="1:15" x14ac:dyDescent="0.25">
      <c r="A303" t="s">
        <v>564</v>
      </c>
      <c r="B303" t="s">
        <v>30</v>
      </c>
      <c r="C303" t="s">
        <v>1827</v>
      </c>
      <c r="D303" t="s">
        <v>7781</v>
      </c>
      <c r="E303">
        <v>2</v>
      </c>
      <c r="F303" t="s">
        <v>391</v>
      </c>
      <c r="G303">
        <v>1787999</v>
      </c>
      <c r="H303">
        <v>1616430</v>
      </c>
      <c r="I303">
        <v>10.6</v>
      </c>
      <c r="J303">
        <v>12.13</v>
      </c>
      <c r="K303">
        <v>7.09</v>
      </c>
      <c r="L303">
        <v>5</v>
      </c>
      <c r="M303">
        <v>216884</v>
      </c>
      <c r="N303">
        <v>114605</v>
      </c>
      <c r="O303">
        <v>89.2</v>
      </c>
    </row>
    <row r="304" spans="1:15" x14ac:dyDescent="0.25">
      <c r="A304" t="s">
        <v>564</v>
      </c>
      <c r="B304" t="s">
        <v>30</v>
      </c>
      <c r="C304" t="s">
        <v>1823</v>
      </c>
      <c r="D304" t="s">
        <v>7782</v>
      </c>
      <c r="E304">
        <v>3</v>
      </c>
      <c r="F304" t="s">
        <v>4707</v>
      </c>
      <c r="G304">
        <v>1732710</v>
      </c>
      <c r="H304">
        <v>1476785</v>
      </c>
      <c r="I304">
        <v>17.3</v>
      </c>
      <c r="J304">
        <v>17.87</v>
      </c>
      <c r="K304">
        <v>14.7</v>
      </c>
      <c r="L304">
        <v>3.2</v>
      </c>
      <c r="M304">
        <v>309635</v>
      </c>
      <c r="N304">
        <v>217087</v>
      </c>
      <c r="O304">
        <v>42.6</v>
      </c>
    </row>
    <row r="305" spans="1:15" x14ac:dyDescent="0.25">
      <c r="A305" t="s">
        <v>564</v>
      </c>
      <c r="B305" t="s">
        <v>30</v>
      </c>
      <c r="C305" t="s">
        <v>1837</v>
      </c>
      <c r="D305" t="s">
        <v>7783</v>
      </c>
      <c r="E305">
        <v>4</v>
      </c>
      <c r="F305" t="s">
        <v>394</v>
      </c>
      <c r="G305">
        <v>1051806</v>
      </c>
      <c r="H305">
        <v>1139013</v>
      </c>
      <c r="I305">
        <v>-7.7</v>
      </c>
      <c r="J305">
        <v>9.02</v>
      </c>
      <c r="K305">
        <v>9.58</v>
      </c>
      <c r="L305">
        <v>-0.6</v>
      </c>
      <c r="M305">
        <v>94873</v>
      </c>
      <c r="N305">
        <v>109117</v>
      </c>
      <c r="O305">
        <v>-13.1</v>
      </c>
    </row>
    <row r="306" spans="1:15" x14ac:dyDescent="0.25">
      <c r="A306" t="s">
        <v>564</v>
      </c>
      <c r="B306" t="s">
        <v>30</v>
      </c>
      <c r="C306" t="s">
        <v>1843</v>
      </c>
      <c r="D306" t="s">
        <v>7784</v>
      </c>
      <c r="E306">
        <v>5</v>
      </c>
      <c r="F306" t="s">
        <v>392</v>
      </c>
      <c r="G306">
        <v>1051568</v>
      </c>
      <c r="J306">
        <v>2.3199999999999998</v>
      </c>
      <c r="M306">
        <v>24396</v>
      </c>
    </row>
    <row r="307" spans="1:15" x14ac:dyDescent="0.25">
      <c r="A307" t="s">
        <v>564</v>
      </c>
      <c r="B307" t="s">
        <v>30</v>
      </c>
      <c r="C307" t="s">
        <v>1839</v>
      </c>
      <c r="D307" t="s">
        <v>7785</v>
      </c>
      <c r="E307">
        <v>6</v>
      </c>
      <c r="F307" t="s">
        <v>349</v>
      </c>
      <c r="G307">
        <v>997350</v>
      </c>
      <c r="H307">
        <v>2217629</v>
      </c>
      <c r="I307">
        <v>-55</v>
      </c>
      <c r="J307">
        <v>10.42</v>
      </c>
      <c r="K307">
        <v>8.89</v>
      </c>
      <c r="L307">
        <v>1.5</v>
      </c>
      <c r="M307">
        <v>103924</v>
      </c>
      <c r="N307">
        <v>197147</v>
      </c>
      <c r="O307">
        <v>-47.3</v>
      </c>
    </row>
    <row r="308" spans="1:15" x14ac:dyDescent="0.25">
      <c r="A308" t="s">
        <v>564</v>
      </c>
      <c r="B308" t="s">
        <v>30</v>
      </c>
      <c r="C308" t="s">
        <v>1853</v>
      </c>
      <c r="D308" t="s">
        <v>7786</v>
      </c>
      <c r="E308">
        <v>7</v>
      </c>
      <c r="F308" t="s">
        <v>5146</v>
      </c>
      <c r="G308">
        <v>882342</v>
      </c>
      <c r="H308">
        <v>1144652</v>
      </c>
      <c r="I308">
        <v>-22.9</v>
      </c>
      <c r="J308">
        <v>10.91</v>
      </c>
      <c r="K308">
        <v>10.52</v>
      </c>
      <c r="L308">
        <v>0.4</v>
      </c>
      <c r="M308">
        <v>96264</v>
      </c>
      <c r="N308">
        <v>120417</v>
      </c>
      <c r="O308">
        <v>-20.100000000000001</v>
      </c>
    </row>
    <row r="309" spans="1:15" x14ac:dyDescent="0.25">
      <c r="A309" t="s">
        <v>564</v>
      </c>
      <c r="B309" t="s">
        <v>30</v>
      </c>
      <c r="C309" t="s">
        <v>1845</v>
      </c>
      <c r="D309" t="s">
        <v>7787</v>
      </c>
      <c r="E309">
        <v>8</v>
      </c>
      <c r="F309" t="s">
        <v>390</v>
      </c>
      <c r="G309">
        <v>820772</v>
      </c>
      <c r="H309">
        <v>2921688</v>
      </c>
      <c r="I309">
        <v>-71.900000000000006</v>
      </c>
      <c r="J309">
        <v>5.16</v>
      </c>
      <c r="K309">
        <v>6.4</v>
      </c>
      <c r="L309">
        <v>-1.2</v>
      </c>
      <c r="M309">
        <v>42352</v>
      </c>
      <c r="N309">
        <v>186988</v>
      </c>
      <c r="O309">
        <v>-77.400000000000006</v>
      </c>
    </row>
    <row r="310" spans="1:15" x14ac:dyDescent="0.25">
      <c r="A310" t="s">
        <v>564</v>
      </c>
      <c r="B310" t="s">
        <v>30</v>
      </c>
      <c r="C310" t="s">
        <v>1829</v>
      </c>
      <c r="D310" t="s">
        <v>7788</v>
      </c>
      <c r="E310">
        <v>9</v>
      </c>
      <c r="F310" t="s">
        <v>5709</v>
      </c>
      <c r="G310">
        <v>787008</v>
      </c>
      <c r="H310">
        <v>815192</v>
      </c>
      <c r="I310">
        <v>-3.5</v>
      </c>
      <c r="J310">
        <v>12.88</v>
      </c>
      <c r="K310">
        <v>14.43</v>
      </c>
      <c r="L310">
        <v>-1.6</v>
      </c>
      <c r="M310">
        <v>101367</v>
      </c>
      <c r="N310">
        <v>117632</v>
      </c>
      <c r="O310">
        <v>-13.8</v>
      </c>
    </row>
    <row r="311" spans="1:15" x14ac:dyDescent="0.25">
      <c r="A311" t="s">
        <v>564</v>
      </c>
      <c r="B311" t="s">
        <v>30</v>
      </c>
      <c r="C311" t="s">
        <v>1859</v>
      </c>
      <c r="D311" t="s">
        <v>7789</v>
      </c>
      <c r="E311">
        <v>10</v>
      </c>
      <c r="F311" t="s">
        <v>4415</v>
      </c>
      <c r="G311">
        <v>674633</v>
      </c>
      <c r="H311">
        <v>867497</v>
      </c>
      <c r="I311">
        <v>-22.2</v>
      </c>
      <c r="J311">
        <v>23.53</v>
      </c>
      <c r="K311">
        <v>19.21</v>
      </c>
      <c r="L311">
        <v>4.3</v>
      </c>
      <c r="M311">
        <v>158741</v>
      </c>
      <c r="N311">
        <v>166646</v>
      </c>
      <c r="O311">
        <v>-4.7</v>
      </c>
    </row>
    <row r="312" spans="1:15" x14ac:dyDescent="0.25">
      <c r="A312" t="s">
        <v>564</v>
      </c>
      <c r="B312" t="s">
        <v>30</v>
      </c>
      <c r="C312" t="s">
        <v>1864</v>
      </c>
      <c r="D312" t="s">
        <v>7790</v>
      </c>
      <c r="E312">
        <v>11</v>
      </c>
      <c r="F312" t="s">
        <v>5775</v>
      </c>
      <c r="G312">
        <v>472616</v>
      </c>
      <c r="H312">
        <v>328872</v>
      </c>
      <c r="I312">
        <v>43.7</v>
      </c>
      <c r="J312">
        <v>11.52</v>
      </c>
      <c r="K312">
        <v>9.6</v>
      </c>
      <c r="L312">
        <v>1.9</v>
      </c>
      <c r="M312">
        <v>54445</v>
      </c>
      <c r="N312">
        <v>31572</v>
      </c>
      <c r="O312">
        <v>72.400000000000006</v>
      </c>
    </row>
    <row r="313" spans="1:15" x14ac:dyDescent="0.25">
      <c r="A313" t="s">
        <v>564</v>
      </c>
      <c r="B313" t="s">
        <v>30</v>
      </c>
      <c r="C313" t="s">
        <v>1873</v>
      </c>
      <c r="D313" t="s">
        <v>7791</v>
      </c>
      <c r="E313">
        <v>12</v>
      </c>
      <c r="F313" t="s">
        <v>6377</v>
      </c>
      <c r="G313">
        <v>345743</v>
      </c>
      <c r="J313">
        <v>11.2</v>
      </c>
      <c r="M313">
        <v>38723</v>
      </c>
    </row>
    <row r="314" spans="1:15" x14ac:dyDescent="0.25">
      <c r="A314" t="s">
        <v>564</v>
      </c>
      <c r="B314" t="s">
        <v>30</v>
      </c>
      <c r="C314" t="s">
        <v>1882</v>
      </c>
      <c r="D314" t="s">
        <v>7792</v>
      </c>
      <c r="E314">
        <v>13</v>
      </c>
      <c r="F314" t="s">
        <v>6122</v>
      </c>
      <c r="G314">
        <v>307313</v>
      </c>
      <c r="H314">
        <v>330214</v>
      </c>
      <c r="I314">
        <v>-6.9</v>
      </c>
      <c r="J314">
        <v>11.3</v>
      </c>
      <c r="K314">
        <v>6.36</v>
      </c>
      <c r="L314">
        <v>4.9000000000000004</v>
      </c>
      <c r="M314">
        <v>34726</v>
      </c>
      <c r="N314">
        <v>21002</v>
      </c>
      <c r="O314">
        <v>65.400000000000006</v>
      </c>
    </row>
    <row r="315" spans="1:15" x14ac:dyDescent="0.25">
      <c r="A315" t="s">
        <v>564</v>
      </c>
      <c r="B315" t="s">
        <v>30</v>
      </c>
      <c r="C315" t="s">
        <v>1878</v>
      </c>
      <c r="D315" t="s">
        <v>7793</v>
      </c>
      <c r="E315">
        <v>14</v>
      </c>
      <c r="F315" t="s">
        <v>393</v>
      </c>
      <c r="G315">
        <v>297872</v>
      </c>
      <c r="H315">
        <v>464245</v>
      </c>
      <c r="I315">
        <v>-35.799999999999997</v>
      </c>
      <c r="J315">
        <v>13.36</v>
      </c>
      <c r="K315">
        <v>8.84</v>
      </c>
      <c r="L315">
        <v>4.5</v>
      </c>
      <c r="M315">
        <v>39796</v>
      </c>
      <c r="N315">
        <v>41039</v>
      </c>
      <c r="O315">
        <v>-3</v>
      </c>
    </row>
    <row r="316" spans="1:15" x14ac:dyDescent="0.25">
      <c r="A316" t="s">
        <v>564</v>
      </c>
      <c r="B316" t="s">
        <v>30</v>
      </c>
      <c r="C316" t="s">
        <v>1892</v>
      </c>
      <c r="D316" t="s">
        <v>7794</v>
      </c>
      <c r="E316">
        <v>15</v>
      </c>
      <c r="F316" t="s">
        <v>6025</v>
      </c>
      <c r="G316">
        <v>286484</v>
      </c>
      <c r="H316">
        <v>705026</v>
      </c>
      <c r="I316">
        <v>-59.4</v>
      </c>
      <c r="J316">
        <v>15.79</v>
      </c>
      <c r="K316">
        <v>19.18</v>
      </c>
      <c r="L316">
        <v>-3.4</v>
      </c>
      <c r="M316">
        <v>45236</v>
      </c>
      <c r="N316">
        <v>135224</v>
      </c>
      <c r="O316">
        <v>-66.5</v>
      </c>
    </row>
    <row r="317" spans="1:15" x14ac:dyDescent="0.25">
      <c r="A317" t="s">
        <v>564</v>
      </c>
      <c r="B317" t="s">
        <v>30</v>
      </c>
      <c r="C317" t="s">
        <v>1898</v>
      </c>
      <c r="D317" t="s">
        <v>7795</v>
      </c>
      <c r="E317">
        <v>16</v>
      </c>
      <c r="F317" t="s">
        <v>6134</v>
      </c>
      <c r="G317">
        <v>267606</v>
      </c>
      <c r="H317">
        <v>272024</v>
      </c>
      <c r="I317">
        <v>-1.6</v>
      </c>
      <c r="J317">
        <v>13.83</v>
      </c>
      <c r="K317">
        <v>17.22</v>
      </c>
      <c r="L317">
        <v>-3.4</v>
      </c>
      <c r="M317">
        <v>37010</v>
      </c>
      <c r="N317">
        <v>46843</v>
      </c>
      <c r="O317">
        <v>-21</v>
      </c>
    </row>
    <row r="318" spans="1:15" x14ac:dyDescent="0.25">
      <c r="A318" t="s">
        <v>564</v>
      </c>
      <c r="B318" t="s">
        <v>30</v>
      </c>
      <c r="C318" t="s">
        <v>1903</v>
      </c>
      <c r="D318" t="s">
        <v>7796</v>
      </c>
      <c r="E318">
        <v>17</v>
      </c>
      <c r="F318" t="s">
        <v>5721</v>
      </c>
      <c r="G318">
        <v>265448</v>
      </c>
      <c r="H318">
        <v>81704</v>
      </c>
      <c r="I318">
        <v>224.9</v>
      </c>
      <c r="J318">
        <v>23.68</v>
      </c>
      <c r="K318">
        <v>13.43</v>
      </c>
      <c r="L318">
        <v>10.3</v>
      </c>
      <c r="M318">
        <v>62858</v>
      </c>
      <c r="N318">
        <v>10973</v>
      </c>
      <c r="O318">
        <v>472.9</v>
      </c>
    </row>
    <row r="319" spans="1:15" x14ac:dyDescent="0.25">
      <c r="A319" t="s">
        <v>564</v>
      </c>
      <c r="B319" t="s">
        <v>30</v>
      </c>
      <c r="C319" t="s">
        <v>1888</v>
      </c>
      <c r="D319" t="s">
        <v>7797</v>
      </c>
      <c r="E319">
        <v>18</v>
      </c>
      <c r="F319" t="s">
        <v>5734</v>
      </c>
      <c r="G319">
        <v>263049</v>
      </c>
      <c r="J319">
        <v>2.82</v>
      </c>
      <c r="M319">
        <v>7418</v>
      </c>
    </row>
    <row r="320" spans="1:15" x14ac:dyDescent="0.25">
      <c r="A320" t="s">
        <v>564</v>
      </c>
      <c r="B320" t="s">
        <v>30</v>
      </c>
      <c r="C320" t="s">
        <v>1894</v>
      </c>
      <c r="D320" t="s">
        <v>7798</v>
      </c>
      <c r="E320">
        <v>19</v>
      </c>
      <c r="F320" t="s">
        <v>5751</v>
      </c>
      <c r="G320">
        <v>246952</v>
      </c>
      <c r="H320">
        <v>46592</v>
      </c>
      <c r="I320">
        <v>430</v>
      </c>
      <c r="J320">
        <v>7.12</v>
      </c>
      <c r="K320">
        <v>3.06</v>
      </c>
      <c r="L320">
        <v>4.0999999999999996</v>
      </c>
      <c r="M320">
        <v>17583</v>
      </c>
      <c r="N320">
        <v>1426</v>
      </c>
      <c r="O320">
        <v>1133.3</v>
      </c>
    </row>
    <row r="321" spans="1:15" x14ac:dyDescent="0.25">
      <c r="A321" t="s">
        <v>564</v>
      </c>
      <c r="B321" t="s">
        <v>30</v>
      </c>
      <c r="C321" t="s">
        <v>1914</v>
      </c>
      <c r="D321" t="s">
        <v>7799</v>
      </c>
      <c r="E321">
        <v>20</v>
      </c>
      <c r="F321" t="s">
        <v>5948</v>
      </c>
      <c r="G321">
        <v>246190</v>
      </c>
      <c r="H321">
        <v>95913</v>
      </c>
      <c r="I321">
        <v>156.69999999999999</v>
      </c>
      <c r="J321">
        <v>1.84</v>
      </c>
      <c r="K321">
        <v>8.42</v>
      </c>
      <c r="L321">
        <v>-6.6</v>
      </c>
      <c r="M321">
        <v>4530</v>
      </c>
      <c r="N321">
        <v>8076</v>
      </c>
      <c r="O321">
        <v>-43.9</v>
      </c>
    </row>
    <row r="322" spans="1:15" x14ac:dyDescent="0.25">
      <c r="A322" t="s">
        <v>564</v>
      </c>
      <c r="B322" t="s">
        <v>30</v>
      </c>
      <c r="C322" t="s">
        <v>1923</v>
      </c>
      <c r="D322" t="s">
        <v>7800</v>
      </c>
      <c r="E322">
        <v>21</v>
      </c>
      <c r="F322" t="s">
        <v>5854</v>
      </c>
      <c r="G322">
        <v>219306</v>
      </c>
      <c r="J322">
        <v>11.54</v>
      </c>
      <c r="M322">
        <v>25308</v>
      </c>
    </row>
    <row r="323" spans="1:15" x14ac:dyDescent="0.25">
      <c r="A323" t="s">
        <v>564</v>
      </c>
      <c r="B323" t="s">
        <v>30</v>
      </c>
      <c r="C323" t="s">
        <v>1928</v>
      </c>
      <c r="D323" t="s">
        <v>7801</v>
      </c>
      <c r="E323">
        <v>22</v>
      </c>
      <c r="F323" t="s">
        <v>5846</v>
      </c>
      <c r="G323">
        <v>183422</v>
      </c>
      <c r="H323">
        <v>50499</v>
      </c>
      <c r="I323">
        <v>263.2</v>
      </c>
      <c r="J323">
        <v>4.84</v>
      </c>
      <c r="K323">
        <v>6.87</v>
      </c>
      <c r="L323">
        <v>-2</v>
      </c>
      <c r="M323">
        <v>8878</v>
      </c>
      <c r="N323">
        <v>3469</v>
      </c>
      <c r="O323">
        <v>155.9</v>
      </c>
    </row>
    <row r="324" spans="1:15" x14ac:dyDescent="0.25">
      <c r="A324" t="s">
        <v>564</v>
      </c>
      <c r="B324" t="s">
        <v>30</v>
      </c>
      <c r="C324" t="s">
        <v>1934</v>
      </c>
      <c r="D324" t="s">
        <v>7802</v>
      </c>
      <c r="E324">
        <v>23</v>
      </c>
      <c r="F324" t="s">
        <v>6414</v>
      </c>
      <c r="G324">
        <v>179424</v>
      </c>
      <c r="H324">
        <v>355218</v>
      </c>
      <c r="I324">
        <v>-49.5</v>
      </c>
      <c r="J324">
        <v>18.39</v>
      </c>
      <c r="K324">
        <v>16.36</v>
      </c>
      <c r="L324">
        <v>2</v>
      </c>
      <c r="M324">
        <v>32996</v>
      </c>
      <c r="N324">
        <v>58114</v>
      </c>
      <c r="O324">
        <v>-43.2</v>
      </c>
    </row>
    <row r="325" spans="1:15" x14ac:dyDescent="0.25">
      <c r="A325" t="s">
        <v>564</v>
      </c>
      <c r="B325" t="s">
        <v>30</v>
      </c>
      <c r="C325" t="s">
        <v>1919</v>
      </c>
      <c r="D325" t="s">
        <v>7803</v>
      </c>
      <c r="E325">
        <v>24</v>
      </c>
      <c r="F325" t="s">
        <v>5984</v>
      </c>
      <c r="G325">
        <v>168056</v>
      </c>
      <c r="H325">
        <v>57116</v>
      </c>
      <c r="I325">
        <v>194.2</v>
      </c>
      <c r="J325">
        <v>11</v>
      </c>
      <c r="K325">
        <v>8.89</v>
      </c>
      <c r="L325">
        <v>2.1</v>
      </c>
      <c r="M325">
        <v>18486</v>
      </c>
      <c r="N325">
        <v>5078</v>
      </c>
      <c r="O325">
        <v>264.10000000000002</v>
      </c>
    </row>
    <row r="326" spans="1:15" x14ac:dyDescent="0.25">
      <c r="A326" t="s">
        <v>564</v>
      </c>
      <c r="B326" t="s">
        <v>30</v>
      </c>
      <c r="C326" t="s">
        <v>1940</v>
      </c>
      <c r="D326" t="s">
        <v>7804</v>
      </c>
      <c r="E326">
        <v>25</v>
      </c>
      <c r="F326" t="s">
        <v>5822</v>
      </c>
      <c r="G326">
        <v>162536</v>
      </c>
      <c r="H326">
        <v>119835</v>
      </c>
      <c r="I326">
        <v>35.6</v>
      </c>
      <c r="J326">
        <v>7.13</v>
      </c>
      <c r="K326">
        <v>5.6</v>
      </c>
      <c r="L326">
        <v>1.5</v>
      </c>
      <c r="M326">
        <v>11589</v>
      </c>
      <c r="N326">
        <v>6711</v>
      </c>
      <c r="O326">
        <v>72.7</v>
      </c>
    </row>
    <row r="327" spans="1:15" x14ac:dyDescent="0.25">
      <c r="A327" t="s">
        <v>564</v>
      </c>
      <c r="B327" t="s">
        <v>30</v>
      </c>
      <c r="C327" t="s">
        <v>1948</v>
      </c>
      <c r="D327" t="s">
        <v>7805</v>
      </c>
      <c r="E327">
        <v>26</v>
      </c>
      <c r="F327" t="s">
        <v>5897</v>
      </c>
      <c r="G327">
        <v>157145</v>
      </c>
      <c r="H327">
        <v>220923</v>
      </c>
      <c r="I327">
        <v>-28.9</v>
      </c>
      <c r="J327">
        <v>3.77</v>
      </c>
      <c r="K327">
        <v>12.85</v>
      </c>
      <c r="L327">
        <v>-9.1</v>
      </c>
      <c r="M327">
        <v>5924</v>
      </c>
      <c r="N327">
        <v>28389</v>
      </c>
      <c r="O327">
        <v>-79.099999999999994</v>
      </c>
    </row>
    <row r="328" spans="1:15" x14ac:dyDescent="0.25">
      <c r="A328" t="s">
        <v>564</v>
      </c>
      <c r="B328" t="s">
        <v>30</v>
      </c>
      <c r="C328" t="s">
        <v>1930</v>
      </c>
      <c r="D328" t="s">
        <v>7806</v>
      </c>
      <c r="E328">
        <v>27</v>
      </c>
      <c r="F328" t="s">
        <v>6098</v>
      </c>
      <c r="G328">
        <v>152044</v>
      </c>
      <c r="H328">
        <v>110976</v>
      </c>
      <c r="I328">
        <v>37</v>
      </c>
      <c r="J328">
        <v>6.12</v>
      </c>
      <c r="K328">
        <v>2.98</v>
      </c>
      <c r="L328">
        <v>3.1</v>
      </c>
      <c r="M328">
        <v>9305</v>
      </c>
      <c r="N328">
        <v>3307</v>
      </c>
      <c r="O328">
        <v>181.4</v>
      </c>
    </row>
    <row r="329" spans="1:15" x14ac:dyDescent="0.25">
      <c r="A329" t="s">
        <v>564</v>
      </c>
      <c r="B329" t="s">
        <v>30</v>
      </c>
      <c r="C329" t="s">
        <v>1958</v>
      </c>
      <c r="D329" t="s">
        <v>7807</v>
      </c>
      <c r="E329">
        <v>28</v>
      </c>
      <c r="F329" t="s">
        <v>6216</v>
      </c>
      <c r="G329">
        <v>150549</v>
      </c>
      <c r="H329">
        <v>155340</v>
      </c>
      <c r="I329">
        <v>-3.1</v>
      </c>
      <c r="J329">
        <v>7.2</v>
      </c>
      <c r="K329">
        <v>5.3</v>
      </c>
      <c r="L329">
        <v>1.9</v>
      </c>
      <c r="M329">
        <v>10840</v>
      </c>
      <c r="N329">
        <v>8233</v>
      </c>
      <c r="O329">
        <v>31.7</v>
      </c>
    </row>
    <row r="330" spans="1:15" x14ac:dyDescent="0.25">
      <c r="A330" t="s">
        <v>564</v>
      </c>
      <c r="B330" t="s">
        <v>30</v>
      </c>
      <c r="C330" t="s">
        <v>1963</v>
      </c>
      <c r="D330" t="s">
        <v>7808</v>
      </c>
      <c r="E330">
        <v>29</v>
      </c>
      <c r="F330" t="s">
        <v>3528</v>
      </c>
      <c r="G330">
        <v>149827</v>
      </c>
      <c r="H330">
        <v>2250</v>
      </c>
      <c r="I330">
        <v>6559</v>
      </c>
      <c r="J330">
        <v>14.09</v>
      </c>
      <c r="K330">
        <v>11.1</v>
      </c>
      <c r="L330">
        <v>3</v>
      </c>
      <c r="M330">
        <v>21111</v>
      </c>
      <c r="N330">
        <v>250</v>
      </c>
      <c r="O330">
        <v>8352.7000000000007</v>
      </c>
    </row>
    <row r="331" spans="1:15" x14ac:dyDescent="0.25">
      <c r="A331" t="s">
        <v>564</v>
      </c>
      <c r="B331" t="s">
        <v>30</v>
      </c>
      <c r="C331" t="s">
        <v>1968</v>
      </c>
      <c r="D331" t="s">
        <v>7809</v>
      </c>
      <c r="E331">
        <v>30</v>
      </c>
      <c r="F331" t="s">
        <v>5955</v>
      </c>
      <c r="G331">
        <v>137516</v>
      </c>
      <c r="H331">
        <v>60362</v>
      </c>
      <c r="I331">
        <v>127.8</v>
      </c>
      <c r="J331">
        <v>6.89</v>
      </c>
      <c r="K331">
        <v>4.6100000000000003</v>
      </c>
      <c r="L331">
        <v>2.2999999999999998</v>
      </c>
      <c r="M331">
        <v>9475</v>
      </c>
      <c r="N331">
        <v>2783</v>
      </c>
      <c r="O331">
        <v>240.5</v>
      </c>
    </row>
    <row r="332" spans="1:15" x14ac:dyDescent="0.25">
      <c r="A332" t="s">
        <v>564</v>
      </c>
      <c r="B332" t="s">
        <v>30</v>
      </c>
      <c r="C332" t="s">
        <v>1973</v>
      </c>
      <c r="D332" t="s">
        <v>7810</v>
      </c>
      <c r="E332">
        <v>31</v>
      </c>
      <c r="F332" t="s">
        <v>3519</v>
      </c>
      <c r="G332">
        <v>129988</v>
      </c>
      <c r="H332">
        <v>218274</v>
      </c>
      <c r="I332">
        <v>-40.4</v>
      </c>
      <c r="J332">
        <v>7.91</v>
      </c>
      <c r="K332">
        <v>9.35</v>
      </c>
      <c r="L332">
        <v>-1.4</v>
      </c>
      <c r="M332">
        <v>10282</v>
      </c>
      <c r="N332">
        <v>20409</v>
      </c>
      <c r="O332">
        <v>-49.6</v>
      </c>
    </row>
    <row r="333" spans="1:15" x14ac:dyDescent="0.25">
      <c r="A333" t="s">
        <v>564</v>
      </c>
      <c r="B333" t="s">
        <v>30</v>
      </c>
      <c r="C333" t="s">
        <v>1978</v>
      </c>
      <c r="D333" t="s">
        <v>7811</v>
      </c>
      <c r="E333">
        <v>32</v>
      </c>
      <c r="F333" t="s">
        <v>6233</v>
      </c>
      <c r="G333">
        <v>126516</v>
      </c>
      <c r="H333">
        <v>206304</v>
      </c>
      <c r="I333">
        <v>-38.700000000000003</v>
      </c>
      <c r="J333">
        <v>10.77</v>
      </c>
      <c r="K333">
        <v>10.210000000000001</v>
      </c>
      <c r="L333">
        <v>0.6</v>
      </c>
      <c r="M333">
        <v>13626</v>
      </c>
      <c r="N333">
        <v>21064</v>
      </c>
      <c r="O333">
        <v>-35.299999999999997</v>
      </c>
    </row>
    <row r="334" spans="1:15" x14ac:dyDescent="0.25">
      <c r="A334" t="s">
        <v>564</v>
      </c>
      <c r="B334" t="s">
        <v>30</v>
      </c>
      <c r="C334" t="s">
        <v>1905</v>
      </c>
      <c r="D334" t="s">
        <v>7812</v>
      </c>
      <c r="E334">
        <v>33</v>
      </c>
      <c r="F334" t="s">
        <v>6052</v>
      </c>
      <c r="G334">
        <v>123527</v>
      </c>
      <c r="H334">
        <v>99373</v>
      </c>
      <c r="I334">
        <v>24.3</v>
      </c>
      <c r="J334">
        <v>8.0299999999999994</v>
      </c>
      <c r="K334">
        <v>7.96</v>
      </c>
      <c r="L334">
        <v>0.1</v>
      </c>
      <c r="M334">
        <v>9919</v>
      </c>
      <c r="N334">
        <v>7910</v>
      </c>
      <c r="O334">
        <v>25.4</v>
      </c>
    </row>
    <row r="335" spans="1:15" x14ac:dyDescent="0.25">
      <c r="A335" t="s">
        <v>564</v>
      </c>
      <c r="B335" t="s">
        <v>30</v>
      </c>
      <c r="C335" t="s">
        <v>1987</v>
      </c>
      <c r="D335" t="s">
        <v>7813</v>
      </c>
      <c r="E335">
        <v>34</v>
      </c>
      <c r="F335" t="s">
        <v>6270</v>
      </c>
      <c r="G335">
        <v>118746</v>
      </c>
      <c r="H335">
        <v>50555</v>
      </c>
      <c r="I335">
        <v>134.9</v>
      </c>
      <c r="J335">
        <v>6.43</v>
      </c>
      <c r="K335">
        <v>3.58</v>
      </c>
      <c r="L335">
        <v>2.9</v>
      </c>
      <c r="M335">
        <v>7635</v>
      </c>
      <c r="N335">
        <v>1810</v>
      </c>
      <c r="O335">
        <v>321.89999999999998</v>
      </c>
    </row>
    <row r="336" spans="1:15" x14ac:dyDescent="0.25">
      <c r="A336" t="s">
        <v>564</v>
      </c>
      <c r="B336" t="s">
        <v>30</v>
      </c>
      <c r="C336" t="s">
        <v>1992</v>
      </c>
      <c r="D336" t="s">
        <v>7814</v>
      </c>
      <c r="E336">
        <v>35</v>
      </c>
      <c r="F336" t="s">
        <v>6628</v>
      </c>
      <c r="G336">
        <v>115078</v>
      </c>
      <c r="H336">
        <v>190742</v>
      </c>
      <c r="I336">
        <v>-39.700000000000003</v>
      </c>
      <c r="J336">
        <v>16.47</v>
      </c>
      <c r="K336">
        <v>18.559999999999999</v>
      </c>
      <c r="L336">
        <v>-2.1</v>
      </c>
      <c r="M336">
        <v>18953</v>
      </c>
      <c r="N336">
        <v>35402</v>
      </c>
      <c r="O336">
        <v>-46.5</v>
      </c>
    </row>
    <row r="337" spans="1:15" x14ac:dyDescent="0.25">
      <c r="A337" t="s">
        <v>564</v>
      </c>
      <c r="B337" t="s">
        <v>30</v>
      </c>
      <c r="C337" t="s">
        <v>1954</v>
      </c>
      <c r="D337" t="s">
        <v>7815</v>
      </c>
      <c r="E337">
        <v>36</v>
      </c>
      <c r="F337" t="s">
        <v>6141</v>
      </c>
      <c r="G337">
        <v>112736</v>
      </c>
      <c r="J337">
        <v>5.19</v>
      </c>
      <c r="M337">
        <v>5851</v>
      </c>
    </row>
    <row r="338" spans="1:15" x14ac:dyDescent="0.25">
      <c r="A338" t="s">
        <v>564</v>
      </c>
      <c r="B338" t="s">
        <v>30</v>
      </c>
      <c r="C338" t="s">
        <v>1998</v>
      </c>
      <c r="D338" t="s">
        <v>7816</v>
      </c>
      <c r="E338">
        <v>37</v>
      </c>
      <c r="F338" t="s">
        <v>5936</v>
      </c>
      <c r="G338">
        <v>106250</v>
      </c>
      <c r="J338">
        <v>7.8</v>
      </c>
      <c r="M338">
        <v>8288</v>
      </c>
    </row>
    <row r="339" spans="1:15" x14ac:dyDescent="0.25">
      <c r="A339" t="s">
        <v>564</v>
      </c>
      <c r="B339" t="s">
        <v>30</v>
      </c>
      <c r="C339" t="s">
        <v>2003</v>
      </c>
      <c r="D339" t="s">
        <v>7817</v>
      </c>
      <c r="E339">
        <v>38</v>
      </c>
      <c r="F339" t="s">
        <v>6068</v>
      </c>
      <c r="G339">
        <v>94774</v>
      </c>
      <c r="H339">
        <v>89950</v>
      </c>
      <c r="I339">
        <v>5.4</v>
      </c>
      <c r="J339">
        <v>4.75</v>
      </c>
      <c r="K339">
        <v>6.42</v>
      </c>
      <c r="L339">
        <v>-1.7</v>
      </c>
      <c r="M339">
        <v>4502</v>
      </c>
      <c r="N339">
        <v>5775</v>
      </c>
      <c r="O339">
        <v>-22</v>
      </c>
    </row>
    <row r="340" spans="1:15" x14ac:dyDescent="0.25">
      <c r="A340" t="s">
        <v>564</v>
      </c>
      <c r="B340" t="s">
        <v>30</v>
      </c>
      <c r="C340" t="s">
        <v>2011</v>
      </c>
      <c r="D340" t="s">
        <v>7818</v>
      </c>
      <c r="E340">
        <v>39</v>
      </c>
      <c r="F340" t="s">
        <v>6075</v>
      </c>
      <c r="G340">
        <v>89609</v>
      </c>
      <c r="H340">
        <v>145048</v>
      </c>
      <c r="I340">
        <v>-38.200000000000003</v>
      </c>
      <c r="J340">
        <v>11.06</v>
      </c>
      <c r="K340">
        <v>12.15</v>
      </c>
      <c r="L340">
        <v>-1.1000000000000001</v>
      </c>
      <c r="M340">
        <v>9911</v>
      </c>
      <c r="N340">
        <v>17623</v>
      </c>
      <c r="O340">
        <v>-43.8</v>
      </c>
    </row>
    <row r="341" spans="1:15" x14ac:dyDescent="0.25">
      <c r="A341" t="s">
        <v>564</v>
      </c>
      <c r="B341" t="s">
        <v>30</v>
      </c>
      <c r="C341" t="s">
        <v>2016</v>
      </c>
      <c r="D341" t="s">
        <v>7819</v>
      </c>
      <c r="E341">
        <v>40</v>
      </c>
      <c r="F341" t="s">
        <v>3569</v>
      </c>
      <c r="G341">
        <v>88797</v>
      </c>
      <c r="H341">
        <v>203126</v>
      </c>
      <c r="I341">
        <v>-56.3</v>
      </c>
      <c r="J341">
        <v>2.9</v>
      </c>
      <c r="K341">
        <v>9.17</v>
      </c>
      <c r="L341">
        <v>-6.3</v>
      </c>
      <c r="M341">
        <v>2575</v>
      </c>
      <c r="N341">
        <v>18627</v>
      </c>
      <c r="O341">
        <v>-86.2</v>
      </c>
    </row>
    <row r="342" spans="1:15" x14ac:dyDescent="0.25">
      <c r="A342" t="s">
        <v>564</v>
      </c>
      <c r="B342" t="s">
        <v>30</v>
      </c>
      <c r="C342" t="s">
        <v>2022</v>
      </c>
      <c r="D342" t="s">
        <v>7820</v>
      </c>
      <c r="E342">
        <v>41</v>
      </c>
      <c r="F342" t="s">
        <v>5867</v>
      </c>
      <c r="G342">
        <v>87625</v>
      </c>
      <c r="J342">
        <v>15.26</v>
      </c>
      <c r="M342">
        <v>13372</v>
      </c>
    </row>
    <row r="343" spans="1:15" x14ac:dyDescent="0.25">
      <c r="A343" t="s">
        <v>564</v>
      </c>
      <c r="B343" t="s">
        <v>30</v>
      </c>
      <c r="C343" t="s">
        <v>2027</v>
      </c>
      <c r="D343" t="s">
        <v>7821</v>
      </c>
      <c r="E343">
        <v>42</v>
      </c>
      <c r="F343" t="s">
        <v>6325</v>
      </c>
      <c r="G343">
        <v>86778</v>
      </c>
      <c r="H343">
        <v>104940</v>
      </c>
      <c r="I343">
        <v>-17.3</v>
      </c>
      <c r="J343">
        <v>5.54</v>
      </c>
      <c r="K343">
        <v>4.3099999999999996</v>
      </c>
      <c r="L343">
        <v>1.2</v>
      </c>
      <c r="M343">
        <v>4808</v>
      </c>
      <c r="N343">
        <v>4523</v>
      </c>
      <c r="O343">
        <v>6.3</v>
      </c>
    </row>
    <row r="344" spans="1:15" x14ac:dyDescent="0.25">
      <c r="A344" t="s">
        <v>564</v>
      </c>
      <c r="B344" t="s">
        <v>30</v>
      </c>
      <c r="C344" t="s">
        <v>2032</v>
      </c>
      <c r="D344" t="s">
        <v>7822</v>
      </c>
      <c r="E344">
        <v>43</v>
      </c>
      <c r="F344" t="s">
        <v>6449</v>
      </c>
      <c r="G344">
        <v>86468</v>
      </c>
      <c r="J344">
        <v>7.39</v>
      </c>
      <c r="M344">
        <v>6390</v>
      </c>
    </row>
    <row r="345" spans="1:15" x14ac:dyDescent="0.25">
      <c r="A345" t="s">
        <v>564</v>
      </c>
      <c r="B345" t="s">
        <v>30</v>
      </c>
      <c r="C345" t="s">
        <v>2037</v>
      </c>
      <c r="D345" t="s">
        <v>7823</v>
      </c>
      <c r="E345">
        <v>44</v>
      </c>
      <c r="F345" t="s">
        <v>5929</v>
      </c>
      <c r="G345">
        <v>80545</v>
      </c>
      <c r="J345">
        <v>4.29</v>
      </c>
      <c r="M345">
        <v>3455</v>
      </c>
    </row>
    <row r="346" spans="1:15" x14ac:dyDescent="0.25">
      <c r="A346" t="s">
        <v>564</v>
      </c>
      <c r="B346" t="s">
        <v>30</v>
      </c>
      <c r="C346" t="s">
        <v>2041</v>
      </c>
      <c r="D346" t="s">
        <v>7824</v>
      </c>
      <c r="E346">
        <v>45</v>
      </c>
      <c r="F346" t="s">
        <v>6405</v>
      </c>
      <c r="G346">
        <v>75400</v>
      </c>
      <c r="H346">
        <v>79575</v>
      </c>
      <c r="I346">
        <v>-5.2</v>
      </c>
      <c r="J346">
        <v>10.29</v>
      </c>
      <c r="K346">
        <v>11.06</v>
      </c>
      <c r="L346">
        <v>-0.8</v>
      </c>
      <c r="M346">
        <v>7759</v>
      </c>
      <c r="N346">
        <v>8801</v>
      </c>
      <c r="O346">
        <v>-11.8</v>
      </c>
    </row>
    <row r="347" spans="1:15" x14ac:dyDescent="0.25">
      <c r="A347" t="s">
        <v>564</v>
      </c>
      <c r="B347" t="s">
        <v>30</v>
      </c>
      <c r="C347" t="s">
        <v>2046</v>
      </c>
      <c r="D347" t="s">
        <v>7825</v>
      </c>
      <c r="E347">
        <v>46</v>
      </c>
      <c r="F347" t="s">
        <v>6299</v>
      </c>
      <c r="G347">
        <v>74313</v>
      </c>
      <c r="J347">
        <v>13.16</v>
      </c>
      <c r="M347">
        <v>9780</v>
      </c>
    </row>
    <row r="348" spans="1:15" x14ac:dyDescent="0.25">
      <c r="A348" t="s">
        <v>564</v>
      </c>
      <c r="B348" t="s">
        <v>30</v>
      </c>
      <c r="C348" t="s">
        <v>2051</v>
      </c>
      <c r="D348" t="s">
        <v>7826</v>
      </c>
      <c r="E348">
        <v>47</v>
      </c>
      <c r="F348" t="s">
        <v>6011</v>
      </c>
      <c r="G348">
        <v>71555</v>
      </c>
      <c r="H348">
        <v>40844</v>
      </c>
      <c r="I348">
        <v>75.2</v>
      </c>
      <c r="J348">
        <v>9.4</v>
      </c>
      <c r="K348">
        <v>9.0500000000000007</v>
      </c>
      <c r="L348">
        <v>0.4</v>
      </c>
      <c r="M348">
        <v>6726</v>
      </c>
      <c r="N348">
        <v>3696</v>
      </c>
      <c r="O348">
        <v>82</v>
      </c>
    </row>
    <row r="349" spans="1:15" x14ac:dyDescent="0.25">
      <c r="A349" t="s">
        <v>564</v>
      </c>
      <c r="B349" t="s">
        <v>30</v>
      </c>
      <c r="C349" t="s">
        <v>2056</v>
      </c>
      <c r="D349" t="s">
        <v>7827</v>
      </c>
      <c r="E349">
        <v>48</v>
      </c>
      <c r="F349" t="s">
        <v>7828</v>
      </c>
      <c r="G349">
        <v>70889</v>
      </c>
      <c r="H349">
        <v>109131</v>
      </c>
      <c r="I349">
        <v>-35</v>
      </c>
      <c r="J349">
        <v>14.14</v>
      </c>
      <c r="K349">
        <v>11.1</v>
      </c>
      <c r="L349">
        <v>3</v>
      </c>
      <c r="M349">
        <v>10024</v>
      </c>
      <c r="N349">
        <v>12114</v>
      </c>
      <c r="O349">
        <v>-17.3</v>
      </c>
    </row>
    <row r="350" spans="1:15" x14ac:dyDescent="0.25">
      <c r="A350" t="s">
        <v>564</v>
      </c>
      <c r="B350" t="s">
        <v>30</v>
      </c>
      <c r="C350" t="s">
        <v>2061</v>
      </c>
      <c r="D350" t="s">
        <v>7829</v>
      </c>
      <c r="E350">
        <v>49</v>
      </c>
      <c r="F350" t="s">
        <v>6256</v>
      </c>
      <c r="G350">
        <v>68503</v>
      </c>
      <c r="H350">
        <v>40798</v>
      </c>
      <c r="I350">
        <v>67.900000000000006</v>
      </c>
      <c r="J350">
        <v>10.52</v>
      </c>
      <c r="K350">
        <v>3.89</v>
      </c>
      <c r="L350">
        <v>6.6</v>
      </c>
      <c r="M350">
        <v>7207</v>
      </c>
      <c r="N350">
        <v>1587</v>
      </c>
      <c r="O350">
        <v>354.1</v>
      </c>
    </row>
    <row r="351" spans="1:15" x14ac:dyDescent="0.25">
      <c r="A351" t="s">
        <v>564</v>
      </c>
      <c r="B351" t="s">
        <v>30</v>
      </c>
      <c r="C351" t="s">
        <v>2066</v>
      </c>
      <c r="D351" t="s">
        <v>7830</v>
      </c>
      <c r="E351">
        <v>50</v>
      </c>
      <c r="F351" t="s">
        <v>6848</v>
      </c>
      <c r="G351">
        <v>67703</v>
      </c>
      <c r="H351">
        <v>159286</v>
      </c>
      <c r="I351">
        <v>-57.5</v>
      </c>
      <c r="J351">
        <v>8.94</v>
      </c>
      <c r="K351">
        <v>12.19</v>
      </c>
      <c r="L351">
        <v>-3.3</v>
      </c>
      <c r="M351">
        <v>6053</v>
      </c>
      <c r="N351">
        <v>19417</v>
      </c>
      <c r="O351">
        <v>-68.8</v>
      </c>
    </row>
    <row r="352" spans="1:15" x14ac:dyDescent="0.25">
      <c r="A352" t="s">
        <v>564</v>
      </c>
      <c r="B352" t="s">
        <v>30</v>
      </c>
      <c r="C352" t="s">
        <v>2071</v>
      </c>
      <c r="D352" t="s">
        <v>7831</v>
      </c>
      <c r="E352">
        <v>51</v>
      </c>
      <c r="F352" t="s">
        <v>6332</v>
      </c>
      <c r="G352">
        <v>65515</v>
      </c>
      <c r="H352">
        <v>94205</v>
      </c>
      <c r="I352">
        <v>-30.5</v>
      </c>
      <c r="J352">
        <v>12.05</v>
      </c>
      <c r="K352">
        <v>12.13</v>
      </c>
      <c r="L352">
        <v>-0.1</v>
      </c>
      <c r="M352">
        <v>7895</v>
      </c>
      <c r="N352">
        <v>11427</v>
      </c>
      <c r="O352">
        <v>-30.9</v>
      </c>
    </row>
    <row r="353" spans="1:15" x14ac:dyDescent="0.25">
      <c r="A353" t="s">
        <v>564</v>
      </c>
      <c r="B353" t="s">
        <v>30</v>
      </c>
      <c r="C353" t="s">
        <v>2076</v>
      </c>
      <c r="D353" t="s">
        <v>7832</v>
      </c>
      <c r="E353">
        <v>52</v>
      </c>
      <c r="F353" t="s">
        <v>5814</v>
      </c>
      <c r="G353">
        <v>64710</v>
      </c>
      <c r="H353">
        <v>59856</v>
      </c>
      <c r="I353">
        <v>8.1</v>
      </c>
      <c r="J353">
        <v>11.36</v>
      </c>
      <c r="K353">
        <v>12.26</v>
      </c>
      <c r="L353">
        <v>-0.9</v>
      </c>
      <c r="M353">
        <v>7351</v>
      </c>
      <c r="N353">
        <v>7338</v>
      </c>
      <c r="O353">
        <v>0.2</v>
      </c>
    </row>
    <row r="354" spans="1:15" x14ac:dyDescent="0.25">
      <c r="A354" t="s">
        <v>564</v>
      </c>
      <c r="B354" t="s">
        <v>30</v>
      </c>
      <c r="C354" t="s">
        <v>2080</v>
      </c>
      <c r="D354" t="s">
        <v>7833</v>
      </c>
      <c r="E354">
        <v>53</v>
      </c>
      <c r="F354" t="s">
        <v>6422</v>
      </c>
      <c r="G354">
        <v>62968</v>
      </c>
      <c r="H354">
        <v>51812</v>
      </c>
      <c r="I354">
        <v>21.5</v>
      </c>
      <c r="J354">
        <v>10.07</v>
      </c>
      <c r="K354">
        <v>5.78</v>
      </c>
      <c r="L354">
        <v>4.3</v>
      </c>
      <c r="M354">
        <v>6341</v>
      </c>
      <c r="N354">
        <v>2995</v>
      </c>
      <c r="O354">
        <v>111.7</v>
      </c>
    </row>
    <row r="355" spans="1:15" x14ac:dyDescent="0.25">
      <c r="A355" t="s">
        <v>564</v>
      </c>
      <c r="B355" t="s">
        <v>30</v>
      </c>
      <c r="C355" t="s">
        <v>2085</v>
      </c>
      <c r="D355" t="s">
        <v>7834</v>
      </c>
      <c r="E355">
        <v>54</v>
      </c>
      <c r="F355" t="s">
        <v>6037</v>
      </c>
      <c r="G355">
        <v>57180</v>
      </c>
      <c r="J355">
        <v>0.48</v>
      </c>
      <c r="M355">
        <v>274</v>
      </c>
    </row>
    <row r="356" spans="1:15" x14ac:dyDescent="0.25">
      <c r="A356" t="s">
        <v>564</v>
      </c>
      <c r="B356" t="s">
        <v>30</v>
      </c>
      <c r="C356" t="s">
        <v>2091</v>
      </c>
      <c r="D356" t="s">
        <v>7835</v>
      </c>
      <c r="E356">
        <v>55</v>
      </c>
      <c r="F356" t="s">
        <v>6313</v>
      </c>
      <c r="G356">
        <v>56739</v>
      </c>
      <c r="H356">
        <v>83086</v>
      </c>
      <c r="I356">
        <v>-31.7</v>
      </c>
      <c r="J356">
        <v>5.33</v>
      </c>
      <c r="K356">
        <v>3.81</v>
      </c>
      <c r="L356">
        <v>1.5</v>
      </c>
      <c r="M356">
        <v>3024</v>
      </c>
      <c r="N356">
        <v>3166</v>
      </c>
      <c r="O356">
        <v>-4.5</v>
      </c>
    </row>
    <row r="357" spans="1:15" x14ac:dyDescent="0.25">
      <c r="A357" t="s">
        <v>564</v>
      </c>
      <c r="B357" t="s">
        <v>30</v>
      </c>
      <c r="C357" t="s">
        <v>2096</v>
      </c>
      <c r="D357" t="s">
        <v>7836</v>
      </c>
      <c r="E357">
        <v>56</v>
      </c>
      <c r="F357" t="s">
        <v>7837</v>
      </c>
      <c r="G357">
        <v>54410</v>
      </c>
      <c r="H357">
        <v>96757</v>
      </c>
      <c r="I357">
        <v>-43.8</v>
      </c>
      <c r="J357">
        <v>10.29</v>
      </c>
      <c r="K357">
        <v>12.64</v>
      </c>
      <c r="L357">
        <v>-2.4</v>
      </c>
      <c r="M357">
        <v>5599</v>
      </c>
      <c r="N357">
        <v>12230</v>
      </c>
      <c r="O357">
        <v>-54.2</v>
      </c>
    </row>
    <row r="358" spans="1:15" x14ac:dyDescent="0.25">
      <c r="A358" t="s">
        <v>564</v>
      </c>
      <c r="B358" t="s">
        <v>30</v>
      </c>
      <c r="C358" t="s">
        <v>2087</v>
      </c>
      <c r="D358" t="s">
        <v>7838</v>
      </c>
      <c r="E358">
        <v>57</v>
      </c>
      <c r="F358" t="s">
        <v>6990</v>
      </c>
      <c r="G358">
        <v>54141</v>
      </c>
      <c r="H358">
        <v>189263</v>
      </c>
      <c r="I358">
        <v>-71.400000000000006</v>
      </c>
      <c r="J358">
        <v>13.4</v>
      </c>
      <c r="K358">
        <v>14.57</v>
      </c>
      <c r="L358">
        <v>-1.2</v>
      </c>
      <c r="M358">
        <v>7255</v>
      </c>
      <c r="N358">
        <v>27576</v>
      </c>
      <c r="O358">
        <v>-73.7</v>
      </c>
    </row>
    <row r="359" spans="1:15" x14ac:dyDescent="0.25">
      <c r="A359" t="s">
        <v>564</v>
      </c>
      <c r="B359" t="s">
        <v>30</v>
      </c>
      <c r="C359" t="s">
        <v>2106</v>
      </c>
      <c r="D359" t="s">
        <v>7839</v>
      </c>
      <c r="E359">
        <v>58</v>
      </c>
      <c r="F359" t="s">
        <v>6707</v>
      </c>
      <c r="G359">
        <v>53642</v>
      </c>
      <c r="H359">
        <v>137644</v>
      </c>
      <c r="I359">
        <v>-61</v>
      </c>
      <c r="J359">
        <v>4.8099999999999996</v>
      </c>
      <c r="K359">
        <v>1.89</v>
      </c>
      <c r="L359">
        <v>2.9</v>
      </c>
      <c r="M359">
        <v>2580</v>
      </c>
      <c r="N359">
        <v>2601</v>
      </c>
      <c r="O359">
        <v>-0.8</v>
      </c>
    </row>
    <row r="360" spans="1:15" x14ac:dyDescent="0.25">
      <c r="A360" t="s">
        <v>564</v>
      </c>
      <c r="B360" t="s">
        <v>30</v>
      </c>
      <c r="C360" t="s">
        <v>2111</v>
      </c>
      <c r="D360" t="s">
        <v>7840</v>
      </c>
      <c r="E360">
        <v>59</v>
      </c>
      <c r="F360" t="s">
        <v>6174</v>
      </c>
      <c r="G360">
        <v>51157</v>
      </c>
      <c r="J360">
        <v>4.9000000000000004</v>
      </c>
      <c r="M360">
        <v>2507</v>
      </c>
    </row>
    <row r="361" spans="1:15" x14ac:dyDescent="0.25">
      <c r="A361" t="s">
        <v>564</v>
      </c>
      <c r="B361" t="s">
        <v>30</v>
      </c>
      <c r="C361" t="s">
        <v>2116</v>
      </c>
      <c r="D361" t="s">
        <v>7841</v>
      </c>
      <c r="E361">
        <v>60</v>
      </c>
      <c r="F361" t="s">
        <v>7534</v>
      </c>
      <c r="G361">
        <v>49903</v>
      </c>
      <c r="H361">
        <v>59703</v>
      </c>
      <c r="I361">
        <v>-16.399999999999999</v>
      </c>
      <c r="J361">
        <v>9.81</v>
      </c>
      <c r="K361">
        <v>5.63</v>
      </c>
      <c r="L361">
        <v>4.2</v>
      </c>
      <c r="M361">
        <v>4895</v>
      </c>
      <c r="N361">
        <v>3361</v>
      </c>
      <c r="O361">
        <v>45.6</v>
      </c>
    </row>
    <row r="362" spans="1:15" x14ac:dyDescent="0.25">
      <c r="A362" t="s">
        <v>564</v>
      </c>
      <c r="B362" t="s">
        <v>30</v>
      </c>
      <c r="C362" t="s">
        <v>2102</v>
      </c>
      <c r="D362" t="s">
        <v>7842</v>
      </c>
      <c r="E362">
        <v>61</v>
      </c>
      <c r="F362" t="s">
        <v>6115</v>
      </c>
      <c r="G362">
        <v>47541</v>
      </c>
      <c r="H362">
        <v>19224</v>
      </c>
      <c r="I362">
        <v>147.30000000000001</v>
      </c>
      <c r="J362">
        <v>12.72</v>
      </c>
      <c r="K362">
        <v>6.69</v>
      </c>
      <c r="L362">
        <v>6</v>
      </c>
      <c r="M362">
        <v>6047</v>
      </c>
      <c r="N362">
        <v>1286</v>
      </c>
      <c r="O362">
        <v>370.2</v>
      </c>
    </row>
    <row r="363" spans="1:15" x14ac:dyDescent="0.25">
      <c r="A363" t="s">
        <v>564</v>
      </c>
      <c r="B363" t="s">
        <v>30</v>
      </c>
      <c r="C363" t="s">
        <v>2125</v>
      </c>
      <c r="D363" t="s">
        <v>7843</v>
      </c>
      <c r="E363">
        <v>62</v>
      </c>
      <c r="F363" t="s">
        <v>6566</v>
      </c>
      <c r="G363">
        <v>46934</v>
      </c>
      <c r="H363">
        <v>82378</v>
      </c>
      <c r="I363">
        <v>-43</v>
      </c>
      <c r="J363">
        <v>12.3</v>
      </c>
      <c r="K363">
        <v>12.55</v>
      </c>
      <c r="L363">
        <v>-0.2</v>
      </c>
      <c r="M363">
        <v>5773</v>
      </c>
      <c r="N363">
        <v>10338</v>
      </c>
      <c r="O363">
        <v>-44.2</v>
      </c>
    </row>
    <row r="364" spans="1:15" x14ac:dyDescent="0.25">
      <c r="A364" t="s">
        <v>564</v>
      </c>
      <c r="B364" t="s">
        <v>30</v>
      </c>
      <c r="C364" t="s">
        <v>2131</v>
      </c>
      <c r="D364" t="s">
        <v>7844</v>
      </c>
      <c r="E364">
        <v>63</v>
      </c>
      <c r="F364" t="s">
        <v>7845</v>
      </c>
      <c r="G364">
        <v>45619</v>
      </c>
      <c r="H364">
        <v>26772</v>
      </c>
      <c r="I364">
        <v>70.400000000000006</v>
      </c>
      <c r="J364">
        <v>7.77</v>
      </c>
      <c r="K364">
        <v>5.71</v>
      </c>
      <c r="L364">
        <v>2.1</v>
      </c>
      <c r="M364">
        <v>3545</v>
      </c>
      <c r="N364">
        <v>1529</v>
      </c>
      <c r="O364">
        <v>131.9</v>
      </c>
    </row>
    <row r="365" spans="1:15" x14ac:dyDescent="0.25">
      <c r="A365" t="s">
        <v>564</v>
      </c>
      <c r="B365" t="s">
        <v>30</v>
      </c>
      <c r="C365" t="s">
        <v>2136</v>
      </c>
      <c r="D365" t="s">
        <v>7846</v>
      </c>
      <c r="E365">
        <v>64</v>
      </c>
      <c r="F365" t="s">
        <v>7847</v>
      </c>
      <c r="G365">
        <v>44924</v>
      </c>
      <c r="H365">
        <v>76504</v>
      </c>
      <c r="I365">
        <v>-41.3</v>
      </c>
      <c r="J365">
        <v>24.63</v>
      </c>
      <c r="K365">
        <v>23.26</v>
      </c>
      <c r="L365">
        <v>1.4</v>
      </c>
      <c r="M365">
        <v>11065</v>
      </c>
      <c r="N365">
        <v>17795</v>
      </c>
      <c r="O365">
        <v>-37.799999999999997</v>
      </c>
    </row>
    <row r="366" spans="1:15" x14ac:dyDescent="0.25">
      <c r="A366" t="s">
        <v>564</v>
      </c>
      <c r="B366" t="s">
        <v>30</v>
      </c>
      <c r="C366" t="s">
        <v>2141</v>
      </c>
      <c r="D366" t="s">
        <v>7848</v>
      </c>
      <c r="E366">
        <v>65</v>
      </c>
      <c r="F366" t="s">
        <v>6589</v>
      </c>
      <c r="G366">
        <v>44480</v>
      </c>
      <c r="H366">
        <v>36869</v>
      </c>
      <c r="I366">
        <v>20.6</v>
      </c>
      <c r="J366">
        <v>9.09</v>
      </c>
      <c r="K366">
        <v>9.98</v>
      </c>
      <c r="L366">
        <v>-0.9</v>
      </c>
      <c r="M366">
        <v>4043</v>
      </c>
      <c r="N366">
        <v>3680</v>
      </c>
      <c r="O366">
        <v>9.9</v>
      </c>
    </row>
    <row r="367" spans="1:15" x14ac:dyDescent="0.25">
      <c r="A367" t="s">
        <v>564</v>
      </c>
      <c r="B367" t="s">
        <v>30</v>
      </c>
      <c r="C367" t="s">
        <v>2146</v>
      </c>
      <c r="D367" t="s">
        <v>7849</v>
      </c>
      <c r="E367">
        <v>66</v>
      </c>
      <c r="F367" t="s">
        <v>6345</v>
      </c>
      <c r="G367">
        <v>44030</v>
      </c>
      <c r="J367">
        <v>11.77</v>
      </c>
      <c r="M367">
        <v>5182</v>
      </c>
    </row>
    <row r="368" spans="1:15" x14ac:dyDescent="0.25">
      <c r="A368" t="s">
        <v>564</v>
      </c>
      <c r="B368" t="s">
        <v>30</v>
      </c>
      <c r="C368" t="s">
        <v>2127</v>
      </c>
      <c r="D368" t="s">
        <v>7850</v>
      </c>
      <c r="E368">
        <v>67</v>
      </c>
      <c r="F368" t="s">
        <v>6606</v>
      </c>
      <c r="G368">
        <v>41024</v>
      </c>
      <c r="H368">
        <v>154903</v>
      </c>
      <c r="I368">
        <v>-73.5</v>
      </c>
      <c r="J368">
        <v>4.63</v>
      </c>
      <c r="K368">
        <v>15.52</v>
      </c>
      <c r="L368">
        <v>-10.9</v>
      </c>
      <c r="M368">
        <v>1899</v>
      </c>
      <c r="N368">
        <v>24041</v>
      </c>
      <c r="O368">
        <v>-92.1</v>
      </c>
    </row>
    <row r="369" spans="1:15" x14ac:dyDescent="0.25">
      <c r="A369" t="s">
        <v>564</v>
      </c>
      <c r="B369" t="s">
        <v>30</v>
      </c>
      <c r="C369" t="s">
        <v>2156</v>
      </c>
      <c r="D369" t="s">
        <v>7851</v>
      </c>
      <c r="E369">
        <v>68</v>
      </c>
      <c r="F369" t="s">
        <v>7852</v>
      </c>
      <c r="G369">
        <v>40000</v>
      </c>
      <c r="J369">
        <v>4.3499999999999996</v>
      </c>
      <c r="M369">
        <v>1740</v>
      </c>
    </row>
    <row r="370" spans="1:15" x14ac:dyDescent="0.25">
      <c r="A370" t="s">
        <v>564</v>
      </c>
      <c r="B370" t="s">
        <v>30</v>
      </c>
      <c r="C370" t="s">
        <v>2161</v>
      </c>
      <c r="D370" t="s">
        <v>7853</v>
      </c>
      <c r="E370">
        <v>69</v>
      </c>
      <c r="F370" t="s">
        <v>6431</v>
      </c>
      <c r="G370">
        <v>39046</v>
      </c>
      <c r="H370">
        <v>114245</v>
      </c>
      <c r="I370">
        <v>-65.8</v>
      </c>
      <c r="J370">
        <v>11.59</v>
      </c>
      <c r="K370">
        <v>15.89</v>
      </c>
      <c r="L370">
        <v>-4.3</v>
      </c>
      <c r="M370">
        <v>4525</v>
      </c>
      <c r="N370">
        <v>18154</v>
      </c>
      <c r="O370">
        <v>-75.099999999999994</v>
      </c>
    </row>
    <row r="371" spans="1:15" x14ac:dyDescent="0.25">
      <c r="A371" t="s">
        <v>564</v>
      </c>
      <c r="B371" t="s">
        <v>30</v>
      </c>
      <c r="C371" t="s">
        <v>2166</v>
      </c>
      <c r="D371" t="s">
        <v>7854</v>
      </c>
      <c r="E371">
        <v>70</v>
      </c>
      <c r="F371" t="s">
        <v>6860</v>
      </c>
      <c r="G371">
        <v>38127</v>
      </c>
      <c r="J371">
        <v>6.05</v>
      </c>
      <c r="M371">
        <v>2307</v>
      </c>
    </row>
    <row r="372" spans="1:15" x14ac:dyDescent="0.25">
      <c r="A372" t="s">
        <v>564</v>
      </c>
      <c r="B372" t="s">
        <v>30</v>
      </c>
      <c r="C372" t="s">
        <v>2171</v>
      </c>
      <c r="D372" t="s">
        <v>7855</v>
      </c>
      <c r="E372">
        <v>71</v>
      </c>
      <c r="F372" t="s">
        <v>6263</v>
      </c>
      <c r="G372">
        <v>36361</v>
      </c>
      <c r="H372">
        <v>6885</v>
      </c>
      <c r="I372">
        <v>428.1</v>
      </c>
      <c r="J372">
        <v>5.75</v>
      </c>
      <c r="K372">
        <v>3.02</v>
      </c>
      <c r="L372">
        <v>2.7</v>
      </c>
      <c r="M372">
        <v>2091</v>
      </c>
      <c r="N372">
        <v>208</v>
      </c>
      <c r="O372">
        <v>905.5</v>
      </c>
    </row>
    <row r="373" spans="1:15" x14ac:dyDescent="0.25">
      <c r="A373" t="s">
        <v>564</v>
      </c>
      <c r="B373" t="s">
        <v>30</v>
      </c>
      <c r="C373" t="s">
        <v>2176</v>
      </c>
      <c r="D373" t="s">
        <v>7856</v>
      </c>
      <c r="E373">
        <v>72</v>
      </c>
      <c r="F373" t="s">
        <v>6679</v>
      </c>
      <c r="G373">
        <v>30931</v>
      </c>
      <c r="H373">
        <v>81004</v>
      </c>
      <c r="I373">
        <v>-61.8</v>
      </c>
      <c r="J373">
        <v>12.58</v>
      </c>
      <c r="K373">
        <v>12.01</v>
      </c>
      <c r="L373">
        <v>0.6</v>
      </c>
      <c r="M373">
        <v>3891</v>
      </c>
      <c r="N373">
        <v>9729</v>
      </c>
      <c r="O373">
        <v>-60</v>
      </c>
    </row>
    <row r="374" spans="1:15" x14ac:dyDescent="0.25">
      <c r="A374" t="s">
        <v>564</v>
      </c>
      <c r="B374" t="s">
        <v>30</v>
      </c>
      <c r="C374" t="s">
        <v>2182</v>
      </c>
      <c r="D374" t="s">
        <v>7857</v>
      </c>
      <c r="E374">
        <v>73</v>
      </c>
      <c r="F374" t="s">
        <v>6398</v>
      </c>
      <c r="G374">
        <v>30830</v>
      </c>
      <c r="J374">
        <v>9.16</v>
      </c>
      <c r="M374">
        <v>2824</v>
      </c>
    </row>
    <row r="375" spans="1:15" x14ac:dyDescent="0.25">
      <c r="A375" t="s">
        <v>564</v>
      </c>
      <c r="B375" t="s">
        <v>30</v>
      </c>
      <c r="C375" t="s">
        <v>2187</v>
      </c>
      <c r="D375" t="s">
        <v>7858</v>
      </c>
      <c r="E375">
        <v>74</v>
      </c>
      <c r="F375" t="s">
        <v>6871</v>
      </c>
      <c r="G375">
        <v>30802</v>
      </c>
      <c r="H375">
        <v>36570</v>
      </c>
      <c r="I375">
        <v>-15.8</v>
      </c>
      <c r="J375">
        <v>3.22</v>
      </c>
      <c r="K375">
        <v>1.69</v>
      </c>
      <c r="L375">
        <v>1.5</v>
      </c>
      <c r="M375">
        <v>992</v>
      </c>
      <c r="N375">
        <v>618</v>
      </c>
      <c r="O375">
        <v>60.5</v>
      </c>
    </row>
    <row r="376" spans="1:15" x14ac:dyDescent="0.25">
      <c r="A376" t="s">
        <v>564</v>
      </c>
      <c r="B376" t="s">
        <v>30</v>
      </c>
      <c r="C376" t="s">
        <v>2192</v>
      </c>
      <c r="D376" t="s">
        <v>7859</v>
      </c>
      <c r="E376">
        <v>75</v>
      </c>
      <c r="F376" t="s">
        <v>7860</v>
      </c>
      <c r="G376">
        <v>29940</v>
      </c>
      <c r="H376">
        <v>32875</v>
      </c>
      <c r="I376">
        <v>-8.9</v>
      </c>
      <c r="J376">
        <v>7.7</v>
      </c>
      <c r="K376">
        <v>6.02</v>
      </c>
      <c r="L376">
        <v>1.7</v>
      </c>
      <c r="M376">
        <v>2305</v>
      </c>
      <c r="N376">
        <v>1979</v>
      </c>
      <c r="O376">
        <v>16.5</v>
      </c>
    </row>
    <row r="377" spans="1:15" x14ac:dyDescent="0.25">
      <c r="A377" t="s">
        <v>564</v>
      </c>
      <c r="B377" t="s">
        <v>30</v>
      </c>
      <c r="C377" t="s">
        <v>2198</v>
      </c>
      <c r="D377" t="s">
        <v>7861</v>
      </c>
      <c r="E377">
        <v>76</v>
      </c>
      <c r="F377" t="s">
        <v>6957</v>
      </c>
      <c r="G377">
        <v>29662</v>
      </c>
      <c r="H377">
        <v>18409</v>
      </c>
      <c r="I377">
        <v>61.1</v>
      </c>
      <c r="J377">
        <v>9.6999999999999993</v>
      </c>
      <c r="K377">
        <v>5.9</v>
      </c>
      <c r="L377">
        <v>3.8</v>
      </c>
      <c r="M377">
        <v>2877</v>
      </c>
      <c r="N377">
        <v>1086</v>
      </c>
      <c r="O377">
        <v>164.9</v>
      </c>
    </row>
    <row r="378" spans="1:15" x14ac:dyDescent="0.25">
      <c r="A378" t="s">
        <v>564</v>
      </c>
      <c r="B378" t="s">
        <v>30</v>
      </c>
      <c r="C378" t="s">
        <v>2194</v>
      </c>
      <c r="D378" t="s">
        <v>7862</v>
      </c>
      <c r="E378">
        <v>77</v>
      </c>
      <c r="F378" t="s">
        <v>7863</v>
      </c>
      <c r="G378">
        <v>28216</v>
      </c>
      <c r="J378">
        <v>14.45</v>
      </c>
      <c r="M378">
        <v>4077</v>
      </c>
    </row>
    <row r="379" spans="1:15" x14ac:dyDescent="0.25">
      <c r="A379" t="s">
        <v>564</v>
      </c>
      <c r="B379" t="s">
        <v>30</v>
      </c>
      <c r="C379" t="s">
        <v>2209</v>
      </c>
      <c r="D379" t="s">
        <v>7864</v>
      </c>
      <c r="E379">
        <v>78</v>
      </c>
      <c r="F379" t="s">
        <v>6533</v>
      </c>
      <c r="G379">
        <v>27807</v>
      </c>
      <c r="H379">
        <v>2463</v>
      </c>
      <c r="I379">
        <v>1029</v>
      </c>
      <c r="J379">
        <v>4.9400000000000004</v>
      </c>
      <c r="K379">
        <v>10.39</v>
      </c>
      <c r="L379">
        <v>-5.4</v>
      </c>
      <c r="M379">
        <v>1374</v>
      </c>
      <c r="N379">
        <v>256</v>
      </c>
      <c r="O379">
        <v>436.8</v>
      </c>
    </row>
    <row r="380" spans="1:15" x14ac:dyDescent="0.25">
      <c r="A380" t="s">
        <v>564</v>
      </c>
      <c r="B380" t="s">
        <v>30</v>
      </c>
      <c r="C380" t="s">
        <v>2148</v>
      </c>
      <c r="D380" t="s">
        <v>7865</v>
      </c>
      <c r="E380">
        <v>79</v>
      </c>
      <c r="F380" t="s">
        <v>6812</v>
      </c>
      <c r="G380">
        <v>27484</v>
      </c>
      <c r="H380">
        <v>33314</v>
      </c>
      <c r="I380">
        <v>-17.5</v>
      </c>
      <c r="J380">
        <v>9.7100000000000009</v>
      </c>
      <c r="K380">
        <v>11.96</v>
      </c>
      <c r="L380">
        <v>-2.2999999999999998</v>
      </c>
      <c r="M380">
        <v>2669</v>
      </c>
      <c r="N380">
        <v>3984</v>
      </c>
      <c r="O380">
        <v>-33</v>
      </c>
    </row>
    <row r="381" spans="1:15" x14ac:dyDescent="0.25">
      <c r="A381" t="s">
        <v>564</v>
      </c>
      <c r="B381" t="s">
        <v>30</v>
      </c>
      <c r="C381" t="s">
        <v>2218</v>
      </c>
      <c r="D381" t="s">
        <v>7866</v>
      </c>
      <c r="E381">
        <v>80</v>
      </c>
      <c r="F381" t="s">
        <v>7867</v>
      </c>
      <c r="G381">
        <v>27212</v>
      </c>
      <c r="H381">
        <v>60429</v>
      </c>
      <c r="I381">
        <v>-55</v>
      </c>
      <c r="J381">
        <v>4.9800000000000004</v>
      </c>
      <c r="K381">
        <v>6.32</v>
      </c>
      <c r="L381">
        <v>-1.3</v>
      </c>
      <c r="M381">
        <v>1355</v>
      </c>
      <c r="N381">
        <v>3819</v>
      </c>
      <c r="O381">
        <v>-64.5</v>
      </c>
    </row>
    <row r="382" spans="1:15" x14ac:dyDescent="0.25">
      <c r="A382" t="s">
        <v>564</v>
      </c>
      <c r="B382" t="s">
        <v>30</v>
      </c>
      <c r="C382" t="s">
        <v>2224</v>
      </c>
      <c r="D382" t="s">
        <v>7868</v>
      </c>
      <c r="E382">
        <v>81</v>
      </c>
      <c r="F382" t="s">
        <v>6495</v>
      </c>
      <c r="G382">
        <v>26995</v>
      </c>
      <c r="J382">
        <v>2.0299999999999998</v>
      </c>
      <c r="M382">
        <v>548</v>
      </c>
    </row>
    <row r="383" spans="1:15" x14ac:dyDescent="0.25">
      <c r="A383" t="s">
        <v>564</v>
      </c>
      <c r="B383" t="s">
        <v>30</v>
      </c>
      <c r="C383" t="s">
        <v>2229</v>
      </c>
      <c r="D383" t="s">
        <v>7869</v>
      </c>
      <c r="E383">
        <v>82</v>
      </c>
      <c r="F383" t="s">
        <v>4021</v>
      </c>
      <c r="G383">
        <v>26958</v>
      </c>
      <c r="H383">
        <v>19770</v>
      </c>
      <c r="I383">
        <v>36.4</v>
      </c>
      <c r="J383">
        <v>8.81</v>
      </c>
      <c r="K383">
        <v>7.68</v>
      </c>
      <c r="L383">
        <v>1.1000000000000001</v>
      </c>
      <c r="M383">
        <v>2375</v>
      </c>
      <c r="N383">
        <v>1518</v>
      </c>
      <c r="O383">
        <v>56.4</v>
      </c>
    </row>
    <row r="384" spans="1:15" x14ac:dyDescent="0.25">
      <c r="A384" t="s">
        <v>564</v>
      </c>
      <c r="B384" t="s">
        <v>30</v>
      </c>
      <c r="C384" t="s">
        <v>2235</v>
      </c>
      <c r="D384" t="s">
        <v>7870</v>
      </c>
      <c r="E384">
        <v>83</v>
      </c>
      <c r="F384" t="s">
        <v>7871</v>
      </c>
      <c r="G384">
        <v>26304</v>
      </c>
      <c r="H384">
        <v>2307</v>
      </c>
      <c r="I384">
        <v>1040.2</v>
      </c>
      <c r="J384">
        <v>2.78</v>
      </c>
      <c r="K384">
        <v>4.1399999999999997</v>
      </c>
      <c r="L384">
        <v>-1.4</v>
      </c>
      <c r="M384">
        <v>731</v>
      </c>
      <c r="N384">
        <v>96</v>
      </c>
      <c r="O384">
        <v>665.6</v>
      </c>
    </row>
    <row r="385" spans="1:15" x14ac:dyDescent="0.25">
      <c r="A385" t="s">
        <v>564</v>
      </c>
      <c r="B385" t="s">
        <v>30</v>
      </c>
      <c r="C385" t="s">
        <v>2240</v>
      </c>
      <c r="D385" t="s">
        <v>7872</v>
      </c>
      <c r="E385">
        <v>84</v>
      </c>
      <c r="F385" t="s">
        <v>7873</v>
      </c>
      <c r="G385">
        <v>24068</v>
      </c>
      <c r="J385">
        <v>6.99</v>
      </c>
      <c r="M385">
        <v>1682</v>
      </c>
    </row>
    <row r="386" spans="1:15" x14ac:dyDescent="0.25">
      <c r="A386" t="s">
        <v>564</v>
      </c>
      <c r="B386" t="s">
        <v>30</v>
      </c>
      <c r="C386" t="s">
        <v>2245</v>
      </c>
      <c r="D386" t="s">
        <v>7874</v>
      </c>
      <c r="E386">
        <v>85</v>
      </c>
      <c r="F386" t="s">
        <v>3552</v>
      </c>
      <c r="G386">
        <v>22655</v>
      </c>
      <c r="H386">
        <v>10273</v>
      </c>
      <c r="I386">
        <v>120.5</v>
      </c>
      <c r="J386">
        <v>6.06</v>
      </c>
      <c r="K386">
        <v>10.74</v>
      </c>
      <c r="L386">
        <v>-4.7</v>
      </c>
      <c r="M386">
        <v>1373</v>
      </c>
      <c r="N386">
        <v>1103</v>
      </c>
      <c r="O386">
        <v>24.4</v>
      </c>
    </row>
    <row r="387" spans="1:15" x14ac:dyDescent="0.25">
      <c r="A387" t="s">
        <v>564</v>
      </c>
      <c r="B387" t="s">
        <v>30</v>
      </c>
      <c r="C387" t="s">
        <v>2200</v>
      </c>
      <c r="D387" t="s">
        <v>7875</v>
      </c>
      <c r="E387">
        <v>86</v>
      </c>
      <c r="F387" t="s">
        <v>7092</v>
      </c>
      <c r="G387">
        <v>22633</v>
      </c>
      <c r="H387">
        <v>28621</v>
      </c>
      <c r="I387">
        <v>-20.9</v>
      </c>
      <c r="J387">
        <v>13.1</v>
      </c>
      <c r="K387">
        <v>2.2599999999999998</v>
      </c>
      <c r="L387">
        <v>10.8</v>
      </c>
      <c r="M387">
        <v>2965</v>
      </c>
      <c r="N387">
        <v>647</v>
      </c>
      <c r="O387">
        <v>358.4</v>
      </c>
    </row>
    <row r="388" spans="1:15" x14ac:dyDescent="0.25">
      <c r="A388" t="s">
        <v>564</v>
      </c>
      <c r="B388" t="s">
        <v>30</v>
      </c>
      <c r="C388" t="s">
        <v>2255</v>
      </c>
      <c r="D388" t="s">
        <v>7876</v>
      </c>
      <c r="E388">
        <v>87</v>
      </c>
      <c r="F388" t="s">
        <v>6738</v>
      </c>
      <c r="G388">
        <v>22467</v>
      </c>
      <c r="J388">
        <v>6.67</v>
      </c>
      <c r="M388">
        <v>1499</v>
      </c>
    </row>
    <row r="389" spans="1:15" x14ac:dyDescent="0.25">
      <c r="A389" t="s">
        <v>564</v>
      </c>
      <c r="B389" t="s">
        <v>30</v>
      </c>
      <c r="C389" t="s">
        <v>2261</v>
      </c>
      <c r="D389" t="s">
        <v>7877</v>
      </c>
      <c r="E389">
        <v>88</v>
      </c>
      <c r="F389" t="s">
        <v>3544</v>
      </c>
      <c r="G389">
        <v>22332</v>
      </c>
      <c r="H389">
        <v>28528</v>
      </c>
      <c r="I389">
        <v>-21.7</v>
      </c>
      <c r="J389">
        <v>5.1100000000000003</v>
      </c>
      <c r="K389">
        <v>7.44</v>
      </c>
      <c r="L389">
        <v>-2.2999999999999998</v>
      </c>
      <c r="M389">
        <v>1141</v>
      </c>
      <c r="N389">
        <v>2122</v>
      </c>
      <c r="O389">
        <v>-46.2</v>
      </c>
    </row>
    <row r="390" spans="1:15" x14ac:dyDescent="0.25">
      <c r="A390" t="s">
        <v>564</v>
      </c>
      <c r="B390" t="s">
        <v>30</v>
      </c>
      <c r="C390" t="s">
        <v>2266</v>
      </c>
      <c r="D390" t="s">
        <v>7878</v>
      </c>
      <c r="E390">
        <v>89</v>
      </c>
      <c r="F390" t="s">
        <v>7879</v>
      </c>
      <c r="G390">
        <v>22069</v>
      </c>
      <c r="H390">
        <v>17715</v>
      </c>
      <c r="I390">
        <v>24.6</v>
      </c>
      <c r="J390">
        <v>10.02</v>
      </c>
      <c r="K390">
        <v>10.52</v>
      </c>
      <c r="L390">
        <v>-0.5</v>
      </c>
      <c r="M390">
        <v>2211</v>
      </c>
      <c r="N390">
        <v>1864</v>
      </c>
      <c r="O390">
        <v>18.7</v>
      </c>
    </row>
    <row r="391" spans="1:15" x14ac:dyDescent="0.25">
      <c r="A391" t="s">
        <v>564</v>
      </c>
      <c r="B391" t="s">
        <v>30</v>
      </c>
      <c r="C391" t="s">
        <v>2272</v>
      </c>
      <c r="D391" t="s">
        <v>7880</v>
      </c>
      <c r="E391">
        <v>90</v>
      </c>
      <c r="F391" t="s">
        <v>6755</v>
      </c>
      <c r="G391">
        <v>22004</v>
      </c>
      <c r="H391">
        <v>2238</v>
      </c>
      <c r="I391">
        <v>883.2</v>
      </c>
      <c r="J391">
        <v>7.14</v>
      </c>
      <c r="K391">
        <v>10.02</v>
      </c>
      <c r="L391">
        <v>-2.9</v>
      </c>
      <c r="M391">
        <v>1571</v>
      </c>
      <c r="N391">
        <v>224</v>
      </c>
      <c r="O391">
        <v>600.6</v>
      </c>
    </row>
    <row r="392" spans="1:15" x14ac:dyDescent="0.25">
      <c r="A392" t="s">
        <v>564</v>
      </c>
      <c r="B392" t="s">
        <v>30</v>
      </c>
      <c r="C392" t="s">
        <v>2257</v>
      </c>
      <c r="D392" t="s">
        <v>7881</v>
      </c>
      <c r="E392">
        <v>91</v>
      </c>
      <c r="F392" t="s">
        <v>6894</v>
      </c>
      <c r="G392">
        <v>21866</v>
      </c>
      <c r="H392">
        <v>31116</v>
      </c>
      <c r="I392">
        <v>-29.7</v>
      </c>
      <c r="J392">
        <v>7.2</v>
      </c>
      <c r="K392">
        <v>9.39</v>
      </c>
      <c r="L392">
        <v>-2.2000000000000002</v>
      </c>
      <c r="M392">
        <v>1574</v>
      </c>
      <c r="N392">
        <v>2922</v>
      </c>
      <c r="O392">
        <v>-46.1</v>
      </c>
    </row>
    <row r="393" spans="1:15" x14ac:dyDescent="0.25">
      <c r="A393" t="s">
        <v>564</v>
      </c>
      <c r="B393" t="s">
        <v>30</v>
      </c>
      <c r="C393" t="s">
        <v>2282</v>
      </c>
      <c r="D393" t="s">
        <v>7882</v>
      </c>
      <c r="E393">
        <v>92</v>
      </c>
      <c r="F393" t="s">
        <v>7883</v>
      </c>
      <c r="G393">
        <v>21809</v>
      </c>
      <c r="H393">
        <v>24795</v>
      </c>
      <c r="I393">
        <v>-12</v>
      </c>
      <c r="J393">
        <v>5.5</v>
      </c>
      <c r="K393">
        <v>3.89</v>
      </c>
      <c r="L393">
        <v>1.6</v>
      </c>
      <c r="M393">
        <v>1199</v>
      </c>
      <c r="N393">
        <v>965</v>
      </c>
      <c r="O393">
        <v>24.4</v>
      </c>
    </row>
    <row r="394" spans="1:15" x14ac:dyDescent="0.25">
      <c r="A394" t="s">
        <v>564</v>
      </c>
      <c r="B394" t="s">
        <v>30</v>
      </c>
      <c r="C394" t="s">
        <v>2287</v>
      </c>
      <c r="D394" t="s">
        <v>7884</v>
      </c>
      <c r="E394">
        <v>93</v>
      </c>
      <c r="F394" t="s">
        <v>7885</v>
      </c>
      <c r="G394">
        <v>21398</v>
      </c>
      <c r="H394">
        <v>31598</v>
      </c>
      <c r="I394">
        <v>-32.299999999999997</v>
      </c>
      <c r="J394">
        <v>5.0599999999999996</v>
      </c>
      <c r="K394">
        <v>7.3</v>
      </c>
      <c r="L394">
        <v>-2.2000000000000002</v>
      </c>
      <c r="M394">
        <v>1083</v>
      </c>
      <c r="N394">
        <v>2307</v>
      </c>
      <c r="O394">
        <v>-53.1</v>
      </c>
    </row>
    <row r="395" spans="1:15" x14ac:dyDescent="0.25">
      <c r="A395" t="s">
        <v>564</v>
      </c>
      <c r="B395" t="s">
        <v>30</v>
      </c>
      <c r="C395" t="s">
        <v>2292</v>
      </c>
      <c r="D395" t="s">
        <v>7886</v>
      </c>
      <c r="E395">
        <v>94</v>
      </c>
      <c r="F395" t="s">
        <v>6969</v>
      </c>
      <c r="G395">
        <v>20714</v>
      </c>
      <c r="H395">
        <v>16837</v>
      </c>
      <c r="I395">
        <v>23</v>
      </c>
      <c r="J395">
        <v>4.83</v>
      </c>
      <c r="K395">
        <v>6.94</v>
      </c>
      <c r="L395">
        <v>-2.1</v>
      </c>
      <c r="M395">
        <v>1000</v>
      </c>
      <c r="N395">
        <v>1168</v>
      </c>
      <c r="O395">
        <v>-14.4</v>
      </c>
    </row>
    <row r="396" spans="1:15" x14ac:dyDescent="0.25">
      <c r="A396" t="s">
        <v>564</v>
      </c>
      <c r="B396" t="s">
        <v>30</v>
      </c>
      <c r="C396" t="s">
        <v>2278</v>
      </c>
      <c r="D396" t="s">
        <v>7887</v>
      </c>
      <c r="E396">
        <v>95</v>
      </c>
      <c r="F396" t="s">
        <v>7080</v>
      </c>
      <c r="G396">
        <v>20248</v>
      </c>
      <c r="H396">
        <v>63782</v>
      </c>
      <c r="I396">
        <v>-68.3</v>
      </c>
      <c r="J396">
        <v>11.3</v>
      </c>
      <c r="K396">
        <v>9.3000000000000007</v>
      </c>
      <c r="L396">
        <v>2</v>
      </c>
      <c r="M396">
        <v>2288</v>
      </c>
      <c r="N396">
        <v>5932</v>
      </c>
      <c r="O396">
        <v>-61.4</v>
      </c>
    </row>
    <row r="397" spans="1:15" x14ac:dyDescent="0.25">
      <c r="A397" t="s">
        <v>564</v>
      </c>
      <c r="B397" t="s">
        <v>30</v>
      </c>
      <c r="C397" t="s">
        <v>2268</v>
      </c>
      <c r="D397" t="s">
        <v>7888</v>
      </c>
      <c r="E397">
        <v>96</v>
      </c>
      <c r="F397" t="s">
        <v>7104</v>
      </c>
      <c r="G397">
        <v>19933</v>
      </c>
      <c r="J397">
        <v>7.04</v>
      </c>
      <c r="M397">
        <v>1403</v>
      </c>
    </row>
    <row r="398" spans="1:15" x14ac:dyDescent="0.25">
      <c r="A398" t="s">
        <v>564</v>
      </c>
      <c r="B398" t="s">
        <v>30</v>
      </c>
      <c r="C398" t="s">
        <v>2231</v>
      </c>
      <c r="D398" t="s">
        <v>7889</v>
      </c>
      <c r="E398">
        <v>97</v>
      </c>
      <c r="F398" t="s">
        <v>7890</v>
      </c>
      <c r="G398">
        <v>18823</v>
      </c>
      <c r="H398">
        <v>10558</v>
      </c>
      <c r="I398">
        <v>78.3</v>
      </c>
      <c r="J398">
        <v>6.01</v>
      </c>
      <c r="K398">
        <v>11.49</v>
      </c>
      <c r="L398">
        <v>-5.5</v>
      </c>
      <c r="M398">
        <v>1131</v>
      </c>
      <c r="N398">
        <v>1213</v>
      </c>
      <c r="O398">
        <v>-6.7</v>
      </c>
    </row>
    <row r="399" spans="1:15" x14ac:dyDescent="0.25">
      <c r="A399" t="s">
        <v>564</v>
      </c>
      <c r="B399" t="s">
        <v>30</v>
      </c>
      <c r="C399" t="s">
        <v>2310</v>
      </c>
      <c r="D399" t="s">
        <v>7891</v>
      </c>
      <c r="E399">
        <v>98</v>
      </c>
      <c r="F399" t="s">
        <v>7057</v>
      </c>
      <c r="G399">
        <v>18549</v>
      </c>
      <c r="H399">
        <v>17814</v>
      </c>
      <c r="I399">
        <v>4.0999999999999996</v>
      </c>
      <c r="J399">
        <v>10.38</v>
      </c>
      <c r="K399">
        <v>11.92</v>
      </c>
      <c r="L399">
        <v>-1.5</v>
      </c>
      <c r="M399">
        <v>1925</v>
      </c>
      <c r="N399">
        <v>2123</v>
      </c>
      <c r="O399">
        <v>-9.3000000000000007</v>
      </c>
    </row>
    <row r="400" spans="1:15" x14ac:dyDescent="0.25">
      <c r="A400" t="s">
        <v>564</v>
      </c>
      <c r="B400" t="s">
        <v>30</v>
      </c>
      <c r="C400" t="s">
        <v>2178</v>
      </c>
      <c r="D400" t="s">
        <v>7892</v>
      </c>
      <c r="E400">
        <v>99</v>
      </c>
      <c r="F400" t="s">
        <v>7069</v>
      </c>
      <c r="G400">
        <v>18442</v>
      </c>
      <c r="H400">
        <v>5229</v>
      </c>
      <c r="I400">
        <v>252.7</v>
      </c>
      <c r="J400">
        <v>5.1100000000000003</v>
      </c>
      <c r="K400">
        <v>2.4700000000000002</v>
      </c>
      <c r="L400">
        <v>2.6</v>
      </c>
      <c r="M400">
        <v>942</v>
      </c>
      <c r="N400">
        <v>129</v>
      </c>
      <c r="O400">
        <v>629.6</v>
      </c>
    </row>
    <row r="401" spans="1:15" x14ac:dyDescent="0.25">
      <c r="A401" t="s">
        <v>564</v>
      </c>
      <c r="B401" t="s">
        <v>30</v>
      </c>
      <c r="C401" t="s">
        <v>2247</v>
      </c>
      <c r="D401" t="s">
        <v>7893</v>
      </c>
      <c r="E401">
        <v>100</v>
      </c>
      <c r="F401" t="s">
        <v>7894</v>
      </c>
      <c r="G401">
        <v>18312</v>
      </c>
      <c r="J401">
        <v>4.55</v>
      </c>
      <c r="M401">
        <v>833</v>
      </c>
    </row>
    <row r="402" spans="1:15" x14ac:dyDescent="0.25">
      <c r="A402" t="s">
        <v>564</v>
      </c>
      <c r="B402" t="s">
        <v>30</v>
      </c>
      <c r="C402" t="s">
        <v>2324</v>
      </c>
      <c r="D402" t="s">
        <v>7895</v>
      </c>
      <c r="E402">
        <v>101</v>
      </c>
      <c r="F402" t="s">
        <v>6774</v>
      </c>
      <c r="G402">
        <v>18125</v>
      </c>
      <c r="J402">
        <v>8.48</v>
      </c>
      <c r="M402">
        <v>1537</v>
      </c>
    </row>
    <row r="403" spans="1:15" x14ac:dyDescent="0.25">
      <c r="A403" t="s">
        <v>564</v>
      </c>
      <c r="B403" t="s">
        <v>30</v>
      </c>
      <c r="C403" t="s">
        <v>2220</v>
      </c>
      <c r="D403" t="s">
        <v>7896</v>
      </c>
      <c r="E403">
        <v>102</v>
      </c>
      <c r="F403" t="s">
        <v>6798</v>
      </c>
      <c r="G403">
        <v>17913</v>
      </c>
      <c r="J403">
        <v>2.12</v>
      </c>
      <c r="M403">
        <v>380</v>
      </c>
    </row>
    <row r="404" spans="1:15" x14ac:dyDescent="0.25">
      <c r="A404" t="s">
        <v>564</v>
      </c>
      <c r="B404" t="s">
        <v>30</v>
      </c>
      <c r="C404" t="s">
        <v>2320</v>
      </c>
      <c r="D404" t="s">
        <v>7897</v>
      </c>
      <c r="E404">
        <v>103</v>
      </c>
      <c r="F404" t="s">
        <v>7898</v>
      </c>
      <c r="G404">
        <v>17831</v>
      </c>
      <c r="H404">
        <v>124490</v>
      </c>
      <c r="I404">
        <v>-85.7</v>
      </c>
      <c r="J404">
        <v>6.15</v>
      </c>
      <c r="K404">
        <v>14.18</v>
      </c>
      <c r="L404">
        <v>-8</v>
      </c>
      <c r="M404">
        <v>1097</v>
      </c>
      <c r="N404">
        <v>17653</v>
      </c>
      <c r="O404">
        <v>-93.8</v>
      </c>
    </row>
    <row r="405" spans="1:15" x14ac:dyDescent="0.25">
      <c r="A405" t="s">
        <v>564</v>
      </c>
      <c r="B405" t="s">
        <v>30</v>
      </c>
      <c r="C405" t="s">
        <v>2302</v>
      </c>
      <c r="D405" t="s">
        <v>7899</v>
      </c>
      <c r="E405">
        <v>104</v>
      </c>
      <c r="F405" t="s">
        <v>6805</v>
      </c>
      <c r="G405">
        <v>17820</v>
      </c>
      <c r="J405">
        <v>33.340000000000003</v>
      </c>
      <c r="M405">
        <v>5941</v>
      </c>
    </row>
    <row r="406" spans="1:15" x14ac:dyDescent="0.25">
      <c r="A406" t="s">
        <v>564</v>
      </c>
      <c r="B406" t="s">
        <v>30</v>
      </c>
      <c r="C406" t="s">
        <v>2343</v>
      </c>
      <c r="D406" t="s">
        <v>7900</v>
      </c>
      <c r="E406">
        <v>105</v>
      </c>
      <c r="F406" t="s">
        <v>6836</v>
      </c>
      <c r="G406">
        <v>17746</v>
      </c>
      <c r="J406">
        <v>11.46</v>
      </c>
      <c r="M406">
        <v>2034</v>
      </c>
    </row>
    <row r="407" spans="1:15" x14ac:dyDescent="0.25">
      <c r="A407" t="s">
        <v>564</v>
      </c>
      <c r="B407" t="s">
        <v>30</v>
      </c>
      <c r="C407" t="s">
        <v>2205</v>
      </c>
      <c r="D407" t="s">
        <v>7901</v>
      </c>
      <c r="E407">
        <v>106</v>
      </c>
      <c r="F407" t="s">
        <v>7902</v>
      </c>
      <c r="G407">
        <v>17397</v>
      </c>
      <c r="J407">
        <v>6.51</v>
      </c>
      <c r="M407">
        <v>1133</v>
      </c>
    </row>
    <row r="408" spans="1:15" x14ac:dyDescent="0.25">
      <c r="A408" t="s">
        <v>564</v>
      </c>
      <c r="B408" t="s">
        <v>30</v>
      </c>
      <c r="C408" t="s">
        <v>2352</v>
      </c>
      <c r="D408" t="s">
        <v>7903</v>
      </c>
      <c r="E408">
        <v>107</v>
      </c>
      <c r="F408" t="s">
        <v>7045</v>
      </c>
      <c r="G408">
        <v>16893</v>
      </c>
      <c r="H408">
        <v>13571</v>
      </c>
      <c r="I408">
        <v>24.5</v>
      </c>
      <c r="J408">
        <v>12.27</v>
      </c>
      <c r="K408">
        <v>5.66</v>
      </c>
      <c r="L408">
        <v>6.6</v>
      </c>
      <c r="M408">
        <v>2073</v>
      </c>
      <c r="N408">
        <v>768</v>
      </c>
      <c r="O408">
        <v>169.9</v>
      </c>
    </row>
    <row r="409" spans="1:15" x14ac:dyDescent="0.25">
      <c r="A409" t="s">
        <v>564</v>
      </c>
      <c r="B409" t="s">
        <v>30</v>
      </c>
      <c r="C409" t="s">
        <v>2358</v>
      </c>
      <c r="D409" t="s">
        <v>7904</v>
      </c>
      <c r="E409">
        <v>108</v>
      </c>
      <c r="F409" t="s">
        <v>7905</v>
      </c>
      <c r="G409">
        <v>16703</v>
      </c>
      <c r="H409">
        <v>40099</v>
      </c>
      <c r="I409">
        <v>-58.3</v>
      </c>
      <c r="J409">
        <v>4.17</v>
      </c>
      <c r="K409">
        <v>2.17</v>
      </c>
      <c r="L409">
        <v>2</v>
      </c>
      <c r="M409">
        <v>697</v>
      </c>
      <c r="N409">
        <v>870</v>
      </c>
      <c r="O409">
        <v>-20</v>
      </c>
    </row>
    <row r="410" spans="1:15" x14ac:dyDescent="0.25">
      <c r="A410" t="s">
        <v>564</v>
      </c>
      <c r="B410" t="s">
        <v>30</v>
      </c>
      <c r="C410" t="s">
        <v>2363</v>
      </c>
      <c r="D410" t="s">
        <v>7906</v>
      </c>
      <c r="E410">
        <v>109</v>
      </c>
      <c r="F410" t="s">
        <v>7907</v>
      </c>
      <c r="G410">
        <v>16503</v>
      </c>
      <c r="H410">
        <v>10708</v>
      </c>
      <c r="I410">
        <v>54.1</v>
      </c>
      <c r="J410">
        <v>9.6300000000000008</v>
      </c>
      <c r="K410">
        <v>14.16</v>
      </c>
      <c r="L410">
        <v>-4.5</v>
      </c>
      <c r="M410">
        <v>1589</v>
      </c>
      <c r="N410">
        <v>1516</v>
      </c>
      <c r="O410">
        <v>4.8</v>
      </c>
    </row>
    <row r="411" spans="1:15" x14ac:dyDescent="0.25">
      <c r="A411" t="s">
        <v>564</v>
      </c>
      <c r="B411" t="s">
        <v>30</v>
      </c>
      <c r="C411" t="s">
        <v>2354</v>
      </c>
      <c r="D411" t="s">
        <v>7908</v>
      </c>
      <c r="E411">
        <v>110</v>
      </c>
      <c r="F411" t="s">
        <v>6945</v>
      </c>
      <c r="G411">
        <v>15746</v>
      </c>
      <c r="J411">
        <v>3.94</v>
      </c>
      <c r="M411">
        <v>620</v>
      </c>
    </row>
    <row r="412" spans="1:15" x14ac:dyDescent="0.25">
      <c r="A412" t="s">
        <v>564</v>
      </c>
      <c r="B412" t="s">
        <v>30</v>
      </c>
      <c r="C412" t="s">
        <v>2018</v>
      </c>
      <c r="D412" t="s">
        <v>7909</v>
      </c>
      <c r="E412">
        <v>111</v>
      </c>
      <c r="F412" t="s">
        <v>6931</v>
      </c>
      <c r="G412">
        <v>15735</v>
      </c>
      <c r="J412">
        <v>12.11</v>
      </c>
      <c r="M412">
        <v>1906</v>
      </c>
    </row>
    <row r="413" spans="1:15" x14ac:dyDescent="0.25">
      <c r="A413" t="s">
        <v>564</v>
      </c>
      <c r="B413" t="s">
        <v>30</v>
      </c>
      <c r="C413" t="s">
        <v>2377</v>
      </c>
      <c r="D413" t="s">
        <v>7910</v>
      </c>
      <c r="E413">
        <v>112</v>
      </c>
      <c r="F413" t="s">
        <v>7773</v>
      </c>
      <c r="G413">
        <v>15287</v>
      </c>
      <c r="H413">
        <v>38325</v>
      </c>
      <c r="I413">
        <v>-60.1</v>
      </c>
      <c r="J413">
        <v>12.79</v>
      </c>
      <c r="K413">
        <v>12.6</v>
      </c>
      <c r="L413">
        <v>0.2</v>
      </c>
      <c r="M413">
        <v>1955</v>
      </c>
      <c r="N413">
        <v>4829</v>
      </c>
      <c r="O413">
        <v>-59.5</v>
      </c>
    </row>
    <row r="414" spans="1:15" x14ac:dyDescent="0.25">
      <c r="A414" t="s">
        <v>564</v>
      </c>
      <c r="B414" t="s">
        <v>30</v>
      </c>
      <c r="C414" t="s">
        <v>2382</v>
      </c>
      <c r="D414" t="s">
        <v>7911</v>
      </c>
      <c r="E414">
        <v>113</v>
      </c>
      <c r="F414" t="s">
        <v>7355</v>
      </c>
      <c r="G414">
        <v>15100</v>
      </c>
      <c r="H414">
        <v>8628</v>
      </c>
      <c r="I414">
        <v>75</v>
      </c>
      <c r="J414">
        <v>5.03</v>
      </c>
      <c r="K414">
        <v>3.76</v>
      </c>
      <c r="L414">
        <v>1.3</v>
      </c>
      <c r="M414">
        <v>760</v>
      </c>
      <c r="N414">
        <v>324</v>
      </c>
      <c r="O414">
        <v>134.1</v>
      </c>
    </row>
    <row r="415" spans="1:15" x14ac:dyDescent="0.25">
      <c r="A415" t="s">
        <v>564</v>
      </c>
      <c r="B415" t="s">
        <v>30</v>
      </c>
      <c r="C415" t="s">
        <v>2388</v>
      </c>
      <c r="D415" t="s">
        <v>7912</v>
      </c>
      <c r="E415">
        <v>114</v>
      </c>
      <c r="F415" t="s">
        <v>7913</v>
      </c>
      <c r="G415">
        <v>14485</v>
      </c>
      <c r="H415">
        <v>3996</v>
      </c>
      <c r="I415">
        <v>262.5</v>
      </c>
      <c r="J415">
        <v>2.2200000000000002</v>
      </c>
      <c r="K415">
        <v>2.27</v>
      </c>
      <c r="L415">
        <v>-0.1</v>
      </c>
      <c r="M415">
        <v>322</v>
      </c>
      <c r="N415">
        <v>91</v>
      </c>
      <c r="O415">
        <v>254.5</v>
      </c>
    </row>
    <row r="416" spans="1:15" x14ac:dyDescent="0.25">
      <c r="A416" t="s">
        <v>564</v>
      </c>
      <c r="B416" t="s">
        <v>30</v>
      </c>
      <c r="C416" t="s">
        <v>2394</v>
      </c>
      <c r="D416" t="s">
        <v>7914</v>
      </c>
      <c r="E416">
        <v>115</v>
      </c>
      <c r="F416" t="s">
        <v>7915</v>
      </c>
      <c r="G416">
        <v>14424</v>
      </c>
      <c r="H416">
        <v>6870</v>
      </c>
      <c r="I416">
        <v>110</v>
      </c>
      <c r="J416">
        <v>6.22</v>
      </c>
      <c r="K416">
        <v>9.0500000000000007</v>
      </c>
      <c r="L416">
        <v>-2.8</v>
      </c>
      <c r="M416">
        <v>897</v>
      </c>
      <c r="N416">
        <v>622</v>
      </c>
      <c r="O416">
        <v>44.3</v>
      </c>
    </row>
    <row r="417" spans="1:15" x14ac:dyDescent="0.25">
      <c r="A417" t="s">
        <v>564</v>
      </c>
      <c r="B417" t="s">
        <v>30</v>
      </c>
      <c r="C417" t="s">
        <v>2400</v>
      </c>
      <c r="D417" t="s">
        <v>7916</v>
      </c>
      <c r="E417">
        <v>116</v>
      </c>
      <c r="F417" t="s">
        <v>7917</v>
      </c>
      <c r="G417">
        <v>14245</v>
      </c>
      <c r="H417">
        <v>10155</v>
      </c>
      <c r="I417">
        <v>40.299999999999997</v>
      </c>
      <c r="J417">
        <v>4.13</v>
      </c>
      <c r="K417">
        <v>10.66</v>
      </c>
      <c r="L417">
        <v>-6.5</v>
      </c>
      <c r="M417">
        <v>588</v>
      </c>
      <c r="N417">
        <v>1083</v>
      </c>
      <c r="O417">
        <v>-45.7</v>
      </c>
    </row>
    <row r="418" spans="1:15" x14ac:dyDescent="0.25">
      <c r="A418" t="s">
        <v>564</v>
      </c>
      <c r="B418" t="s">
        <v>30</v>
      </c>
      <c r="C418" t="s">
        <v>2406</v>
      </c>
      <c r="D418" t="s">
        <v>7918</v>
      </c>
      <c r="E418">
        <v>117</v>
      </c>
      <c r="F418" t="s">
        <v>7919</v>
      </c>
      <c r="G418">
        <v>13990</v>
      </c>
      <c r="H418">
        <v>18655</v>
      </c>
      <c r="I418">
        <v>-25</v>
      </c>
      <c r="J418">
        <v>19.190000000000001</v>
      </c>
      <c r="K418">
        <v>11.18</v>
      </c>
      <c r="L418">
        <v>8</v>
      </c>
      <c r="M418">
        <v>2685</v>
      </c>
      <c r="N418">
        <v>2086</v>
      </c>
      <c r="O418">
        <v>28.7</v>
      </c>
    </row>
    <row r="419" spans="1:15" x14ac:dyDescent="0.25">
      <c r="A419" t="s">
        <v>564</v>
      </c>
      <c r="B419" t="s">
        <v>30</v>
      </c>
      <c r="C419" t="s">
        <v>2402</v>
      </c>
      <c r="D419" t="s">
        <v>7920</v>
      </c>
      <c r="E419">
        <v>118</v>
      </c>
      <c r="F419" t="s">
        <v>7921</v>
      </c>
      <c r="G419">
        <v>13572</v>
      </c>
      <c r="H419">
        <v>945</v>
      </c>
      <c r="I419">
        <v>1336.2</v>
      </c>
      <c r="J419">
        <v>6.28</v>
      </c>
      <c r="K419">
        <v>6.74</v>
      </c>
      <c r="L419">
        <v>-0.5</v>
      </c>
      <c r="M419">
        <v>852</v>
      </c>
      <c r="N419">
        <v>64</v>
      </c>
      <c r="O419">
        <v>1238.2</v>
      </c>
    </row>
    <row r="420" spans="1:15" x14ac:dyDescent="0.25">
      <c r="A420" t="s">
        <v>564</v>
      </c>
      <c r="B420" t="s">
        <v>30</v>
      </c>
      <c r="C420" t="s">
        <v>2417</v>
      </c>
      <c r="D420" t="s">
        <v>7922</v>
      </c>
      <c r="E420">
        <v>119</v>
      </c>
      <c r="F420" t="s">
        <v>3932</v>
      </c>
      <c r="G420">
        <v>13566</v>
      </c>
      <c r="H420">
        <v>27278</v>
      </c>
      <c r="I420">
        <v>-50.3</v>
      </c>
      <c r="J420">
        <v>4.57</v>
      </c>
      <c r="K420">
        <v>5.15</v>
      </c>
      <c r="L420">
        <v>-0.6</v>
      </c>
      <c r="M420">
        <v>620</v>
      </c>
      <c r="N420">
        <v>1405</v>
      </c>
      <c r="O420">
        <v>-55.9</v>
      </c>
    </row>
    <row r="421" spans="1:15" x14ac:dyDescent="0.25">
      <c r="A421" t="s">
        <v>564</v>
      </c>
      <c r="B421" t="s">
        <v>30</v>
      </c>
      <c r="C421" t="s">
        <v>2339</v>
      </c>
      <c r="D421" t="s">
        <v>7923</v>
      </c>
      <c r="E421">
        <v>120</v>
      </c>
      <c r="F421" t="s">
        <v>7924</v>
      </c>
      <c r="G421">
        <v>13346</v>
      </c>
      <c r="H421">
        <v>17501</v>
      </c>
      <c r="I421">
        <v>-23.7</v>
      </c>
      <c r="J421">
        <v>4.34</v>
      </c>
      <c r="K421">
        <v>4.05</v>
      </c>
      <c r="L421">
        <v>0.3</v>
      </c>
      <c r="M421">
        <v>579</v>
      </c>
      <c r="N421">
        <v>709</v>
      </c>
      <c r="O421">
        <v>-18.3</v>
      </c>
    </row>
    <row r="422" spans="1:15" x14ac:dyDescent="0.25">
      <c r="A422" t="s">
        <v>564</v>
      </c>
      <c r="B422" t="s">
        <v>30</v>
      </c>
      <c r="C422" t="s">
        <v>2427</v>
      </c>
      <c r="D422" t="s">
        <v>7925</v>
      </c>
      <c r="E422">
        <v>121</v>
      </c>
      <c r="F422" t="s">
        <v>7926</v>
      </c>
      <c r="G422">
        <v>13162</v>
      </c>
      <c r="H422">
        <v>9064</v>
      </c>
      <c r="I422">
        <v>45.2</v>
      </c>
      <c r="J422">
        <v>12.99</v>
      </c>
      <c r="K422">
        <v>18.579999999999998</v>
      </c>
      <c r="L422">
        <v>-5.6</v>
      </c>
      <c r="M422">
        <v>1710</v>
      </c>
      <c r="N422">
        <v>1684</v>
      </c>
      <c r="O422">
        <v>1.5</v>
      </c>
    </row>
    <row r="423" spans="1:15" x14ac:dyDescent="0.25">
      <c r="A423" t="s">
        <v>564</v>
      </c>
      <c r="B423" t="s">
        <v>30</v>
      </c>
      <c r="C423" t="s">
        <v>2432</v>
      </c>
      <c r="D423" t="s">
        <v>7927</v>
      </c>
      <c r="E423">
        <v>122</v>
      </c>
      <c r="F423" t="s">
        <v>7928</v>
      </c>
      <c r="G423">
        <v>13147</v>
      </c>
      <c r="J423">
        <v>15.32</v>
      </c>
      <c r="M423">
        <v>2014</v>
      </c>
    </row>
    <row r="424" spans="1:15" x14ac:dyDescent="0.25">
      <c r="A424" t="s">
        <v>564</v>
      </c>
      <c r="B424" t="s">
        <v>30</v>
      </c>
      <c r="C424" t="s">
        <v>2437</v>
      </c>
      <c r="D424" t="s">
        <v>7929</v>
      </c>
      <c r="E424">
        <v>123</v>
      </c>
      <c r="F424" t="s">
        <v>7112</v>
      </c>
      <c r="G424">
        <v>13072</v>
      </c>
      <c r="H424">
        <v>52217</v>
      </c>
      <c r="I424">
        <v>-75</v>
      </c>
      <c r="J424">
        <v>8.59</v>
      </c>
      <c r="K424">
        <v>4.99</v>
      </c>
      <c r="L424">
        <v>3.6</v>
      </c>
      <c r="M424">
        <v>1123</v>
      </c>
      <c r="N424">
        <v>2606</v>
      </c>
      <c r="O424">
        <v>-56.9</v>
      </c>
    </row>
    <row r="425" spans="1:15" x14ac:dyDescent="0.25">
      <c r="A425" t="s">
        <v>564</v>
      </c>
      <c r="B425" t="s">
        <v>30</v>
      </c>
      <c r="C425" t="s">
        <v>2443</v>
      </c>
      <c r="D425" t="s">
        <v>7930</v>
      </c>
      <c r="E425">
        <v>124</v>
      </c>
      <c r="F425" t="s">
        <v>7931</v>
      </c>
      <c r="G425">
        <v>12915</v>
      </c>
      <c r="J425">
        <v>7.92</v>
      </c>
      <c r="M425">
        <v>1023</v>
      </c>
    </row>
    <row r="426" spans="1:15" x14ac:dyDescent="0.25">
      <c r="A426" t="s">
        <v>564</v>
      </c>
      <c r="B426" t="s">
        <v>30</v>
      </c>
      <c r="C426" t="s">
        <v>2449</v>
      </c>
      <c r="D426" t="s">
        <v>7932</v>
      </c>
      <c r="E426">
        <v>125</v>
      </c>
      <c r="F426" t="s">
        <v>7933</v>
      </c>
      <c r="G426">
        <v>12823</v>
      </c>
      <c r="H426">
        <v>16675</v>
      </c>
      <c r="I426">
        <v>-23.1</v>
      </c>
      <c r="J426">
        <v>7.42</v>
      </c>
      <c r="K426">
        <v>3.32</v>
      </c>
      <c r="L426">
        <v>4.0999999999999996</v>
      </c>
      <c r="M426">
        <v>951</v>
      </c>
      <c r="N426">
        <v>554</v>
      </c>
      <c r="O426">
        <v>71.900000000000006</v>
      </c>
    </row>
    <row r="427" spans="1:15" x14ac:dyDescent="0.25">
      <c r="A427" t="s">
        <v>564</v>
      </c>
      <c r="B427" t="s">
        <v>30</v>
      </c>
      <c r="C427" t="s">
        <v>2454</v>
      </c>
      <c r="D427" t="s">
        <v>7934</v>
      </c>
      <c r="E427">
        <v>126</v>
      </c>
      <c r="F427" t="s">
        <v>7935</v>
      </c>
      <c r="G427">
        <v>12821</v>
      </c>
      <c r="H427">
        <v>1224</v>
      </c>
      <c r="I427">
        <v>947.5</v>
      </c>
      <c r="J427">
        <v>3.7</v>
      </c>
      <c r="K427">
        <v>5.35</v>
      </c>
      <c r="L427">
        <v>-1.6</v>
      </c>
      <c r="M427">
        <v>474</v>
      </c>
      <c r="N427">
        <v>65</v>
      </c>
      <c r="O427">
        <v>624.4</v>
      </c>
    </row>
    <row r="428" spans="1:15" x14ac:dyDescent="0.25">
      <c r="A428" t="s">
        <v>564</v>
      </c>
      <c r="B428" t="s">
        <v>30</v>
      </c>
      <c r="C428" t="s">
        <v>2460</v>
      </c>
      <c r="D428" t="s">
        <v>7936</v>
      </c>
      <c r="E428">
        <v>127</v>
      </c>
      <c r="F428" t="s">
        <v>7937</v>
      </c>
      <c r="G428">
        <v>12744</v>
      </c>
      <c r="J428">
        <v>4.1900000000000004</v>
      </c>
      <c r="M428">
        <v>534</v>
      </c>
    </row>
    <row r="429" spans="1:15" x14ac:dyDescent="0.25">
      <c r="A429" t="s">
        <v>564</v>
      </c>
      <c r="B429" t="s">
        <v>30</v>
      </c>
      <c r="C429" t="s">
        <v>2466</v>
      </c>
      <c r="D429" t="s">
        <v>7938</v>
      </c>
      <c r="E429">
        <v>128</v>
      </c>
      <c r="F429" t="s">
        <v>7939</v>
      </c>
      <c r="G429">
        <v>12563</v>
      </c>
      <c r="J429">
        <v>6.31</v>
      </c>
      <c r="M429">
        <v>793</v>
      </c>
    </row>
    <row r="430" spans="1:15" x14ac:dyDescent="0.25">
      <c r="A430" t="s">
        <v>564</v>
      </c>
      <c r="B430" t="s">
        <v>30</v>
      </c>
      <c r="C430" t="s">
        <v>2472</v>
      </c>
      <c r="D430" t="s">
        <v>7940</v>
      </c>
      <c r="E430">
        <v>129</v>
      </c>
      <c r="F430" t="s">
        <v>7941</v>
      </c>
      <c r="G430">
        <v>12150</v>
      </c>
      <c r="H430">
        <v>16876</v>
      </c>
      <c r="I430">
        <v>-28</v>
      </c>
      <c r="J430">
        <v>10.41</v>
      </c>
      <c r="K430">
        <v>10.039999999999999</v>
      </c>
      <c r="L430">
        <v>0.4</v>
      </c>
      <c r="M430">
        <v>1265</v>
      </c>
      <c r="N430">
        <v>1694</v>
      </c>
      <c r="O430">
        <v>-25.4</v>
      </c>
    </row>
    <row r="431" spans="1:15" x14ac:dyDescent="0.25">
      <c r="A431" t="s">
        <v>564</v>
      </c>
      <c r="B431" t="s">
        <v>30</v>
      </c>
      <c r="C431" t="s">
        <v>2477</v>
      </c>
      <c r="D431" t="s">
        <v>7942</v>
      </c>
      <c r="E431">
        <v>130</v>
      </c>
      <c r="F431" t="s">
        <v>7943</v>
      </c>
      <c r="G431">
        <v>12114</v>
      </c>
      <c r="H431">
        <v>21069</v>
      </c>
      <c r="I431">
        <v>-42.5</v>
      </c>
      <c r="J431">
        <v>14.95</v>
      </c>
      <c r="K431">
        <v>8.15</v>
      </c>
      <c r="L431">
        <v>6.8</v>
      </c>
      <c r="M431">
        <v>1811</v>
      </c>
      <c r="N431">
        <v>1717</v>
      </c>
      <c r="O431">
        <v>5.5</v>
      </c>
    </row>
    <row r="432" spans="1:15" x14ac:dyDescent="0.25">
      <c r="A432" t="s">
        <v>564</v>
      </c>
      <c r="B432" t="s">
        <v>30</v>
      </c>
      <c r="C432" t="s">
        <v>2334</v>
      </c>
      <c r="D432" t="s">
        <v>7944</v>
      </c>
      <c r="E432">
        <v>131</v>
      </c>
      <c r="F432" t="s">
        <v>7945</v>
      </c>
      <c r="G432">
        <v>12033</v>
      </c>
      <c r="J432">
        <v>1.75</v>
      </c>
      <c r="M432">
        <v>211</v>
      </c>
    </row>
    <row r="433" spans="1:15" x14ac:dyDescent="0.25">
      <c r="A433" t="s">
        <v>564</v>
      </c>
      <c r="B433" t="s">
        <v>30</v>
      </c>
      <c r="C433" t="s">
        <v>2486</v>
      </c>
      <c r="D433" t="s">
        <v>7946</v>
      </c>
      <c r="E433">
        <v>132</v>
      </c>
      <c r="F433" t="s">
        <v>7947</v>
      </c>
      <c r="G433">
        <v>11982</v>
      </c>
      <c r="H433">
        <v>13388</v>
      </c>
      <c r="I433">
        <v>-10.5</v>
      </c>
      <c r="J433">
        <v>5.71</v>
      </c>
      <c r="K433">
        <v>5.22</v>
      </c>
      <c r="L433">
        <v>0.5</v>
      </c>
      <c r="M433">
        <v>684</v>
      </c>
      <c r="N433">
        <v>699</v>
      </c>
      <c r="O433">
        <v>-2.1</v>
      </c>
    </row>
    <row r="434" spans="1:15" x14ac:dyDescent="0.25">
      <c r="A434" t="s">
        <v>564</v>
      </c>
      <c r="B434" t="s">
        <v>30</v>
      </c>
      <c r="C434" t="s">
        <v>2492</v>
      </c>
      <c r="D434" t="s">
        <v>7948</v>
      </c>
      <c r="E434">
        <v>133</v>
      </c>
      <c r="F434" t="s">
        <v>7949</v>
      </c>
      <c r="G434">
        <v>11784</v>
      </c>
      <c r="H434">
        <v>1632</v>
      </c>
      <c r="I434">
        <v>622.1</v>
      </c>
      <c r="J434">
        <v>8.66</v>
      </c>
      <c r="K434">
        <v>7.29</v>
      </c>
      <c r="L434">
        <v>1.4</v>
      </c>
      <c r="M434">
        <v>1020</v>
      </c>
      <c r="N434">
        <v>119</v>
      </c>
      <c r="O434">
        <v>757.8</v>
      </c>
    </row>
    <row r="435" spans="1:15" x14ac:dyDescent="0.25">
      <c r="A435" t="s">
        <v>564</v>
      </c>
      <c r="B435" t="s">
        <v>30</v>
      </c>
      <c r="C435" t="s">
        <v>2497</v>
      </c>
      <c r="D435" t="s">
        <v>7950</v>
      </c>
      <c r="E435">
        <v>134</v>
      </c>
      <c r="F435" t="s">
        <v>7951</v>
      </c>
      <c r="G435">
        <v>11739</v>
      </c>
      <c r="H435">
        <v>20277</v>
      </c>
      <c r="I435">
        <v>-42.1</v>
      </c>
      <c r="J435">
        <v>7.51</v>
      </c>
      <c r="K435">
        <v>1.99</v>
      </c>
      <c r="L435">
        <v>5.5</v>
      </c>
      <c r="M435">
        <v>882</v>
      </c>
      <c r="N435">
        <v>404</v>
      </c>
      <c r="O435">
        <v>118.5</v>
      </c>
    </row>
    <row r="436" spans="1:15" x14ac:dyDescent="0.25">
      <c r="A436" t="s">
        <v>564</v>
      </c>
      <c r="B436" t="s">
        <v>30</v>
      </c>
      <c r="C436" t="s">
        <v>2503</v>
      </c>
      <c r="D436" t="s">
        <v>7952</v>
      </c>
      <c r="E436">
        <v>135</v>
      </c>
      <c r="F436" t="s">
        <v>7953</v>
      </c>
      <c r="G436">
        <v>11268</v>
      </c>
      <c r="H436">
        <v>53964</v>
      </c>
      <c r="I436">
        <v>-79.099999999999994</v>
      </c>
      <c r="J436">
        <v>5.62</v>
      </c>
      <c r="K436">
        <v>11.31</v>
      </c>
      <c r="L436">
        <v>-5.7</v>
      </c>
      <c r="M436">
        <v>633</v>
      </c>
      <c r="N436">
        <v>6103</v>
      </c>
      <c r="O436">
        <v>-89.6</v>
      </c>
    </row>
    <row r="437" spans="1:15" x14ac:dyDescent="0.25">
      <c r="A437" t="s">
        <v>564</v>
      </c>
      <c r="B437" t="s">
        <v>30</v>
      </c>
      <c r="C437" t="s">
        <v>2508</v>
      </c>
      <c r="D437" t="s">
        <v>7954</v>
      </c>
      <c r="E437">
        <v>136</v>
      </c>
      <c r="F437" t="s">
        <v>7955</v>
      </c>
      <c r="G437">
        <v>11130</v>
      </c>
      <c r="J437">
        <v>6.29</v>
      </c>
      <c r="M437">
        <v>700</v>
      </c>
    </row>
    <row r="438" spans="1:15" x14ac:dyDescent="0.25">
      <c r="A438" t="s">
        <v>564</v>
      </c>
      <c r="B438" t="s">
        <v>30</v>
      </c>
      <c r="C438" t="s">
        <v>2439</v>
      </c>
      <c r="D438" t="s">
        <v>7956</v>
      </c>
      <c r="E438">
        <v>137</v>
      </c>
      <c r="F438" t="s">
        <v>7957</v>
      </c>
      <c r="G438">
        <v>11101</v>
      </c>
      <c r="H438">
        <v>8211</v>
      </c>
      <c r="I438">
        <v>35.200000000000003</v>
      </c>
      <c r="J438">
        <v>7.16</v>
      </c>
      <c r="K438">
        <v>1.18</v>
      </c>
      <c r="L438">
        <v>6</v>
      </c>
      <c r="M438">
        <v>795</v>
      </c>
      <c r="N438">
        <v>97</v>
      </c>
      <c r="O438">
        <v>720.3</v>
      </c>
    </row>
    <row r="439" spans="1:15" x14ac:dyDescent="0.25">
      <c r="A439" t="s">
        <v>564</v>
      </c>
      <c r="B439" t="s">
        <v>30</v>
      </c>
      <c r="C439" t="s">
        <v>2518</v>
      </c>
      <c r="D439" t="s">
        <v>7958</v>
      </c>
      <c r="E439">
        <v>138</v>
      </c>
      <c r="F439" t="s">
        <v>7959</v>
      </c>
      <c r="G439">
        <v>11095</v>
      </c>
      <c r="H439">
        <v>11781</v>
      </c>
      <c r="I439">
        <v>-5.8</v>
      </c>
      <c r="J439">
        <v>13.25</v>
      </c>
      <c r="K439">
        <v>11.23</v>
      </c>
      <c r="L439">
        <v>2</v>
      </c>
      <c r="M439">
        <v>1470</v>
      </c>
      <c r="N439">
        <v>1323</v>
      </c>
      <c r="O439">
        <v>11.1</v>
      </c>
    </row>
    <row r="440" spans="1:15" x14ac:dyDescent="0.25">
      <c r="A440" t="s">
        <v>564</v>
      </c>
      <c r="B440" t="s">
        <v>30</v>
      </c>
      <c r="C440" t="s">
        <v>2522</v>
      </c>
      <c r="D440" t="s">
        <v>7960</v>
      </c>
      <c r="E440">
        <v>139</v>
      </c>
      <c r="F440" t="s">
        <v>7961</v>
      </c>
      <c r="G440">
        <v>10893</v>
      </c>
      <c r="J440">
        <v>11.18</v>
      </c>
      <c r="M440">
        <v>1218</v>
      </c>
    </row>
    <row r="441" spans="1:15" x14ac:dyDescent="0.25">
      <c r="A441" t="s">
        <v>564</v>
      </c>
      <c r="B441" t="s">
        <v>30</v>
      </c>
      <c r="C441" t="s">
        <v>2423</v>
      </c>
      <c r="D441" t="s">
        <v>7962</v>
      </c>
      <c r="E441">
        <v>140</v>
      </c>
      <c r="F441" t="s">
        <v>7963</v>
      </c>
      <c r="G441">
        <v>10655</v>
      </c>
      <c r="H441">
        <v>19912</v>
      </c>
      <c r="I441">
        <v>-46.5</v>
      </c>
      <c r="J441">
        <v>3.56</v>
      </c>
      <c r="K441">
        <v>9.2200000000000006</v>
      </c>
      <c r="L441">
        <v>-5.7</v>
      </c>
      <c r="M441">
        <v>379</v>
      </c>
      <c r="N441">
        <v>1836</v>
      </c>
      <c r="O441">
        <v>-79.3</v>
      </c>
    </row>
    <row r="442" spans="1:15" x14ac:dyDescent="0.25">
      <c r="A442" t="s">
        <v>564</v>
      </c>
      <c r="B442" t="s">
        <v>30</v>
      </c>
      <c r="C442" t="s">
        <v>2531</v>
      </c>
      <c r="D442" t="s">
        <v>7964</v>
      </c>
      <c r="E442">
        <v>141</v>
      </c>
      <c r="F442" t="s">
        <v>7965</v>
      </c>
      <c r="G442">
        <v>10622</v>
      </c>
      <c r="J442">
        <v>5.41</v>
      </c>
      <c r="M442">
        <v>575</v>
      </c>
    </row>
    <row r="443" spans="1:15" x14ac:dyDescent="0.25">
      <c r="A443" t="s">
        <v>564</v>
      </c>
      <c r="B443" t="s">
        <v>30</v>
      </c>
      <c r="C443" t="s">
        <v>2537</v>
      </c>
      <c r="D443" t="s">
        <v>7966</v>
      </c>
      <c r="E443">
        <v>142</v>
      </c>
      <c r="F443" t="s">
        <v>7967</v>
      </c>
      <c r="G443">
        <v>10121</v>
      </c>
      <c r="H443">
        <v>5714</v>
      </c>
      <c r="I443">
        <v>77.099999999999994</v>
      </c>
      <c r="J443">
        <v>2.14</v>
      </c>
      <c r="K443">
        <v>1.2</v>
      </c>
      <c r="L443">
        <v>0.9</v>
      </c>
      <c r="M443">
        <v>217</v>
      </c>
      <c r="N443">
        <v>69</v>
      </c>
      <c r="O443">
        <v>215.9</v>
      </c>
    </row>
    <row r="444" spans="1:15" x14ac:dyDescent="0.25">
      <c r="A444" t="s">
        <v>564</v>
      </c>
      <c r="B444" t="s">
        <v>30</v>
      </c>
      <c r="C444" t="s">
        <v>2390</v>
      </c>
      <c r="D444" t="s">
        <v>7968</v>
      </c>
      <c r="E444">
        <v>143</v>
      </c>
      <c r="F444" t="s">
        <v>7600</v>
      </c>
      <c r="G444">
        <v>9966</v>
      </c>
      <c r="H444">
        <v>22726</v>
      </c>
      <c r="I444">
        <v>-56.1</v>
      </c>
      <c r="J444">
        <v>9.82</v>
      </c>
      <c r="K444">
        <v>8.2100000000000009</v>
      </c>
      <c r="L444">
        <v>1.6</v>
      </c>
      <c r="M444">
        <v>979</v>
      </c>
      <c r="N444">
        <v>1866</v>
      </c>
      <c r="O444">
        <v>-47.5</v>
      </c>
    </row>
    <row r="445" spans="1:15" x14ac:dyDescent="0.25">
      <c r="A445" t="s">
        <v>564</v>
      </c>
      <c r="B445" t="s">
        <v>30</v>
      </c>
      <c r="C445" t="s">
        <v>2533</v>
      </c>
      <c r="D445" t="s">
        <v>7969</v>
      </c>
      <c r="E445">
        <v>144</v>
      </c>
      <c r="F445" t="s">
        <v>4315</v>
      </c>
      <c r="G445">
        <v>9925</v>
      </c>
      <c r="J445">
        <v>5.94</v>
      </c>
      <c r="M445">
        <v>590</v>
      </c>
    </row>
    <row r="446" spans="1:15" x14ac:dyDescent="0.25">
      <c r="A446" t="s">
        <v>564</v>
      </c>
      <c r="B446" t="s">
        <v>30</v>
      </c>
      <c r="C446" t="s">
        <v>2551</v>
      </c>
      <c r="D446" t="s">
        <v>7970</v>
      </c>
      <c r="E446">
        <v>145</v>
      </c>
      <c r="F446" t="s">
        <v>7971</v>
      </c>
      <c r="G446">
        <v>9750</v>
      </c>
      <c r="J446">
        <v>9.6999999999999993</v>
      </c>
      <c r="M446">
        <v>946</v>
      </c>
    </row>
    <row r="447" spans="1:15" x14ac:dyDescent="0.25">
      <c r="A447" t="s">
        <v>564</v>
      </c>
      <c r="B447" t="s">
        <v>30</v>
      </c>
      <c r="C447" t="s">
        <v>2468</v>
      </c>
      <c r="D447" t="s">
        <v>7972</v>
      </c>
      <c r="E447">
        <v>146</v>
      </c>
      <c r="F447" t="s">
        <v>7973</v>
      </c>
      <c r="G447">
        <v>9716</v>
      </c>
      <c r="H447">
        <v>72050</v>
      </c>
      <c r="I447">
        <v>-86.5</v>
      </c>
      <c r="J447">
        <v>18.399999999999999</v>
      </c>
      <c r="K447">
        <v>15.29</v>
      </c>
      <c r="L447">
        <v>3.1</v>
      </c>
      <c r="M447">
        <v>1788</v>
      </c>
      <c r="N447">
        <v>11016</v>
      </c>
      <c r="O447">
        <v>-83.8</v>
      </c>
    </row>
    <row r="448" spans="1:15" x14ac:dyDescent="0.25">
      <c r="A448" t="s">
        <v>564</v>
      </c>
      <c r="B448" t="s">
        <v>30</v>
      </c>
      <c r="C448" t="s">
        <v>2462</v>
      </c>
      <c r="D448" t="s">
        <v>7974</v>
      </c>
      <c r="E448">
        <v>147</v>
      </c>
      <c r="F448" t="s">
        <v>7975</v>
      </c>
      <c r="G448">
        <v>9428</v>
      </c>
      <c r="J448">
        <v>10.48</v>
      </c>
      <c r="M448">
        <v>988</v>
      </c>
    </row>
    <row r="449" spans="1:15" x14ac:dyDescent="0.25">
      <c r="A449" t="s">
        <v>564</v>
      </c>
      <c r="B449" t="s">
        <v>30</v>
      </c>
      <c r="C449" t="s">
        <v>2565</v>
      </c>
      <c r="D449" t="s">
        <v>7976</v>
      </c>
      <c r="E449">
        <v>148</v>
      </c>
      <c r="F449" t="s">
        <v>7977</v>
      </c>
      <c r="G449">
        <v>8912</v>
      </c>
      <c r="H449">
        <v>16789</v>
      </c>
      <c r="I449">
        <v>-46.9</v>
      </c>
      <c r="J449">
        <v>8.7799999999999994</v>
      </c>
      <c r="K449">
        <v>14.41</v>
      </c>
      <c r="L449">
        <v>-5.6</v>
      </c>
      <c r="M449">
        <v>782</v>
      </c>
      <c r="N449">
        <v>2419</v>
      </c>
      <c r="O449">
        <v>-67.7</v>
      </c>
    </row>
    <row r="450" spans="1:15" x14ac:dyDescent="0.25">
      <c r="A450" t="s">
        <v>564</v>
      </c>
      <c r="B450" t="s">
        <v>30</v>
      </c>
      <c r="C450" t="s">
        <v>2570</v>
      </c>
      <c r="D450" t="s">
        <v>7978</v>
      </c>
      <c r="E450">
        <v>149</v>
      </c>
      <c r="F450" t="s">
        <v>7979</v>
      </c>
      <c r="G450">
        <v>8879</v>
      </c>
      <c r="H450">
        <v>17040</v>
      </c>
      <c r="I450">
        <v>-47.9</v>
      </c>
      <c r="J450">
        <v>23.81</v>
      </c>
      <c r="K450">
        <v>10.130000000000001</v>
      </c>
      <c r="L450">
        <v>13.7</v>
      </c>
      <c r="M450">
        <v>2114</v>
      </c>
      <c r="N450">
        <v>1726</v>
      </c>
      <c r="O450">
        <v>22.5</v>
      </c>
    </row>
    <row r="451" spans="1:15" x14ac:dyDescent="0.25">
      <c r="A451" t="s">
        <v>564</v>
      </c>
      <c r="B451" t="s">
        <v>30</v>
      </c>
      <c r="C451" t="s">
        <v>2576</v>
      </c>
      <c r="D451" t="s">
        <v>7980</v>
      </c>
      <c r="E451">
        <v>150</v>
      </c>
      <c r="F451" t="s">
        <v>7981</v>
      </c>
      <c r="G451">
        <v>8839</v>
      </c>
      <c r="H451">
        <v>5829</v>
      </c>
      <c r="I451">
        <v>51.6</v>
      </c>
      <c r="J451">
        <v>6.69</v>
      </c>
      <c r="K451">
        <v>1.69</v>
      </c>
      <c r="L451">
        <v>5</v>
      </c>
      <c r="M451">
        <v>591</v>
      </c>
      <c r="N451">
        <v>99</v>
      </c>
      <c r="O451">
        <v>500.3</v>
      </c>
    </row>
    <row r="452" spans="1:15" x14ac:dyDescent="0.25">
      <c r="A452" t="s">
        <v>564</v>
      </c>
      <c r="B452" t="s">
        <v>30</v>
      </c>
      <c r="C452" t="s">
        <v>2581</v>
      </c>
      <c r="D452" t="s">
        <v>7982</v>
      </c>
      <c r="E452">
        <v>151</v>
      </c>
      <c r="F452" t="s">
        <v>7983</v>
      </c>
      <c r="G452">
        <v>8149</v>
      </c>
      <c r="J452">
        <v>24.4</v>
      </c>
      <c r="M452">
        <v>1988</v>
      </c>
    </row>
    <row r="453" spans="1:15" x14ac:dyDescent="0.25">
      <c r="A453" t="s">
        <v>564</v>
      </c>
      <c r="B453" t="s">
        <v>30</v>
      </c>
      <c r="C453" t="s">
        <v>2373</v>
      </c>
      <c r="D453" t="s">
        <v>7984</v>
      </c>
      <c r="E453">
        <v>152</v>
      </c>
      <c r="F453" t="s">
        <v>7985</v>
      </c>
      <c r="G453">
        <v>8130</v>
      </c>
      <c r="J453">
        <v>3.86</v>
      </c>
      <c r="M453">
        <v>314</v>
      </c>
    </row>
    <row r="454" spans="1:15" x14ac:dyDescent="0.25">
      <c r="A454" t="s">
        <v>564</v>
      </c>
      <c r="B454" t="s">
        <v>30</v>
      </c>
      <c r="C454" t="s">
        <v>2590</v>
      </c>
      <c r="D454" t="s">
        <v>7986</v>
      </c>
      <c r="E454">
        <v>153</v>
      </c>
      <c r="F454" t="s">
        <v>7987</v>
      </c>
      <c r="G454">
        <v>8036</v>
      </c>
      <c r="H454">
        <v>2609</v>
      </c>
      <c r="I454">
        <v>208</v>
      </c>
      <c r="J454">
        <v>12.35</v>
      </c>
      <c r="K454">
        <v>6.36</v>
      </c>
      <c r="L454">
        <v>6</v>
      </c>
      <c r="M454">
        <v>992</v>
      </c>
      <c r="N454">
        <v>166</v>
      </c>
      <c r="O454">
        <v>498.1</v>
      </c>
    </row>
    <row r="455" spans="1:15" x14ac:dyDescent="0.25">
      <c r="A455" t="s">
        <v>564</v>
      </c>
      <c r="B455" t="s">
        <v>30</v>
      </c>
      <c r="C455" t="s">
        <v>2557</v>
      </c>
      <c r="D455" t="s">
        <v>7988</v>
      </c>
      <c r="E455">
        <v>154</v>
      </c>
      <c r="F455" t="s">
        <v>7989</v>
      </c>
      <c r="G455">
        <v>7962</v>
      </c>
      <c r="H455">
        <v>27746</v>
      </c>
      <c r="I455">
        <v>-71.3</v>
      </c>
      <c r="J455">
        <v>3.73</v>
      </c>
      <c r="K455">
        <v>3.95</v>
      </c>
      <c r="L455">
        <v>-0.2</v>
      </c>
      <c r="M455">
        <v>297</v>
      </c>
      <c r="N455">
        <v>1096</v>
      </c>
      <c r="O455">
        <v>-72.900000000000006</v>
      </c>
    </row>
    <row r="456" spans="1:15" x14ac:dyDescent="0.25">
      <c r="A456" t="s">
        <v>564</v>
      </c>
      <c r="B456" t="s">
        <v>30</v>
      </c>
      <c r="C456" t="s">
        <v>2601</v>
      </c>
      <c r="D456" t="s">
        <v>7990</v>
      </c>
      <c r="E456">
        <v>155</v>
      </c>
      <c r="F456" t="s">
        <v>7991</v>
      </c>
      <c r="G456">
        <v>7952</v>
      </c>
      <c r="H456">
        <v>10466</v>
      </c>
      <c r="I456">
        <v>-24</v>
      </c>
      <c r="J456">
        <v>13.86</v>
      </c>
      <c r="K456">
        <v>9.77</v>
      </c>
      <c r="L456">
        <v>4.0999999999999996</v>
      </c>
      <c r="M456">
        <v>1102</v>
      </c>
      <c r="N456">
        <v>1023</v>
      </c>
      <c r="O456">
        <v>7.8</v>
      </c>
    </row>
    <row r="457" spans="1:15" x14ac:dyDescent="0.25">
      <c r="A457" t="s">
        <v>564</v>
      </c>
      <c r="B457" t="s">
        <v>30</v>
      </c>
      <c r="C457" t="s">
        <v>2408</v>
      </c>
      <c r="D457" t="s">
        <v>7992</v>
      </c>
      <c r="E457">
        <v>156</v>
      </c>
      <c r="F457" t="s">
        <v>7993</v>
      </c>
      <c r="G457">
        <v>7939</v>
      </c>
      <c r="H457">
        <v>10357</v>
      </c>
      <c r="I457">
        <v>-23.3</v>
      </c>
      <c r="J457">
        <v>6.9</v>
      </c>
      <c r="K457">
        <v>4.8499999999999996</v>
      </c>
      <c r="L457">
        <v>2.1</v>
      </c>
      <c r="M457">
        <v>548</v>
      </c>
      <c r="N457">
        <v>502</v>
      </c>
      <c r="O457">
        <v>9.1</v>
      </c>
    </row>
    <row r="458" spans="1:15" x14ac:dyDescent="0.25">
      <c r="A458" t="s">
        <v>564</v>
      </c>
      <c r="B458" t="s">
        <v>30</v>
      </c>
      <c r="C458" t="s">
        <v>2611</v>
      </c>
      <c r="D458" t="s">
        <v>7994</v>
      </c>
      <c r="E458">
        <v>157</v>
      </c>
      <c r="F458" t="s">
        <v>7995</v>
      </c>
      <c r="G458">
        <v>7934</v>
      </c>
      <c r="H458">
        <v>15474</v>
      </c>
      <c r="I458">
        <v>-48.7</v>
      </c>
      <c r="J458">
        <v>9.8800000000000008</v>
      </c>
      <c r="K458">
        <v>7.89</v>
      </c>
      <c r="L458">
        <v>2</v>
      </c>
      <c r="M458">
        <v>784</v>
      </c>
      <c r="N458">
        <v>1221</v>
      </c>
      <c r="O458">
        <v>-35.799999999999997</v>
      </c>
    </row>
    <row r="459" spans="1:15" x14ac:dyDescent="0.25">
      <c r="A459" t="s">
        <v>564</v>
      </c>
      <c r="B459" t="s">
        <v>30</v>
      </c>
      <c r="C459" t="s">
        <v>2616</v>
      </c>
      <c r="D459" t="s">
        <v>7996</v>
      </c>
      <c r="E459">
        <v>158</v>
      </c>
      <c r="F459" t="s">
        <v>7997</v>
      </c>
      <c r="G459">
        <v>7799</v>
      </c>
      <c r="H459">
        <v>2756</v>
      </c>
      <c r="I459">
        <v>183</v>
      </c>
      <c r="J459">
        <v>6.31</v>
      </c>
      <c r="K459">
        <v>5.73</v>
      </c>
      <c r="L459">
        <v>0.6</v>
      </c>
      <c r="M459">
        <v>492</v>
      </c>
      <c r="N459">
        <v>158</v>
      </c>
      <c r="O459">
        <v>211.6</v>
      </c>
    </row>
    <row r="460" spans="1:15" x14ac:dyDescent="0.25">
      <c r="A460" t="s">
        <v>564</v>
      </c>
      <c r="B460" t="s">
        <v>30</v>
      </c>
      <c r="C460" t="s">
        <v>2384</v>
      </c>
      <c r="D460" t="s">
        <v>7998</v>
      </c>
      <c r="E460">
        <v>159</v>
      </c>
      <c r="F460" t="s">
        <v>7999</v>
      </c>
      <c r="G460">
        <v>7615</v>
      </c>
      <c r="J460">
        <v>6.72</v>
      </c>
      <c r="M460">
        <v>512</v>
      </c>
    </row>
    <row r="461" spans="1:15" x14ac:dyDescent="0.25">
      <c r="A461" t="s">
        <v>564</v>
      </c>
      <c r="B461" t="s">
        <v>30</v>
      </c>
      <c r="C461" t="s">
        <v>2627</v>
      </c>
      <c r="D461" t="s">
        <v>8000</v>
      </c>
      <c r="E461">
        <v>160</v>
      </c>
      <c r="F461" t="s">
        <v>8001</v>
      </c>
      <c r="G461">
        <v>7550</v>
      </c>
      <c r="H461">
        <v>7385</v>
      </c>
      <c r="I461">
        <v>2.2000000000000002</v>
      </c>
      <c r="J461">
        <v>1.87</v>
      </c>
      <c r="K461">
        <v>3.89</v>
      </c>
      <c r="L461">
        <v>-2</v>
      </c>
      <c r="M461">
        <v>141</v>
      </c>
      <c r="N461">
        <v>287</v>
      </c>
      <c r="O461">
        <v>-50.9</v>
      </c>
    </row>
    <row r="462" spans="1:15" x14ac:dyDescent="0.25">
      <c r="A462" t="s">
        <v>564</v>
      </c>
      <c r="B462" t="s">
        <v>30</v>
      </c>
      <c r="C462" t="s">
        <v>2633</v>
      </c>
      <c r="D462" t="s">
        <v>8002</v>
      </c>
      <c r="E462">
        <v>161</v>
      </c>
      <c r="F462" t="s">
        <v>8003</v>
      </c>
      <c r="G462">
        <v>7544</v>
      </c>
      <c r="J462">
        <v>6.18</v>
      </c>
      <c r="M462">
        <v>466</v>
      </c>
    </row>
    <row r="463" spans="1:15" x14ac:dyDescent="0.25">
      <c r="A463" t="s">
        <v>564</v>
      </c>
      <c r="B463" t="s">
        <v>30</v>
      </c>
      <c r="C463" t="s">
        <v>2456</v>
      </c>
      <c r="D463" t="s">
        <v>8004</v>
      </c>
      <c r="E463">
        <v>162</v>
      </c>
      <c r="F463" t="s">
        <v>8005</v>
      </c>
      <c r="G463">
        <v>7450</v>
      </c>
      <c r="H463">
        <v>11626</v>
      </c>
      <c r="I463">
        <v>-35.9</v>
      </c>
      <c r="J463">
        <v>8</v>
      </c>
      <c r="K463">
        <v>5.81</v>
      </c>
      <c r="L463">
        <v>2.2000000000000002</v>
      </c>
      <c r="M463">
        <v>596</v>
      </c>
      <c r="N463">
        <v>675</v>
      </c>
      <c r="O463">
        <v>-11.8</v>
      </c>
    </row>
    <row r="464" spans="1:15" x14ac:dyDescent="0.25">
      <c r="A464" t="s">
        <v>564</v>
      </c>
      <c r="B464" t="s">
        <v>30</v>
      </c>
      <c r="C464" t="s">
        <v>2642</v>
      </c>
      <c r="D464" t="s">
        <v>8006</v>
      </c>
      <c r="E464">
        <v>163</v>
      </c>
      <c r="F464" t="s">
        <v>8007</v>
      </c>
      <c r="G464">
        <v>7373</v>
      </c>
      <c r="H464">
        <v>25327</v>
      </c>
      <c r="I464">
        <v>-70.900000000000006</v>
      </c>
      <c r="J464">
        <v>4.6399999999999997</v>
      </c>
      <c r="K464">
        <v>4.3600000000000003</v>
      </c>
      <c r="L464">
        <v>0.3</v>
      </c>
      <c r="M464">
        <v>342</v>
      </c>
      <c r="N464">
        <v>1104</v>
      </c>
      <c r="O464">
        <v>-69</v>
      </c>
    </row>
    <row r="465" spans="1:15" x14ac:dyDescent="0.25">
      <c r="A465" t="s">
        <v>564</v>
      </c>
      <c r="B465" t="s">
        <v>30</v>
      </c>
      <c r="C465" t="s">
        <v>2648</v>
      </c>
      <c r="D465" t="s">
        <v>8008</v>
      </c>
      <c r="E465">
        <v>164</v>
      </c>
      <c r="F465" t="s">
        <v>3691</v>
      </c>
      <c r="G465">
        <v>7216</v>
      </c>
      <c r="H465">
        <v>21406</v>
      </c>
      <c r="I465">
        <v>-66.3</v>
      </c>
      <c r="J465">
        <v>5.17</v>
      </c>
      <c r="K465">
        <v>3.93</v>
      </c>
      <c r="L465">
        <v>1.2</v>
      </c>
      <c r="M465">
        <v>373</v>
      </c>
      <c r="N465">
        <v>841</v>
      </c>
      <c r="O465">
        <v>-55.7</v>
      </c>
    </row>
    <row r="466" spans="1:15" x14ac:dyDescent="0.25">
      <c r="A466" t="s">
        <v>564</v>
      </c>
      <c r="B466" t="s">
        <v>30</v>
      </c>
      <c r="C466" t="s">
        <v>2653</v>
      </c>
      <c r="D466" t="s">
        <v>8009</v>
      </c>
      <c r="E466">
        <v>165</v>
      </c>
      <c r="F466" t="s">
        <v>8010</v>
      </c>
      <c r="G466">
        <v>7090</v>
      </c>
      <c r="J466">
        <v>5.83</v>
      </c>
      <c r="M466">
        <v>413</v>
      </c>
    </row>
    <row r="467" spans="1:15" x14ac:dyDescent="0.25">
      <c r="A467" t="s">
        <v>564</v>
      </c>
      <c r="B467" t="s">
        <v>30</v>
      </c>
      <c r="C467" t="s">
        <v>2644</v>
      </c>
      <c r="D467" t="s">
        <v>8011</v>
      </c>
      <c r="E467">
        <v>166</v>
      </c>
      <c r="F467" t="s">
        <v>7582</v>
      </c>
      <c r="G467">
        <v>6898</v>
      </c>
      <c r="H467">
        <v>13791</v>
      </c>
      <c r="I467">
        <v>-50</v>
      </c>
      <c r="J467">
        <v>5.8</v>
      </c>
      <c r="K467">
        <v>11.01</v>
      </c>
      <c r="L467">
        <v>-5.2</v>
      </c>
      <c r="M467">
        <v>400</v>
      </c>
      <c r="N467">
        <v>1518</v>
      </c>
      <c r="O467">
        <v>-73.7</v>
      </c>
    </row>
    <row r="468" spans="1:15" x14ac:dyDescent="0.25">
      <c r="A468" t="s">
        <v>564</v>
      </c>
      <c r="B468" t="s">
        <v>30</v>
      </c>
      <c r="C468" t="s">
        <v>2572</v>
      </c>
      <c r="D468" t="s">
        <v>8012</v>
      </c>
      <c r="E468">
        <v>167</v>
      </c>
      <c r="F468" t="s">
        <v>7242</v>
      </c>
      <c r="G468">
        <v>6558</v>
      </c>
      <c r="H468">
        <v>8522</v>
      </c>
      <c r="I468">
        <v>-23</v>
      </c>
      <c r="J468">
        <v>9.39</v>
      </c>
      <c r="K468">
        <v>9.1300000000000008</v>
      </c>
      <c r="L468">
        <v>0.3</v>
      </c>
      <c r="M468">
        <v>616</v>
      </c>
      <c r="N468">
        <v>778</v>
      </c>
      <c r="O468">
        <v>-20.9</v>
      </c>
    </row>
    <row r="469" spans="1:15" x14ac:dyDescent="0.25">
      <c r="A469" t="s">
        <v>564</v>
      </c>
      <c r="B469" t="s">
        <v>30</v>
      </c>
      <c r="C469" t="s">
        <v>2667</v>
      </c>
      <c r="D469" t="s">
        <v>8013</v>
      </c>
      <c r="E469">
        <v>168</v>
      </c>
      <c r="F469" t="s">
        <v>8014</v>
      </c>
      <c r="G469">
        <v>6519</v>
      </c>
      <c r="H469">
        <v>28386</v>
      </c>
      <c r="I469">
        <v>-77</v>
      </c>
      <c r="J469">
        <v>2</v>
      </c>
      <c r="K469">
        <v>2.86</v>
      </c>
      <c r="L469">
        <v>-0.9</v>
      </c>
      <c r="M469">
        <v>130</v>
      </c>
      <c r="N469">
        <v>812</v>
      </c>
      <c r="O469">
        <v>-83.9</v>
      </c>
    </row>
    <row r="470" spans="1:15" x14ac:dyDescent="0.25">
      <c r="A470" t="s">
        <v>564</v>
      </c>
      <c r="B470" t="s">
        <v>30</v>
      </c>
      <c r="C470" t="s">
        <v>2672</v>
      </c>
      <c r="D470" t="s">
        <v>8015</v>
      </c>
      <c r="E470">
        <v>169</v>
      </c>
      <c r="F470" t="s">
        <v>7324</v>
      </c>
      <c r="G470">
        <v>6390</v>
      </c>
      <c r="H470">
        <v>4778</v>
      </c>
      <c r="I470">
        <v>33.700000000000003</v>
      </c>
      <c r="J470">
        <v>19.39</v>
      </c>
      <c r="K470">
        <v>9.75</v>
      </c>
      <c r="L470">
        <v>9.6</v>
      </c>
      <c r="M470">
        <v>1239</v>
      </c>
      <c r="N470">
        <v>466</v>
      </c>
      <c r="O470">
        <v>166</v>
      </c>
    </row>
    <row r="471" spans="1:15" x14ac:dyDescent="0.25">
      <c r="A471" t="s">
        <v>564</v>
      </c>
      <c r="B471" t="s">
        <v>30</v>
      </c>
      <c r="C471" t="s">
        <v>2677</v>
      </c>
      <c r="D471" t="s">
        <v>8016</v>
      </c>
      <c r="E471">
        <v>170</v>
      </c>
      <c r="F471" t="s">
        <v>8017</v>
      </c>
      <c r="G471">
        <v>6390</v>
      </c>
      <c r="H471">
        <v>12827</v>
      </c>
      <c r="I471">
        <v>-50.2</v>
      </c>
      <c r="J471">
        <v>1.71</v>
      </c>
      <c r="K471">
        <v>10.62</v>
      </c>
      <c r="L471">
        <v>-8.9</v>
      </c>
      <c r="M471">
        <v>109</v>
      </c>
      <c r="N471">
        <v>1362</v>
      </c>
      <c r="O471">
        <v>-92</v>
      </c>
    </row>
    <row r="472" spans="1:15" x14ac:dyDescent="0.25">
      <c r="A472" t="s">
        <v>564</v>
      </c>
      <c r="B472" t="s">
        <v>30</v>
      </c>
      <c r="C472" t="s">
        <v>2445</v>
      </c>
      <c r="D472" t="s">
        <v>8018</v>
      </c>
      <c r="E472">
        <v>171</v>
      </c>
      <c r="F472" t="s">
        <v>8019</v>
      </c>
      <c r="G472">
        <v>6061</v>
      </c>
      <c r="H472">
        <v>9842</v>
      </c>
      <c r="I472">
        <v>-38.4</v>
      </c>
      <c r="J472">
        <v>7.68</v>
      </c>
      <c r="K472">
        <v>4.34</v>
      </c>
      <c r="L472">
        <v>3.3</v>
      </c>
      <c r="M472">
        <v>465</v>
      </c>
      <c r="N472">
        <v>427</v>
      </c>
      <c r="O472">
        <v>9</v>
      </c>
    </row>
    <row r="473" spans="1:15" x14ac:dyDescent="0.25">
      <c r="A473" t="s">
        <v>564</v>
      </c>
      <c r="B473" t="s">
        <v>30</v>
      </c>
      <c r="C473" t="s">
        <v>2687</v>
      </c>
      <c r="D473" t="s">
        <v>8020</v>
      </c>
      <c r="E473">
        <v>172</v>
      </c>
      <c r="F473" t="s">
        <v>8021</v>
      </c>
      <c r="G473">
        <v>5771</v>
      </c>
      <c r="H473">
        <v>10947</v>
      </c>
      <c r="I473">
        <v>-47.3</v>
      </c>
      <c r="J473">
        <v>4.9800000000000004</v>
      </c>
      <c r="K473">
        <v>7.73</v>
      </c>
      <c r="L473">
        <v>-2.7</v>
      </c>
      <c r="M473">
        <v>287</v>
      </c>
      <c r="N473">
        <v>846</v>
      </c>
      <c r="O473">
        <v>-66</v>
      </c>
    </row>
    <row r="474" spans="1:15" x14ac:dyDescent="0.25">
      <c r="A474" t="s">
        <v>564</v>
      </c>
      <c r="B474" t="s">
        <v>30</v>
      </c>
      <c r="C474" t="s">
        <v>2692</v>
      </c>
      <c r="D474" t="s">
        <v>8022</v>
      </c>
      <c r="E474">
        <v>173</v>
      </c>
      <c r="F474" t="s">
        <v>8023</v>
      </c>
      <c r="G474">
        <v>5749</v>
      </c>
      <c r="J474">
        <v>4.0999999999999996</v>
      </c>
      <c r="M474">
        <v>236</v>
      </c>
    </row>
    <row r="475" spans="1:15" x14ac:dyDescent="0.25">
      <c r="A475" t="s">
        <v>564</v>
      </c>
      <c r="B475" t="s">
        <v>30</v>
      </c>
      <c r="C475" t="s">
        <v>2697</v>
      </c>
      <c r="D475" t="s">
        <v>8024</v>
      </c>
      <c r="E475">
        <v>174</v>
      </c>
      <c r="F475" t="s">
        <v>8025</v>
      </c>
      <c r="G475">
        <v>5737</v>
      </c>
      <c r="H475">
        <v>1500</v>
      </c>
      <c r="I475">
        <v>282.5</v>
      </c>
      <c r="J475">
        <v>6.67</v>
      </c>
      <c r="K475">
        <v>4.9000000000000004</v>
      </c>
      <c r="L475">
        <v>1.8</v>
      </c>
      <c r="M475">
        <v>383</v>
      </c>
      <c r="N475">
        <v>74</v>
      </c>
      <c r="O475">
        <v>420.6</v>
      </c>
    </row>
    <row r="476" spans="1:15" x14ac:dyDescent="0.25">
      <c r="A476" t="s">
        <v>564</v>
      </c>
      <c r="B476" t="s">
        <v>30</v>
      </c>
      <c r="C476" t="s">
        <v>2539</v>
      </c>
      <c r="D476" t="s">
        <v>8026</v>
      </c>
      <c r="E476">
        <v>175</v>
      </c>
      <c r="F476" t="s">
        <v>8027</v>
      </c>
      <c r="G476">
        <v>5703</v>
      </c>
      <c r="H476">
        <v>75994</v>
      </c>
      <c r="I476">
        <v>-92.5</v>
      </c>
      <c r="J476">
        <v>14.03</v>
      </c>
      <c r="K476">
        <v>18.79</v>
      </c>
      <c r="L476">
        <v>-4.8</v>
      </c>
      <c r="M476">
        <v>800</v>
      </c>
      <c r="N476">
        <v>14279</v>
      </c>
      <c r="O476">
        <v>-94.4</v>
      </c>
    </row>
    <row r="477" spans="1:15" x14ac:dyDescent="0.25">
      <c r="A477" t="s">
        <v>564</v>
      </c>
      <c r="B477" t="s">
        <v>30</v>
      </c>
      <c r="C477" t="s">
        <v>2597</v>
      </c>
      <c r="D477" t="s">
        <v>8028</v>
      </c>
      <c r="E477">
        <v>176</v>
      </c>
      <c r="F477" t="s">
        <v>8029</v>
      </c>
      <c r="G477">
        <v>5672</v>
      </c>
      <c r="J477">
        <v>5.72</v>
      </c>
      <c r="M477">
        <v>324</v>
      </c>
    </row>
    <row r="478" spans="1:15" x14ac:dyDescent="0.25">
      <c r="A478" t="s">
        <v>564</v>
      </c>
      <c r="B478" t="s">
        <v>30</v>
      </c>
      <c r="C478" t="s">
        <v>2711</v>
      </c>
      <c r="D478" t="s">
        <v>8030</v>
      </c>
      <c r="E478">
        <v>177</v>
      </c>
      <c r="F478" t="s">
        <v>8031</v>
      </c>
      <c r="G478">
        <v>5627</v>
      </c>
      <c r="H478">
        <v>11392</v>
      </c>
      <c r="I478">
        <v>-50.6</v>
      </c>
      <c r="J478">
        <v>9.58</v>
      </c>
      <c r="K478">
        <v>6.36</v>
      </c>
      <c r="L478">
        <v>3.2</v>
      </c>
      <c r="M478">
        <v>539</v>
      </c>
      <c r="N478">
        <v>725</v>
      </c>
      <c r="O478">
        <v>-25.6</v>
      </c>
    </row>
    <row r="479" spans="1:15" x14ac:dyDescent="0.25">
      <c r="A479" t="s">
        <v>564</v>
      </c>
      <c r="B479" t="s">
        <v>30</v>
      </c>
      <c r="C479" t="s">
        <v>2716</v>
      </c>
      <c r="D479" t="s">
        <v>8032</v>
      </c>
      <c r="E479">
        <v>178</v>
      </c>
      <c r="F479" t="s">
        <v>8033</v>
      </c>
      <c r="G479">
        <v>5470</v>
      </c>
      <c r="H479">
        <v>41397</v>
      </c>
      <c r="I479">
        <v>-86.8</v>
      </c>
      <c r="J479">
        <v>8.3000000000000007</v>
      </c>
      <c r="K479">
        <v>10.47</v>
      </c>
      <c r="L479">
        <v>-2.2000000000000002</v>
      </c>
      <c r="M479">
        <v>454</v>
      </c>
      <c r="N479">
        <v>4334</v>
      </c>
      <c r="O479">
        <v>-89.5</v>
      </c>
    </row>
    <row r="480" spans="1:15" x14ac:dyDescent="0.25">
      <c r="A480" t="s">
        <v>564</v>
      </c>
      <c r="B480" t="s">
        <v>30</v>
      </c>
      <c r="C480" t="s">
        <v>2721</v>
      </c>
      <c r="D480" t="s">
        <v>8034</v>
      </c>
      <c r="E480">
        <v>179</v>
      </c>
      <c r="F480" t="s">
        <v>8035</v>
      </c>
      <c r="G480">
        <v>5406</v>
      </c>
      <c r="H480">
        <v>2391</v>
      </c>
      <c r="I480">
        <v>126.1</v>
      </c>
      <c r="J480">
        <v>4.59</v>
      </c>
      <c r="K480">
        <v>4.3</v>
      </c>
      <c r="L480">
        <v>0.3</v>
      </c>
      <c r="M480">
        <v>248</v>
      </c>
      <c r="N480">
        <v>103</v>
      </c>
      <c r="O480">
        <v>141.30000000000001</v>
      </c>
    </row>
    <row r="481" spans="1:15" x14ac:dyDescent="0.25">
      <c r="A481" t="s">
        <v>564</v>
      </c>
      <c r="B481" t="s">
        <v>30</v>
      </c>
      <c r="C481" t="s">
        <v>2592</v>
      </c>
      <c r="D481" t="s">
        <v>8036</v>
      </c>
      <c r="E481">
        <v>180</v>
      </c>
      <c r="F481" t="s">
        <v>8037</v>
      </c>
      <c r="G481">
        <v>5197</v>
      </c>
      <c r="H481">
        <v>2418</v>
      </c>
      <c r="I481">
        <v>114.9</v>
      </c>
      <c r="J481">
        <v>4.53</v>
      </c>
      <c r="K481">
        <v>8.6</v>
      </c>
      <c r="L481">
        <v>-4.0999999999999996</v>
      </c>
      <c r="M481">
        <v>235</v>
      </c>
      <c r="N481">
        <v>208</v>
      </c>
      <c r="O481">
        <v>13.2</v>
      </c>
    </row>
    <row r="482" spans="1:15" x14ac:dyDescent="0.25">
      <c r="A482" t="s">
        <v>564</v>
      </c>
      <c r="B482" t="s">
        <v>30</v>
      </c>
      <c r="C482" t="s">
        <v>2730</v>
      </c>
      <c r="D482" t="s">
        <v>8038</v>
      </c>
      <c r="E482">
        <v>181</v>
      </c>
      <c r="F482" t="s">
        <v>8039</v>
      </c>
      <c r="G482">
        <v>5166</v>
      </c>
      <c r="J482">
        <v>2.81</v>
      </c>
      <c r="M482">
        <v>145</v>
      </c>
    </row>
    <row r="483" spans="1:15" x14ac:dyDescent="0.25">
      <c r="A483" t="s">
        <v>564</v>
      </c>
      <c r="B483" t="s">
        <v>30</v>
      </c>
      <c r="C483" t="s">
        <v>2735</v>
      </c>
      <c r="D483" t="s">
        <v>8040</v>
      </c>
      <c r="E483">
        <v>182</v>
      </c>
      <c r="F483" t="s">
        <v>8041</v>
      </c>
      <c r="G483">
        <v>5120</v>
      </c>
      <c r="H483">
        <v>126768</v>
      </c>
      <c r="I483">
        <v>-96</v>
      </c>
      <c r="J483">
        <v>4.66</v>
      </c>
      <c r="K483">
        <v>6.25</v>
      </c>
      <c r="L483">
        <v>-1.6</v>
      </c>
      <c r="M483">
        <v>239</v>
      </c>
      <c r="N483">
        <v>7923</v>
      </c>
      <c r="O483">
        <v>-97</v>
      </c>
    </row>
    <row r="484" spans="1:15" x14ac:dyDescent="0.25">
      <c r="A484" t="s">
        <v>564</v>
      </c>
      <c r="B484" t="s">
        <v>30</v>
      </c>
      <c r="C484" t="s">
        <v>2740</v>
      </c>
      <c r="D484" t="s">
        <v>8042</v>
      </c>
      <c r="E484">
        <v>183</v>
      </c>
      <c r="F484" t="s">
        <v>8043</v>
      </c>
      <c r="G484">
        <v>5078</v>
      </c>
      <c r="H484">
        <v>10074</v>
      </c>
      <c r="I484">
        <v>-49.6</v>
      </c>
      <c r="J484">
        <v>7.6</v>
      </c>
      <c r="K484">
        <v>7.02</v>
      </c>
      <c r="L484">
        <v>0.6</v>
      </c>
      <c r="M484">
        <v>386</v>
      </c>
      <c r="N484">
        <v>707</v>
      </c>
      <c r="O484">
        <v>-45.4</v>
      </c>
    </row>
    <row r="485" spans="1:15" x14ac:dyDescent="0.25">
      <c r="A485" t="s">
        <v>564</v>
      </c>
      <c r="B485" t="s">
        <v>30</v>
      </c>
      <c r="C485" t="s">
        <v>2623</v>
      </c>
      <c r="D485" t="s">
        <v>8044</v>
      </c>
      <c r="E485">
        <v>184</v>
      </c>
      <c r="F485" t="s">
        <v>8045</v>
      </c>
      <c r="G485">
        <v>5076</v>
      </c>
      <c r="J485">
        <v>4.22</v>
      </c>
      <c r="M485">
        <v>214</v>
      </c>
    </row>
    <row r="486" spans="1:15" x14ac:dyDescent="0.25">
      <c r="A486" t="s">
        <v>564</v>
      </c>
      <c r="B486" t="s">
        <v>30</v>
      </c>
      <c r="C486" t="s">
        <v>2750</v>
      </c>
      <c r="D486" t="s">
        <v>8046</v>
      </c>
      <c r="E486">
        <v>185</v>
      </c>
      <c r="F486" t="s">
        <v>8047</v>
      </c>
      <c r="G486">
        <v>4936</v>
      </c>
      <c r="H486">
        <v>18712</v>
      </c>
      <c r="I486">
        <v>-73.599999999999994</v>
      </c>
      <c r="J486">
        <v>7.96</v>
      </c>
      <c r="K486">
        <v>8.8699999999999992</v>
      </c>
      <c r="L486">
        <v>-0.9</v>
      </c>
      <c r="M486">
        <v>393</v>
      </c>
      <c r="N486">
        <v>1660</v>
      </c>
      <c r="O486">
        <v>-76.3</v>
      </c>
    </row>
    <row r="487" spans="1:15" x14ac:dyDescent="0.25">
      <c r="A487" t="s">
        <v>564</v>
      </c>
      <c r="B487" t="s">
        <v>30</v>
      </c>
      <c r="C487" t="s">
        <v>2607</v>
      </c>
      <c r="D487" t="s">
        <v>8048</v>
      </c>
      <c r="E487">
        <v>186</v>
      </c>
      <c r="F487" t="s">
        <v>8049</v>
      </c>
      <c r="G487">
        <v>4834</v>
      </c>
      <c r="J487">
        <v>3.63</v>
      </c>
      <c r="M487">
        <v>175</v>
      </c>
    </row>
    <row r="488" spans="1:15" x14ac:dyDescent="0.25">
      <c r="A488" t="s">
        <v>564</v>
      </c>
      <c r="B488" t="s">
        <v>30</v>
      </c>
      <c r="C488" t="s">
        <v>2514</v>
      </c>
      <c r="D488" t="s">
        <v>8050</v>
      </c>
      <c r="E488">
        <v>187</v>
      </c>
      <c r="F488" t="s">
        <v>8051</v>
      </c>
      <c r="G488">
        <v>4821</v>
      </c>
      <c r="J488">
        <v>13.33</v>
      </c>
      <c r="M488">
        <v>643</v>
      </c>
    </row>
    <row r="489" spans="1:15" x14ac:dyDescent="0.25">
      <c r="A489" t="s">
        <v>564</v>
      </c>
      <c r="B489" t="s">
        <v>30</v>
      </c>
      <c r="C489" t="s">
        <v>2629</v>
      </c>
      <c r="D489" t="s">
        <v>8052</v>
      </c>
      <c r="E489">
        <v>188</v>
      </c>
      <c r="F489" t="s">
        <v>8053</v>
      </c>
      <c r="G489">
        <v>4780</v>
      </c>
      <c r="H489">
        <v>3867</v>
      </c>
      <c r="I489">
        <v>23.6</v>
      </c>
      <c r="J489">
        <v>5.67</v>
      </c>
      <c r="K489">
        <v>5.66</v>
      </c>
      <c r="L489">
        <v>0</v>
      </c>
      <c r="M489">
        <v>271</v>
      </c>
      <c r="N489">
        <v>219</v>
      </c>
      <c r="O489">
        <v>23.8</v>
      </c>
    </row>
    <row r="490" spans="1:15" x14ac:dyDescent="0.25">
      <c r="A490" t="s">
        <v>564</v>
      </c>
      <c r="B490" t="s">
        <v>30</v>
      </c>
      <c r="C490" t="s">
        <v>2742</v>
      </c>
      <c r="D490" t="s">
        <v>8054</v>
      </c>
      <c r="E490">
        <v>189</v>
      </c>
      <c r="F490" t="s">
        <v>8055</v>
      </c>
      <c r="G490">
        <v>4583</v>
      </c>
      <c r="H490">
        <v>3708</v>
      </c>
      <c r="I490">
        <v>23.6</v>
      </c>
      <c r="J490">
        <v>5.86</v>
      </c>
      <c r="K490">
        <v>5.15</v>
      </c>
      <c r="L490">
        <v>0.7</v>
      </c>
      <c r="M490">
        <v>269</v>
      </c>
      <c r="N490">
        <v>191</v>
      </c>
      <c r="O490">
        <v>40.6</v>
      </c>
    </row>
    <row r="491" spans="1:15" x14ac:dyDescent="0.25">
      <c r="A491" t="s">
        <v>564</v>
      </c>
      <c r="B491" t="s">
        <v>30</v>
      </c>
      <c r="C491" t="s">
        <v>2770</v>
      </c>
      <c r="D491" t="s">
        <v>8056</v>
      </c>
      <c r="E491">
        <v>190</v>
      </c>
      <c r="F491" t="s">
        <v>8057</v>
      </c>
      <c r="G491">
        <v>4427</v>
      </c>
      <c r="J491">
        <v>7.98</v>
      </c>
      <c r="M491">
        <v>353</v>
      </c>
    </row>
    <row r="492" spans="1:15" x14ac:dyDescent="0.25">
      <c r="A492" t="s">
        <v>564</v>
      </c>
      <c r="B492" t="s">
        <v>30</v>
      </c>
      <c r="C492" t="s">
        <v>2775</v>
      </c>
      <c r="D492" t="s">
        <v>8058</v>
      </c>
      <c r="E492">
        <v>191</v>
      </c>
      <c r="F492" t="s">
        <v>8059</v>
      </c>
      <c r="G492">
        <v>4305</v>
      </c>
      <c r="J492">
        <v>5.92</v>
      </c>
      <c r="M492">
        <v>255</v>
      </c>
    </row>
    <row r="493" spans="1:15" x14ac:dyDescent="0.25">
      <c r="A493" t="s">
        <v>564</v>
      </c>
      <c r="B493" t="s">
        <v>30</v>
      </c>
      <c r="C493" t="s">
        <v>2396</v>
      </c>
      <c r="D493" t="s">
        <v>8060</v>
      </c>
      <c r="E493">
        <v>192</v>
      </c>
      <c r="F493" t="s">
        <v>8061</v>
      </c>
      <c r="G493">
        <v>4281</v>
      </c>
      <c r="H493">
        <v>13205</v>
      </c>
      <c r="I493">
        <v>-67.599999999999994</v>
      </c>
      <c r="J493">
        <v>13.11</v>
      </c>
      <c r="K493">
        <v>6.26</v>
      </c>
      <c r="L493">
        <v>6.9</v>
      </c>
      <c r="M493">
        <v>561</v>
      </c>
      <c r="N493">
        <v>827</v>
      </c>
      <c r="O493">
        <v>-32.1</v>
      </c>
    </row>
    <row r="494" spans="1:15" x14ac:dyDescent="0.25">
      <c r="A494" t="s">
        <v>564</v>
      </c>
      <c r="B494" t="s">
        <v>30</v>
      </c>
      <c r="C494" t="s">
        <v>2618</v>
      </c>
      <c r="D494" t="s">
        <v>8062</v>
      </c>
      <c r="E494">
        <v>193</v>
      </c>
      <c r="F494" t="s">
        <v>8063</v>
      </c>
      <c r="G494">
        <v>4269</v>
      </c>
      <c r="H494">
        <v>2643</v>
      </c>
      <c r="I494">
        <v>61.5</v>
      </c>
      <c r="J494">
        <v>10.8</v>
      </c>
      <c r="K494">
        <v>8.48</v>
      </c>
      <c r="L494">
        <v>2.2999999999999998</v>
      </c>
      <c r="M494">
        <v>461</v>
      </c>
      <c r="N494">
        <v>224</v>
      </c>
      <c r="O494">
        <v>105.7</v>
      </c>
    </row>
    <row r="495" spans="1:15" x14ac:dyDescent="0.25">
      <c r="A495" t="s">
        <v>564</v>
      </c>
      <c r="B495" t="s">
        <v>30</v>
      </c>
      <c r="C495" t="s">
        <v>2413</v>
      </c>
      <c r="D495" t="s">
        <v>8064</v>
      </c>
      <c r="E495">
        <v>194</v>
      </c>
      <c r="F495" t="s">
        <v>8065</v>
      </c>
      <c r="G495">
        <v>4257</v>
      </c>
      <c r="H495">
        <v>7181</v>
      </c>
      <c r="I495">
        <v>-40.700000000000003</v>
      </c>
      <c r="J495">
        <v>12.93</v>
      </c>
      <c r="K495">
        <v>6.48</v>
      </c>
      <c r="L495">
        <v>6.5</v>
      </c>
      <c r="M495">
        <v>550</v>
      </c>
      <c r="N495">
        <v>465</v>
      </c>
      <c r="O495">
        <v>18.3</v>
      </c>
    </row>
    <row r="496" spans="1:15" x14ac:dyDescent="0.25">
      <c r="A496" t="s">
        <v>564</v>
      </c>
      <c r="B496" t="s">
        <v>30</v>
      </c>
      <c r="C496" t="s">
        <v>2794</v>
      </c>
      <c r="D496" t="s">
        <v>8066</v>
      </c>
      <c r="E496">
        <v>195</v>
      </c>
      <c r="F496" t="s">
        <v>8067</v>
      </c>
      <c r="G496">
        <v>4002</v>
      </c>
      <c r="J496">
        <v>19.47</v>
      </c>
      <c r="M496">
        <v>779</v>
      </c>
    </row>
    <row r="497" spans="1:15" x14ac:dyDescent="0.25">
      <c r="A497" t="s">
        <v>564</v>
      </c>
      <c r="B497" t="s">
        <v>30</v>
      </c>
      <c r="C497" t="s">
        <v>2799</v>
      </c>
      <c r="D497" t="s">
        <v>8068</v>
      </c>
      <c r="E497">
        <v>196</v>
      </c>
      <c r="F497" t="s">
        <v>8069</v>
      </c>
      <c r="G497">
        <v>3987</v>
      </c>
      <c r="J497">
        <v>3.82</v>
      </c>
      <c r="M497">
        <v>152</v>
      </c>
    </row>
    <row r="498" spans="1:15" x14ac:dyDescent="0.25">
      <c r="A498" t="s">
        <v>564</v>
      </c>
      <c r="B498" t="s">
        <v>30</v>
      </c>
      <c r="C498" t="s">
        <v>2777</v>
      </c>
      <c r="D498" t="s">
        <v>8070</v>
      </c>
      <c r="E498">
        <v>197</v>
      </c>
      <c r="F498" t="s">
        <v>8071</v>
      </c>
      <c r="G498">
        <v>3938</v>
      </c>
      <c r="H498">
        <v>11465</v>
      </c>
      <c r="I498">
        <v>-65.7</v>
      </c>
      <c r="J498">
        <v>6.75</v>
      </c>
      <c r="K498">
        <v>5.98</v>
      </c>
      <c r="L498">
        <v>0.8</v>
      </c>
      <c r="M498">
        <v>266</v>
      </c>
      <c r="N498">
        <v>686</v>
      </c>
      <c r="O498">
        <v>-61.2</v>
      </c>
    </row>
    <row r="499" spans="1:15" x14ac:dyDescent="0.25">
      <c r="A499" t="s">
        <v>564</v>
      </c>
      <c r="B499" t="s">
        <v>30</v>
      </c>
      <c r="C499" t="s">
        <v>2499</v>
      </c>
      <c r="D499" t="s">
        <v>8072</v>
      </c>
      <c r="E499">
        <v>198</v>
      </c>
      <c r="F499" t="s">
        <v>8073</v>
      </c>
      <c r="G499">
        <v>3934</v>
      </c>
      <c r="H499">
        <v>4256</v>
      </c>
      <c r="I499">
        <v>-7.6</v>
      </c>
      <c r="J499">
        <v>13.01</v>
      </c>
      <c r="K499">
        <v>13.89</v>
      </c>
      <c r="L499">
        <v>-0.9</v>
      </c>
      <c r="M499">
        <v>512</v>
      </c>
      <c r="N499">
        <v>591</v>
      </c>
      <c r="O499">
        <v>-13.4</v>
      </c>
    </row>
    <row r="500" spans="1:15" x14ac:dyDescent="0.25">
      <c r="A500" t="s">
        <v>564</v>
      </c>
      <c r="B500" t="s">
        <v>30</v>
      </c>
      <c r="C500" t="s">
        <v>2782</v>
      </c>
      <c r="D500" t="s">
        <v>8074</v>
      </c>
      <c r="E500">
        <v>199</v>
      </c>
      <c r="F500" t="s">
        <v>8075</v>
      </c>
      <c r="G500">
        <v>3927</v>
      </c>
      <c r="H500">
        <v>7749</v>
      </c>
      <c r="I500">
        <v>-49.3</v>
      </c>
      <c r="J500">
        <v>5.22</v>
      </c>
      <c r="K500">
        <v>6.03</v>
      </c>
      <c r="L500">
        <v>-0.8</v>
      </c>
      <c r="M500">
        <v>205</v>
      </c>
      <c r="N500">
        <v>467</v>
      </c>
      <c r="O500">
        <v>-56.1</v>
      </c>
    </row>
    <row r="501" spans="1:15" x14ac:dyDescent="0.25">
      <c r="A501" t="s">
        <v>564</v>
      </c>
      <c r="B501" t="s">
        <v>30</v>
      </c>
      <c r="C501" t="s">
        <v>2663</v>
      </c>
      <c r="D501" t="s">
        <v>8076</v>
      </c>
      <c r="E501">
        <v>200</v>
      </c>
      <c r="F501" t="s">
        <v>8077</v>
      </c>
      <c r="G501">
        <v>3814</v>
      </c>
      <c r="J501">
        <v>2.61</v>
      </c>
      <c r="M501">
        <v>100</v>
      </c>
    </row>
    <row r="502" spans="1:15" x14ac:dyDescent="0.25">
      <c r="A502" t="s">
        <v>564</v>
      </c>
      <c r="B502" t="s">
        <v>30</v>
      </c>
      <c r="C502" t="s">
        <v>2819</v>
      </c>
      <c r="D502" t="s">
        <v>8078</v>
      </c>
      <c r="E502">
        <v>201</v>
      </c>
      <c r="F502" t="s">
        <v>8079</v>
      </c>
      <c r="G502">
        <v>3800</v>
      </c>
      <c r="J502">
        <v>4.18</v>
      </c>
      <c r="M502">
        <v>159</v>
      </c>
    </row>
    <row r="503" spans="1:15" x14ac:dyDescent="0.25">
      <c r="A503" t="s">
        <v>564</v>
      </c>
      <c r="B503" t="s">
        <v>30</v>
      </c>
      <c r="C503" t="s">
        <v>2707</v>
      </c>
      <c r="D503" t="s">
        <v>8080</v>
      </c>
      <c r="E503">
        <v>202</v>
      </c>
      <c r="F503" t="s">
        <v>8081</v>
      </c>
      <c r="G503">
        <v>3799</v>
      </c>
      <c r="H503">
        <v>11073</v>
      </c>
      <c r="I503">
        <v>-65.7</v>
      </c>
      <c r="J503">
        <v>24.31</v>
      </c>
      <c r="K503">
        <v>12.92</v>
      </c>
      <c r="L503">
        <v>11.4</v>
      </c>
      <c r="M503">
        <v>924</v>
      </c>
      <c r="N503">
        <v>1431</v>
      </c>
      <c r="O503">
        <v>-35.4</v>
      </c>
    </row>
    <row r="504" spans="1:15" x14ac:dyDescent="0.25">
      <c r="A504" t="s">
        <v>564</v>
      </c>
      <c r="B504" t="s">
        <v>30</v>
      </c>
      <c r="C504" t="s">
        <v>2828</v>
      </c>
      <c r="D504" t="s">
        <v>8082</v>
      </c>
      <c r="E504">
        <v>203</v>
      </c>
      <c r="F504" t="s">
        <v>8083</v>
      </c>
      <c r="G504">
        <v>3598</v>
      </c>
      <c r="H504">
        <v>14851</v>
      </c>
      <c r="I504">
        <v>-75.8</v>
      </c>
      <c r="J504">
        <v>2.61</v>
      </c>
      <c r="K504">
        <v>6.69</v>
      </c>
      <c r="L504">
        <v>-4.0999999999999996</v>
      </c>
      <c r="M504">
        <v>94</v>
      </c>
      <c r="N504">
        <v>994</v>
      </c>
      <c r="O504">
        <v>-90.5</v>
      </c>
    </row>
    <row r="505" spans="1:15" x14ac:dyDescent="0.25">
      <c r="A505" t="s">
        <v>564</v>
      </c>
      <c r="B505" t="s">
        <v>30</v>
      </c>
      <c r="C505" t="s">
        <v>2833</v>
      </c>
      <c r="D505" t="s">
        <v>8084</v>
      </c>
      <c r="E505">
        <v>204</v>
      </c>
      <c r="F505" t="s">
        <v>8085</v>
      </c>
      <c r="G505">
        <v>3534</v>
      </c>
      <c r="H505">
        <v>15110</v>
      </c>
      <c r="I505">
        <v>-76.599999999999994</v>
      </c>
      <c r="J505">
        <v>11.68</v>
      </c>
      <c r="K505">
        <v>12.07</v>
      </c>
      <c r="L505">
        <v>-0.4</v>
      </c>
      <c r="M505">
        <v>413</v>
      </c>
      <c r="N505">
        <v>1824</v>
      </c>
      <c r="O505">
        <v>-77.400000000000006</v>
      </c>
    </row>
    <row r="506" spans="1:15" x14ac:dyDescent="0.25">
      <c r="A506" t="s">
        <v>564</v>
      </c>
      <c r="B506" t="s">
        <v>30</v>
      </c>
      <c r="C506" t="s">
        <v>2488</v>
      </c>
      <c r="D506" t="s">
        <v>8086</v>
      </c>
      <c r="E506">
        <v>205</v>
      </c>
      <c r="F506" t="s">
        <v>8087</v>
      </c>
      <c r="G506">
        <v>3496</v>
      </c>
      <c r="J506">
        <v>4.9800000000000004</v>
      </c>
      <c r="M506">
        <v>174</v>
      </c>
    </row>
    <row r="507" spans="1:15" x14ac:dyDescent="0.25">
      <c r="A507" t="s">
        <v>564</v>
      </c>
      <c r="B507" t="s">
        <v>30</v>
      </c>
      <c r="C507" t="s">
        <v>2689</v>
      </c>
      <c r="D507" t="s">
        <v>8088</v>
      </c>
      <c r="E507">
        <v>206</v>
      </c>
      <c r="F507" t="s">
        <v>8089</v>
      </c>
      <c r="G507">
        <v>3490</v>
      </c>
      <c r="H507">
        <v>4395</v>
      </c>
      <c r="I507">
        <v>-20.6</v>
      </c>
      <c r="J507">
        <v>8.4700000000000006</v>
      </c>
      <c r="K507">
        <v>3.5</v>
      </c>
      <c r="L507">
        <v>5</v>
      </c>
      <c r="M507">
        <v>296</v>
      </c>
      <c r="N507">
        <v>154</v>
      </c>
      <c r="O507">
        <v>92.2</v>
      </c>
    </row>
    <row r="508" spans="1:15" x14ac:dyDescent="0.25">
      <c r="A508" t="s">
        <v>564</v>
      </c>
      <c r="B508" t="s">
        <v>30</v>
      </c>
      <c r="C508" t="s">
        <v>2683</v>
      </c>
      <c r="D508" t="s">
        <v>8090</v>
      </c>
      <c r="E508">
        <v>207</v>
      </c>
      <c r="F508" t="s">
        <v>8091</v>
      </c>
      <c r="G508">
        <v>3429</v>
      </c>
      <c r="H508">
        <v>17441</v>
      </c>
      <c r="I508">
        <v>-80.3</v>
      </c>
      <c r="J508">
        <v>7.18</v>
      </c>
      <c r="K508">
        <v>10.62</v>
      </c>
      <c r="L508">
        <v>-3.4</v>
      </c>
      <c r="M508">
        <v>246</v>
      </c>
      <c r="N508">
        <v>1852</v>
      </c>
      <c r="O508">
        <v>-86.7</v>
      </c>
    </row>
    <row r="509" spans="1:15" x14ac:dyDescent="0.25">
      <c r="A509" t="s">
        <v>564</v>
      </c>
      <c r="B509" t="s">
        <v>30</v>
      </c>
      <c r="C509" t="s">
        <v>2849</v>
      </c>
      <c r="D509" t="s">
        <v>8092</v>
      </c>
      <c r="E509">
        <v>208</v>
      </c>
      <c r="F509" t="s">
        <v>8093</v>
      </c>
      <c r="G509">
        <v>3425</v>
      </c>
      <c r="J509">
        <v>11.34</v>
      </c>
      <c r="M509">
        <v>388</v>
      </c>
    </row>
    <row r="510" spans="1:15" x14ac:dyDescent="0.25">
      <c r="A510" t="s">
        <v>564</v>
      </c>
      <c r="B510" t="s">
        <v>30</v>
      </c>
      <c r="C510" t="s">
        <v>2854</v>
      </c>
      <c r="D510" t="s">
        <v>8094</v>
      </c>
      <c r="E510">
        <v>209</v>
      </c>
      <c r="F510" t="s">
        <v>8095</v>
      </c>
      <c r="G510">
        <v>3406</v>
      </c>
      <c r="H510">
        <v>5163</v>
      </c>
      <c r="I510">
        <v>-34</v>
      </c>
      <c r="J510">
        <v>3.3</v>
      </c>
      <c r="K510">
        <v>5.56</v>
      </c>
      <c r="L510">
        <v>-2.2999999999999998</v>
      </c>
      <c r="M510">
        <v>112</v>
      </c>
      <c r="N510">
        <v>287</v>
      </c>
      <c r="O510">
        <v>-60.8</v>
      </c>
    </row>
    <row r="511" spans="1:15" x14ac:dyDescent="0.25">
      <c r="A511" t="s">
        <v>564</v>
      </c>
      <c r="B511" t="s">
        <v>30</v>
      </c>
      <c r="C511" t="s">
        <v>2858</v>
      </c>
      <c r="D511" t="s">
        <v>8096</v>
      </c>
      <c r="E511">
        <v>210</v>
      </c>
      <c r="F511" t="s">
        <v>8097</v>
      </c>
      <c r="G511">
        <v>3390</v>
      </c>
      <c r="J511">
        <v>8.4</v>
      </c>
      <c r="M511">
        <v>285</v>
      </c>
    </row>
    <row r="512" spans="1:15" x14ac:dyDescent="0.25">
      <c r="A512" t="s">
        <v>564</v>
      </c>
      <c r="B512" t="s">
        <v>30</v>
      </c>
      <c r="C512" t="s">
        <v>2863</v>
      </c>
      <c r="D512" t="s">
        <v>8098</v>
      </c>
      <c r="E512">
        <v>211</v>
      </c>
      <c r="F512" t="s">
        <v>8099</v>
      </c>
      <c r="G512">
        <v>3369</v>
      </c>
      <c r="J512">
        <v>7.95</v>
      </c>
      <c r="M512">
        <v>268</v>
      </c>
    </row>
    <row r="513" spans="1:15" x14ac:dyDescent="0.25">
      <c r="A513" t="s">
        <v>564</v>
      </c>
      <c r="B513" t="s">
        <v>30</v>
      </c>
      <c r="C513" t="s">
        <v>2868</v>
      </c>
      <c r="D513" t="s">
        <v>8100</v>
      </c>
      <c r="E513">
        <v>212</v>
      </c>
      <c r="F513" t="s">
        <v>8101</v>
      </c>
      <c r="G513">
        <v>3357</v>
      </c>
      <c r="J513">
        <v>11.5</v>
      </c>
      <c r="M513">
        <v>386</v>
      </c>
    </row>
    <row r="514" spans="1:15" x14ac:dyDescent="0.25">
      <c r="A514" t="s">
        <v>564</v>
      </c>
      <c r="B514" t="s">
        <v>30</v>
      </c>
      <c r="C514" t="s">
        <v>2873</v>
      </c>
      <c r="D514" t="s">
        <v>8102</v>
      </c>
      <c r="E514">
        <v>213</v>
      </c>
      <c r="F514" t="s">
        <v>8103</v>
      </c>
      <c r="G514">
        <v>3268</v>
      </c>
      <c r="H514">
        <v>19274</v>
      </c>
      <c r="I514">
        <v>-83</v>
      </c>
      <c r="J514">
        <v>1.64</v>
      </c>
      <c r="K514">
        <v>3.69</v>
      </c>
      <c r="L514">
        <v>-2.1</v>
      </c>
      <c r="M514">
        <v>54</v>
      </c>
      <c r="N514">
        <v>711</v>
      </c>
      <c r="O514">
        <v>-92.5</v>
      </c>
    </row>
    <row r="515" spans="1:15" x14ac:dyDescent="0.25">
      <c r="A515" t="s">
        <v>564</v>
      </c>
      <c r="B515" t="s">
        <v>30</v>
      </c>
      <c r="C515" t="s">
        <v>2878</v>
      </c>
      <c r="D515" t="s">
        <v>8104</v>
      </c>
      <c r="E515">
        <v>214</v>
      </c>
      <c r="F515" t="s">
        <v>8105</v>
      </c>
      <c r="G515">
        <v>3159</v>
      </c>
      <c r="H515">
        <v>4037</v>
      </c>
      <c r="I515">
        <v>-21.7</v>
      </c>
      <c r="J515">
        <v>6.44</v>
      </c>
      <c r="K515">
        <v>5.87</v>
      </c>
      <c r="L515">
        <v>0.6</v>
      </c>
      <c r="M515">
        <v>203</v>
      </c>
      <c r="N515">
        <v>237</v>
      </c>
      <c r="O515">
        <v>-14.2</v>
      </c>
    </row>
    <row r="516" spans="1:15" x14ac:dyDescent="0.25">
      <c r="A516" t="s">
        <v>564</v>
      </c>
      <c r="B516" t="s">
        <v>30</v>
      </c>
      <c r="C516" t="s">
        <v>2882</v>
      </c>
      <c r="D516" t="s">
        <v>8106</v>
      </c>
      <c r="E516">
        <v>215</v>
      </c>
      <c r="F516" t="s">
        <v>8107</v>
      </c>
      <c r="G516">
        <v>3149</v>
      </c>
      <c r="J516">
        <v>3.44</v>
      </c>
      <c r="M516">
        <v>108</v>
      </c>
    </row>
    <row r="517" spans="1:15" x14ac:dyDescent="0.25">
      <c r="A517" t="s">
        <v>564</v>
      </c>
      <c r="B517" t="s">
        <v>30</v>
      </c>
      <c r="C517" t="s">
        <v>2887</v>
      </c>
      <c r="D517" t="s">
        <v>8108</v>
      </c>
      <c r="E517">
        <v>216</v>
      </c>
      <c r="F517" t="s">
        <v>8109</v>
      </c>
      <c r="G517">
        <v>3066</v>
      </c>
      <c r="H517">
        <v>3441</v>
      </c>
      <c r="I517">
        <v>-10.9</v>
      </c>
      <c r="J517">
        <v>4.5199999999999996</v>
      </c>
      <c r="K517">
        <v>3.61</v>
      </c>
      <c r="L517">
        <v>0.9</v>
      </c>
      <c r="M517">
        <v>139</v>
      </c>
      <c r="N517">
        <v>124</v>
      </c>
      <c r="O517">
        <v>11.6</v>
      </c>
    </row>
    <row r="518" spans="1:15" x14ac:dyDescent="0.25">
      <c r="A518" t="s">
        <v>564</v>
      </c>
      <c r="B518" t="s">
        <v>30</v>
      </c>
      <c r="C518" t="s">
        <v>2892</v>
      </c>
      <c r="D518" t="s">
        <v>8110</v>
      </c>
      <c r="E518">
        <v>217</v>
      </c>
      <c r="F518" t="s">
        <v>8111</v>
      </c>
      <c r="G518">
        <v>3020</v>
      </c>
      <c r="H518">
        <v>2738</v>
      </c>
      <c r="I518">
        <v>10.3</v>
      </c>
      <c r="J518">
        <v>8.2799999999999994</v>
      </c>
      <c r="K518">
        <v>7.61</v>
      </c>
      <c r="L518">
        <v>0.7</v>
      </c>
      <c r="M518">
        <v>250</v>
      </c>
      <c r="N518">
        <v>208</v>
      </c>
      <c r="O518">
        <v>20</v>
      </c>
    </row>
    <row r="519" spans="1:15" x14ac:dyDescent="0.25">
      <c r="A519" t="s">
        <v>564</v>
      </c>
      <c r="B519" t="s">
        <v>30</v>
      </c>
      <c r="C519" t="s">
        <v>2897</v>
      </c>
      <c r="D519" t="s">
        <v>8112</v>
      </c>
      <c r="E519">
        <v>218</v>
      </c>
      <c r="F519" t="s">
        <v>8113</v>
      </c>
      <c r="G519">
        <v>2989</v>
      </c>
      <c r="J519">
        <v>7.69</v>
      </c>
      <c r="M519">
        <v>230</v>
      </c>
    </row>
    <row r="520" spans="1:15" x14ac:dyDescent="0.25">
      <c r="A520" t="s">
        <v>564</v>
      </c>
      <c r="B520" t="s">
        <v>30</v>
      </c>
      <c r="C520" t="s">
        <v>2902</v>
      </c>
      <c r="D520" t="s">
        <v>8114</v>
      </c>
      <c r="E520">
        <v>219</v>
      </c>
      <c r="F520" t="s">
        <v>8115</v>
      </c>
      <c r="G520">
        <v>2983</v>
      </c>
      <c r="H520">
        <v>3247</v>
      </c>
      <c r="I520">
        <v>-8.1</v>
      </c>
      <c r="J520">
        <v>2.91</v>
      </c>
      <c r="K520">
        <v>3.29</v>
      </c>
      <c r="L520">
        <v>-0.4</v>
      </c>
      <c r="M520">
        <v>87</v>
      </c>
      <c r="N520">
        <v>107</v>
      </c>
      <c r="O520">
        <v>-18.7</v>
      </c>
    </row>
    <row r="521" spans="1:15" x14ac:dyDescent="0.25">
      <c r="A521" t="s">
        <v>564</v>
      </c>
      <c r="B521" t="s">
        <v>30</v>
      </c>
      <c r="C521" t="s">
        <v>2907</v>
      </c>
      <c r="D521" t="s">
        <v>8116</v>
      </c>
      <c r="E521">
        <v>220</v>
      </c>
      <c r="F521" t="s">
        <v>8117</v>
      </c>
      <c r="G521">
        <v>2753</v>
      </c>
      <c r="H521">
        <v>4702</v>
      </c>
      <c r="I521">
        <v>-41.5</v>
      </c>
      <c r="J521">
        <v>16.66</v>
      </c>
      <c r="K521">
        <v>6.82</v>
      </c>
      <c r="L521">
        <v>9.8000000000000007</v>
      </c>
      <c r="M521">
        <v>459</v>
      </c>
      <c r="N521">
        <v>321</v>
      </c>
      <c r="O521">
        <v>43</v>
      </c>
    </row>
    <row r="522" spans="1:15" x14ac:dyDescent="0.25">
      <c r="A522" t="s">
        <v>564</v>
      </c>
      <c r="B522" t="s">
        <v>30</v>
      </c>
      <c r="C522" t="s">
        <v>2912</v>
      </c>
      <c r="D522" t="s">
        <v>8118</v>
      </c>
      <c r="E522">
        <v>221</v>
      </c>
      <c r="F522" t="s">
        <v>8119</v>
      </c>
      <c r="G522">
        <v>2696</v>
      </c>
      <c r="J522">
        <v>7.83</v>
      </c>
      <c r="M522">
        <v>211</v>
      </c>
    </row>
    <row r="523" spans="1:15" x14ac:dyDescent="0.25">
      <c r="A523" t="s">
        <v>564</v>
      </c>
      <c r="B523" t="s">
        <v>30</v>
      </c>
      <c r="C523" t="s">
        <v>2917</v>
      </c>
      <c r="D523" t="s">
        <v>8120</v>
      </c>
      <c r="E523">
        <v>222</v>
      </c>
      <c r="F523" t="s">
        <v>8121</v>
      </c>
      <c r="G523">
        <v>2622</v>
      </c>
      <c r="J523">
        <v>1.22</v>
      </c>
      <c r="M523">
        <v>32</v>
      </c>
    </row>
    <row r="524" spans="1:15" x14ac:dyDescent="0.25">
      <c r="A524" t="s">
        <v>564</v>
      </c>
      <c r="B524" t="s">
        <v>30</v>
      </c>
      <c r="C524" t="s">
        <v>2922</v>
      </c>
      <c r="D524" t="s">
        <v>8122</v>
      </c>
      <c r="E524">
        <v>223</v>
      </c>
      <c r="F524" t="s">
        <v>4394</v>
      </c>
      <c r="G524">
        <v>2611</v>
      </c>
      <c r="H524">
        <v>1038</v>
      </c>
      <c r="I524">
        <v>151.5</v>
      </c>
      <c r="J524">
        <v>5.75</v>
      </c>
      <c r="K524">
        <v>3.95</v>
      </c>
      <c r="L524">
        <v>1.8</v>
      </c>
      <c r="M524">
        <v>150</v>
      </c>
      <c r="N524">
        <v>41</v>
      </c>
      <c r="O524">
        <v>266.2</v>
      </c>
    </row>
    <row r="525" spans="1:15" x14ac:dyDescent="0.25">
      <c r="A525" t="s">
        <v>564</v>
      </c>
      <c r="B525" t="s">
        <v>30</v>
      </c>
      <c r="C525" t="s">
        <v>2927</v>
      </c>
      <c r="D525" t="s">
        <v>8123</v>
      </c>
      <c r="E525">
        <v>224</v>
      </c>
      <c r="F525" t="s">
        <v>8124</v>
      </c>
      <c r="G525">
        <v>2502</v>
      </c>
      <c r="H525">
        <v>2190</v>
      </c>
      <c r="I525">
        <v>14.2</v>
      </c>
      <c r="J525">
        <v>6.67</v>
      </c>
      <c r="K525">
        <v>4.49</v>
      </c>
      <c r="L525">
        <v>2.2000000000000002</v>
      </c>
      <c r="M525">
        <v>167</v>
      </c>
      <c r="N525">
        <v>98</v>
      </c>
      <c r="O525">
        <v>69.7</v>
      </c>
    </row>
    <row r="526" spans="1:15" x14ac:dyDescent="0.25">
      <c r="A526" t="s">
        <v>564</v>
      </c>
      <c r="B526" t="s">
        <v>30</v>
      </c>
      <c r="C526" t="s">
        <v>2932</v>
      </c>
      <c r="D526" t="s">
        <v>8125</v>
      </c>
      <c r="E526">
        <v>225</v>
      </c>
      <c r="F526" t="s">
        <v>8126</v>
      </c>
      <c r="G526">
        <v>2445</v>
      </c>
      <c r="J526">
        <v>5.89</v>
      </c>
      <c r="M526">
        <v>144</v>
      </c>
    </row>
    <row r="527" spans="1:15" x14ac:dyDescent="0.25">
      <c r="A527" t="s">
        <v>564</v>
      </c>
      <c r="B527" t="s">
        <v>30</v>
      </c>
      <c r="C527" t="s">
        <v>2937</v>
      </c>
      <c r="D527" t="s">
        <v>8127</v>
      </c>
      <c r="E527">
        <v>226</v>
      </c>
      <c r="F527" t="s">
        <v>8128</v>
      </c>
      <c r="G527">
        <v>2303</v>
      </c>
      <c r="J527">
        <v>10.96</v>
      </c>
      <c r="M527">
        <v>252</v>
      </c>
    </row>
    <row r="528" spans="1:15" x14ac:dyDescent="0.25">
      <c r="A528" t="s">
        <v>564</v>
      </c>
      <c r="B528" t="s">
        <v>30</v>
      </c>
      <c r="C528" t="s">
        <v>2942</v>
      </c>
      <c r="D528" t="s">
        <v>8129</v>
      </c>
      <c r="E528">
        <v>227</v>
      </c>
      <c r="F528" t="s">
        <v>8130</v>
      </c>
      <c r="G528">
        <v>2282</v>
      </c>
      <c r="H528">
        <v>4317</v>
      </c>
      <c r="I528">
        <v>-47.1</v>
      </c>
      <c r="J528">
        <v>14.68</v>
      </c>
      <c r="K528">
        <v>10.16</v>
      </c>
      <c r="L528">
        <v>4.5</v>
      </c>
      <c r="M528">
        <v>335</v>
      </c>
      <c r="N528">
        <v>439</v>
      </c>
      <c r="O528">
        <v>-23.6</v>
      </c>
    </row>
    <row r="529" spans="1:15" x14ac:dyDescent="0.25">
      <c r="A529" t="s">
        <v>564</v>
      </c>
      <c r="B529" t="s">
        <v>30</v>
      </c>
      <c r="C529" t="s">
        <v>2947</v>
      </c>
      <c r="D529" t="s">
        <v>8131</v>
      </c>
      <c r="E529">
        <v>228</v>
      </c>
      <c r="F529" t="s">
        <v>8132</v>
      </c>
      <c r="G529">
        <v>2266</v>
      </c>
      <c r="J529">
        <v>6.92</v>
      </c>
      <c r="M529">
        <v>157</v>
      </c>
    </row>
    <row r="530" spans="1:15" x14ac:dyDescent="0.25">
      <c r="A530" t="s">
        <v>564</v>
      </c>
      <c r="B530" t="s">
        <v>30</v>
      </c>
      <c r="C530" t="s">
        <v>2952</v>
      </c>
      <c r="D530" t="s">
        <v>8133</v>
      </c>
      <c r="E530">
        <v>229</v>
      </c>
      <c r="F530" t="s">
        <v>8134</v>
      </c>
      <c r="G530">
        <v>2257</v>
      </c>
      <c r="J530">
        <v>10.74</v>
      </c>
      <c r="M530">
        <v>242</v>
      </c>
    </row>
    <row r="531" spans="1:15" x14ac:dyDescent="0.25">
      <c r="A531" t="s">
        <v>564</v>
      </c>
      <c r="B531" t="s">
        <v>30</v>
      </c>
      <c r="C531" t="s">
        <v>2957</v>
      </c>
      <c r="D531" t="s">
        <v>8135</v>
      </c>
      <c r="E531">
        <v>230</v>
      </c>
      <c r="F531" t="s">
        <v>8136</v>
      </c>
      <c r="G531">
        <v>2216</v>
      </c>
      <c r="H531">
        <v>2395</v>
      </c>
      <c r="I531">
        <v>-7.5</v>
      </c>
      <c r="J531">
        <v>2.38</v>
      </c>
      <c r="K531">
        <v>1.68</v>
      </c>
      <c r="L531">
        <v>0.7</v>
      </c>
      <c r="M531">
        <v>53</v>
      </c>
      <c r="N531">
        <v>40</v>
      </c>
      <c r="O531">
        <v>31.1</v>
      </c>
    </row>
    <row r="532" spans="1:15" x14ac:dyDescent="0.25">
      <c r="A532" t="s">
        <v>564</v>
      </c>
      <c r="B532" t="s">
        <v>30</v>
      </c>
      <c r="C532" t="s">
        <v>2962</v>
      </c>
      <c r="D532" t="s">
        <v>8137</v>
      </c>
      <c r="E532">
        <v>231</v>
      </c>
      <c r="F532" t="s">
        <v>7525</v>
      </c>
      <c r="G532">
        <v>2161</v>
      </c>
      <c r="J532">
        <v>6.45</v>
      </c>
      <c r="M532">
        <v>139</v>
      </c>
    </row>
    <row r="533" spans="1:15" x14ac:dyDescent="0.25">
      <c r="A533" t="s">
        <v>564</v>
      </c>
      <c r="B533" t="s">
        <v>30</v>
      </c>
      <c r="C533" t="s">
        <v>2967</v>
      </c>
      <c r="D533" t="s">
        <v>8138</v>
      </c>
      <c r="E533">
        <v>232</v>
      </c>
      <c r="F533" t="s">
        <v>8139</v>
      </c>
      <c r="G533">
        <v>2064</v>
      </c>
      <c r="J533">
        <v>5.43</v>
      </c>
      <c r="M533">
        <v>112</v>
      </c>
    </row>
    <row r="534" spans="1:15" x14ac:dyDescent="0.25">
      <c r="A534" t="s">
        <v>564</v>
      </c>
      <c r="B534" t="s">
        <v>30</v>
      </c>
      <c r="C534" t="s">
        <v>2972</v>
      </c>
      <c r="D534" t="s">
        <v>8140</v>
      </c>
      <c r="E534">
        <v>233</v>
      </c>
      <c r="F534" t="s">
        <v>8141</v>
      </c>
      <c r="G534">
        <v>2036</v>
      </c>
      <c r="J534">
        <v>4.45</v>
      </c>
      <c r="M534">
        <v>91</v>
      </c>
    </row>
    <row r="535" spans="1:15" x14ac:dyDescent="0.25">
      <c r="A535" t="s">
        <v>564</v>
      </c>
      <c r="B535" t="s">
        <v>30</v>
      </c>
      <c r="C535" t="s">
        <v>2977</v>
      </c>
      <c r="D535" t="s">
        <v>8142</v>
      </c>
      <c r="E535">
        <v>234</v>
      </c>
      <c r="F535" t="s">
        <v>8143</v>
      </c>
      <c r="G535">
        <v>1965</v>
      </c>
      <c r="H535">
        <v>2192</v>
      </c>
      <c r="I535">
        <v>-10.4</v>
      </c>
      <c r="J535">
        <v>12.09</v>
      </c>
      <c r="K535">
        <v>19.28</v>
      </c>
      <c r="L535">
        <v>-7.2</v>
      </c>
      <c r="M535">
        <v>238</v>
      </c>
      <c r="N535">
        <v>423</v>
      </c>
      <c r="O535">
        <v>-43.8</v>
      </c>
    </row>
    <row r="536" spans="1:15" x14ac:dyDescent="0.25">
      <c r="A536" t="s">
        <v>564</v>
      </c>
      <c r="B536" t="s">
        <v>30</v>
      </c>
      <c r="C536" t="s">
        <v>2982</v>
      </c>
      <c r="D536" t="s">
        <v>8144</v>
      </c>
      <c r="E536">
        <v>235</v>
      </c>
      <c r="F536" t="s">
        <v>7474</v>
      </c>
      <c r="G536">
        <v>1891</v>
      </c>
      <c r="J536">
        <v>8.0399999999999991</v>
      </c>
      <c r="M536">
        <v>152</v>
      </c>
    </row>
    <row r="537" spans="1:15" x14ac:dyDescent="0.25">
      <c r="A537" t="s">
        <v>564</v>
      </c>
      <c r="B537" t="s">
        <v>30</v>
      </c>
      <c r="C537" t="s">
        <v>2987</v>
      </c>
      <c r="D537" t="s">
        <v>8145</v>
      </c>
      <c r="E537">
        <v>236</v>
      </c>
      <c r="F537" t="s">
        <v>8146</v>
      </c>
      <c r="G537">
        <v>1857</v>
      </c>
      <c r="J537">
        <v>8.1999999999999993</v>
      </c>
      <c r="M537">
        <v>152</v>
      </c>
    </row>
    <row r="538" spans="1:15" x14ac:dyDescent="0.25">
      <c r="A538" t="s">
        <v>564</v>
      </c>
      <c r="B538" t="s">
        <v>30</v>
      </c>
      <c r="C538" t="s">
        <v>2992</v>
      </c>
      <c r="D538" t="s">
        <v>8147</v>
      </c>
      <c r="E538">
        <v>237</v>
      </c>
      <c r="F538" t="s">
        <v>8148</v>
      </c>
      <c r="G538">
        <v>1841</v>
      </c>
      <c r="H538">
        <v>43556</v>
      </c>
      <c r="I538">
        <v>-95.8</v>
      </c>
      <c r="J538">
        <v>21.82</v>
      </c>
      <c r="K538">
        <v>16.57</v>
      </c>
      <c r="L538">
        <v>5.3</v>
      </c>
      <c r="M538">
        <v>402</v>
      </c>
      <c r="N538">
        <v>7217</v>
      </c>
      <c r="O538">
        <v>-94.4</v>
      </c>
    </row>
    <row r="539" spans="1:15" x14ac:dyDescent="0.25">
      <c r="A539" t="s">
        <v>564</v>
      </c>
      <c r="B539" t="s">
        <v>30</v>
      </c>
      <c r="C539" t="s">
        <v>2997</v>
      </c>
      <c r="D539" t="s">
        <v>8149</v>
      </c>
      <c r="E539">
        <v>238</v>
      </c>
      <c r="F539" t="s">
        <v>8150</v>
      </c>
      <c r="G539">
        <v>1774</v>
      </c>
      <c r="J539">
        <v>4.25</v>
      </c>
      <c r="M539">
        <v>75</v>
      </c>
    </row>
    <row r="540" spans="1:15" x14ac:dyDescent="0.25">
      <c r="A540" t="s">
        <v>564</v>
      </c>
      <c r="B540" t="s">
        <v>30</v>
      </c>
      <c r="C540" t="s">
        <v>3002</v>
      </c>
      <c r="D540" t="s">
        <v>8151</v>
      </c>
      <c r="E540">
        <v>239</v>
      </c>
      <c r="F540" t="s">
        <v>8152</v>
      </c>
      <c r="G540">
        <v>1756</v>
      </c>
      <c r="J540">
        <v>3.56</v>
      </c>
      <c r="M540">
        <v>63</v>
      </c>
    </row>
    <row r="541" spans="1:15" x14ac:dyDescent="0.25">
      <c r="A541" t="s">
        <v>564</v>
      </c>
      <c r="B541" t="s">
        <v>30</v>
      </c>
      <c r="C541" t="s">
        <v>3006</v>
      </c>
      <c r="D541" t="s">
        <v>8153</v>
      </c>
      <c r="E541">
        <v>240</v>
      </c>
      <c r="F541" t="s">
        <v>8154</v>
      </c>
      <c r="G541">
        <v>1681</v>
      </c>
      <c r="H541">
        <v>3171</v>
      </c>
      <c r="I541">
        <v>-47</v>
      </c>
      <c r="J541">
        <v>3.11</v>
      </c>
      <c r="K541">
        <v>4.97</v>
      </c>
      <c r="L541">
        <v>-1.9</v>
      </c>
      <c r="M541">
        <v>52</v>
      </c>
      <c r="N541">
        <v>158</v>
      </c>
      <c r="O541">
        <v>-66.8</v>
      </c>
    </row>
    <row r="542" spans="1:15" x14ac:dyDescent="0.25">
      <c r="A542" t="s">
        <v>564</v>
      </c>
      <c r="B542" t="s">
        <v>30</v>
      </c>
      <c r="C542" t="s">
        <v>3011</v>
      </c>
      <c r="D542" t="s">
        <v>8155</v>
      </c>
      <c r="E542">
        <v>241</v>
      </c>
      <c r="F542" t="s">
        <v>8156</v>
      </c>
      <c r="G542">
        <v>1649</v>
      </c>
      <c r="J542">
        <v>4.4000000000000004</v>
      </c>
      <c r="M542">
        <v>73</v>
      </c>
    </row>
    <row r="543" spans="1:15" x14ac:dyDescent="0.25">
      <c r="A543" t="s">
        <v>564</v>
      </c>
      <c r="B543" t="s">
        <v>30</v>
      </c>
      <c r="C543" t="s">
        <v>3016</v>
      </c>
      <c r="D543" t="s">
        <v>8157</v>
      </c>
      <c r="E543">
        <v>242</v>
      </c>
      <c r="F543" t="s">
        <v>8158</v>
      </c>
      <c r="G543">
        <v>1610</v>
      </c>
      <c r="H543">
        <v>3358</v>
      </c>
      <c r="I543">
        <v>-52.1</v>
      </c>
      <c r="J543">
        <v>13.32</v>
      </c>
      <c r="K543">
        <v>5.71</v>
      </c>
      <c r="L543">
        <v>7.6</v>
      </c>
      <c r="M543">
        <v>214</v>
      </c>
      <c r="N543">
        <v>192</v>
      </c>
      <c r="O543">
        <v>11.8</v>
      </c>
    </row>
    <row r="544" spans="1:15" x14ac:dyDescent="0.25">
      <c r="A544" t="s">
        <v>564</v>
      </c>
      <c r="B544" t="s">
        <v>30</v>
      </c>
      <c r="C544" t="s">
        <v>3020</v>
      </c>
      <c r="D544" t="s">
        <v>8159</v>
      </c>
      <c r="E544">
        <v>243</v>
      </c>
      <c r="F544" t="s">
        <v>8160</v>
      </c>
      <c r="G544">
        <v>1596</v>
      </c>
      <c r="J544">
        <v>15.7</v>
      </c>
      <c r="M544">
        <v>251</v>
      </c>
    </row>
    <row r="545" spans="1:15" x14ac:dyDescent="0.25">
      <c r="A545" t="s">
        <v>564</v>
      </c>
      <c r="B545" t="s">
        <v>30</v>
      </c>
      <c r="C545" t="s">
        <v>3025</v>
      </c>
      <c r="D545" t="s">
        <v>8161</v>
      </c>
      <c r="E545">
        <v>244</v>
      </c>
      <c r="F545" t="s">
        <v>8162</v>
      </c>
      <c r="G545">
        <v>1587</v>
      </c>
      <c r="H545">
        <v>36445</v>
      </c>
      <c r="I545">
        <v>-95.6</v>
      </c>
      <c r="J545">
        <v>6.25</v>
      </c>
      <c r="K545">
        <v>3.89</v>
      </c>
      <c r="L545">
        <v>2.4</v>
      </c>
      <c r="M545">
        <v>99</v>
      </c>
      <c r="N545">
        <v>1418</v>
      </c>
      <c r="O545">
        <v>-93</v>
      </c>
    </row>
    <row r="546" spans="1:15" x14ac:dyDescent="0.25">
      <c r="A546" t="s">
        <v>564</v>
      </c>
      <c r="B546" t="s">
        <v>30</v>
      </c>
      <c r="C546" t="s">
        <v>3030</v>
      </c>
      <c r="D546" t="s">
        <v>8163</v>
      </c>
      <c r="E546">
        <v>245</v>
      </c>
      <c r="F546" t="s">
        <v>8164</v>
      </c>
      <c r="G546">
        <v>1565</v>
      </c>
      <c r="J546">
        <v>7.82</v>
      </c>
      <c r="M546">
        <v>122</v>
      </c>
    </row>
    <row r="547" spans="1:15" x14ac:dyDescent="0.25">
      <c r="A547" t="s">
        <v>564</v>
      </c>
      <c r="B547" t="s">
        <v>30</v>
      </c>
      <c r="C547" t="s">
        <v>3035</v>
      </c>
      <c r="D547" t="s">
        <v>8165</v>
      </c>
      <c r="E547">
        <v>246</v>
      </c>
      <c r="F547" t="s">
        <v>8166</v>
      </c>
      <c r="G547">
        <v>1552</v>
      </c>
      <c r="H547">
        <v>15247</v>
      </c>
      <c r="I547">
        <v>-89.8</v>
      </c>
      <c r="J547">
        <v>8.35</v>
      </c>
      <c r="K547">
        <v>9.02</v>
      </c>
      <c r="L547">
        <v>-0.7</v>
      </c>
      <c r="M547">
        <v>130</v>
      </c>
      <c r="N547">
        <v>1375</v>
      </c>
      <c r="O547">
        <v>-90.6</v>
      </c>
    </row>
    <row r="548" spans="1:15" x14ac:dyDescent="0.25">
      <c r="A548" t="s">
        <v>564</v>
      </c>
      <c r="B548" t="s">
        <v>30</v>
      </c>
      <c r="C548" t="s">
        <v>3040</v>
      </c>
      <c r="D548" t="s">
        <v>8167</v>
      </c>
      <c r="E548">
        <v>247</v>
      </c>
      <c r="F548" t="s">
        <v>8168</v>
      </c>
      <c r="G548">
        <v>1543</v>
      </c>
      <c r="J548">
        <v>6.82</v>
      </c>
      <c r="M548">
        <v>105</v>
      </c>
    </row>
    <row r="549" spans="1:15" x14ac:dyDescent="0.25">
      <c r="A549" t="s">
        <v>564</v>
      </c>
      <c r="B549" t="s">
        <v>30</v>
      </c>
      <c r="C549" t="s">
        <v>3045</v>
      </c>
      <c r="D549" t="s">
        <v>8169</v>
      </c>
      <c r="E549">
        <v>248</v>
      </c>
      <c r="F549" t="s">
        <v>8170</v>
      </c>
      <c r="G549">
        <v>1540</v>
      </c>
      <c r="J549">
        <v>7.62</v>
      </c>
      <c r="M549">
        <v>117</v>
      </c>
    </row>
    <row r="550" spans="1:15" x14ac:dyDescent="0.25">
      <c r="A550" t="s">
        <v>564</v>
      </c>
      <c r="B550" t="s">
        <v>30</v>
      </c>
      <c r="C550" t="s">
        <v>3049</v>
      </c>
      <c r="D550" t="s">
        <v>8171</v>
      </c>
      <c r="E550">
        <v>249</v>
      </c>
      <c r="F550" t="s">
        <v>8172</v>
      </c>
      <c r="G550">
        <v>1517</v>
      </c>
      <c r="H550">
        <v>1289</v>
      </c>
      <c r="I550">
        <v>17.7</v>
      </c>
      <c r="J550">
        <v>2.92</v>
      </c>
      <c r="K550">
        <v>2.1800000000000002</v>
      </c>
      <c r="L550">
        <v>0.7</v>
      </c>
      <c r="M550">
        <v>44</v>
      </c>
      <c r="N550">
        <v>28</v>
      </c>
      <c r="O550">
        <v>57.6</v>
      </c>
    </row>
    <row r="551" spans="1:15" x14ac:dyDescent="0.25">
      <c r="A551" t="s">
        <v>564</v>
      </c>
      <c r="B551" t="s">
        <v>30</v>
      </c>
      <c r="C551" t="s">
        <v>3054</v>
      </c>
      <c r="D551" t="s">
        <v>8173</v>
      </c>
      <c r="E551">
        <v>250</v>
      </c>
      <c r="F551" t="s">
        <v>8174</v>
      </c>
      <c r="G551">
        <v>1508</v>
      </c>
      <c r="H551">
        <v>4439</v>
      </c>
      <c r="I551">
        <v>-66</v>
      </c>
      <c r="J551">
        <v>11.9</v>
      </c>
      <c r="K551">
        <v>14.52</v>
      </c>
      <c r="L551">
        <v>-2.6</v>
      </c>
      <c r="M551">
        <v>179</v>
      </c>
      <c r="N551">
        <v>645</v>
      </c>
      <c r="O551">
        <v>-72.2</v>
      </c>
    </row>
    <row r="552" spans="1:15" x14ac:dyDescent="0.25">
      <c r="A552" t="s">
        <v>564</v>
      </c>
      <c r="B552" t="s">
        <v>30</v>
      </c>
      <c r="C552" t="s">
        <v>3059</v>
      </c>
      <c r="D552" t="s">
        <v>8175</v>
      </c>
      <c r="E552">
        <v>251</v>
      </c>
      <c r="F552" t="s">
        <v>8176</v>
      </c>
      <c r="G552">
        <v>1504</v>
      </c>
      <c r="H552">
        <v>3230</v>
      </c>
      <c r="I552">
        <v>-53.4</v>
      </c>
      <c r="J552">
        <v>5.88</v>
      </c>
      <c r="K552">
        <v>10.45</v>
      </c>
      <c r="L552">
        <v>-4.5999999999999996</v>
      </c>
      <c r="M552">
        <v>88</v>
      </c>
      <c r="N552">
        <v>338</v>
      </c>
      <c r="O552">
        <v>-73.8</v>
      </c>
    </row>
    <row r="553" spans="1:15" x14ac:dyDescent="0.25">
      <c r="A553" t="s">
        <v>564</v>
      </c>
      <c r="B553" t="s">
        <v>30</v>
      </c>
      <c r="C553" t="s">
        <v>3064</v>
      </c>
      <c r="D553" t="s">
        <v>8177</v>
      </c>
      <c r="E553">
        <v>252</v>
      </c>
      <c r="F553" t="s">
        <v>4670</v>
      </c>
      <c r="G553">
        <v>1501</v>
      </c>
      <c r="H553">
        <v>2789</v>
      </c>
      <c r="I553">
        <v>-46.2</v>
      </c>
      <c r="J553">
        <v>3.97</v>
      </c>
      <c r="K553">
        <v>6.89</v>
      </c>
      <c r="L553">
        <v>-2.9</v>
      </c>
      <c r="M553">
        <v>60</v>
      </c>
      <c r="N553">
        <v>192</v>
      </c>
      <c r="O553">
        <v>-69</v>
      </c>
    </row>
    <row r="554" spans="1:15" x14ac:dyDescent="0.25">
      <c r="A554" t="s">
        <v>564</v>
      </c>
      <c r="B554" t="s">
        <v>30</v>
      </c>
      <c r="C554" t="s">
        <v>3069</v>
      </c>
      <c r="D554" t="s">
        <v>8178</v>
      </c>
      <c r="E554">
        <v>253</v>
      </c>
      <c r="F554" t="s">
        <v>8179</v>
      </c>
      <c r="G554">
        <v>1493</v>
      </c>
      <c r="H554">
        <v>2357</v>
      </c>
      <c r="I554">
        <v>-36.700000000000003</v>
      </c>
      <c r="J554">
        <v>13.53</v>
      </c>
      <c r="K554">
        <v>7.75</v>
      </c>
      <c r="L554">
        <v>5.8</v>
      </c>
      <c r="M554">
        <v>202</v>
      </c>
      <c r="N554">
        <v>183</v>
      </c>
      <c r="O554">
        <v>10.6</v>
      </c>
    </row>
    <row r="555" spans="1:15" x14ac:dyDescent="0.25">
      <c r="A555" t="s">
        <v>564</v>
      </c>
      <c r="B555" t="s">
        <v>30</v>
      </c>
      <c r="C555" t="s">
        <v>3074</v>
      </c>
      <c r="D555" t="s">
        <v>8180</v>
      </c>
      <c r="E555">
        <v>254</v>
      </c>
      <c r="F555" t="s">
        <v>8181</v>
      </c>
      <c r="G555">
        <v>1449</v>
      </c>
      <c r="J555">
        <v>14.81</v>
      </c>
      <c r="M555">
        <v>215</v>
      </c>
    </row>
    <row r="556" spans="1:15" x14ac:dyDescent="0.25">
      <c r="A556" t="s">
        <v>564</v>
      </c>
      <c r="B556" t="s">
        <v>30</v>
      </c>
      <c r="C556" t="s">
        <v>3079</v>
      </c>
      <c r="D556" t="s">
        <v>8182</v>
      </c>
      <c r="E556">
        <v>255</v>
      </c>
      <c r="F556" t="s">
        <v>8183</v>
      </c>
      <c r="G556">
        <v>1437</v>
      </c>
      <c r="H556">
        <v>1988</v>
      </c>
      <c r="I556">
        <v>-27.7</v>
      </c>
      <c r="J556">
        <v>4</v>
      </c>
      <c r="K556">
        <v>1.01</v>
      </c>
      <c r="L556">
        <v>3</v>
      </c>
      <c r="M556">
        <v>57</v>
      </c>
      <c r="N556">
        <v>20</v>
      </c>
      <c r="O556">
        <v>186.3</v>
      </c>
    </row>
    <row r="557" spans="1:15" x14ac:dyDescent="0.25">
      <c r="A557" t="s">
        <v>564</v>
      </c>
      <c r="B557" t="s">
        <v>30</v>
      </c>
      <c r="C557" t="s">
        <v>3084</v>
      </c>
      <c r="D557" t="s">
        <v>8184</v>
      </c>
      <c r="E557">
        <v>256</v>
      </c>
      <c r="F557" t="s">
        <v>8185</v>
      </c>
      <c r="G557">
        <v>1429</v>
      </c>
      <c r="J557">
        <v>2.97</v>
      </c>
      <c r="M557">
        <v>42</v>
      </c>
    </row>
    <row r="558" spans="1:15" x14ac:dyDescent="0.25">
      <c r="A558" t="s">
        <v>564</v>
      </c>
      <c r="B558" t="s">
        <v>30</v>
      </c>
      <c r="C558" t="s">
        <v>3089</v>
      </c>
      <c r="D558" t="s">
        <v>8186</v>
      </c>
      <c r="E558">
        <v>257</v>
      </c>
      <c r="F558" t="s">
        <v>8187</v>
      </c>
      <c r="G558">
        <v>1331</v>
      </c>
      <c r="J558">
        <v>3.76</v>
      </c>
      <c r="M558">
        <v>50</v>
      </c>
    </row>
    <row r="559" spans="1:15" x14ac:dyDescent="0.25">
      <c r="A559" t="s">
        <v>564</v>
      </c>
      <c r="B559" t="s">
        <v>30</v>
      </c>
      <c r="C559" t="s">
        <v>3094</v>
      </c>
      <c r="D559" t="s">
        <v>8188</v>
      </c>
      <c r="E559">
        <v>258</v>
      </c>
      <c r="F559" t="s">
        <v>8189</v>
      </c>
      <c r="G559">
        <v>1302</v>
      </c>
      <c r="J559">
        <v>9.7200000000000006</v>
      </c>
      <c r="M559">
        <v>127</v>
      </c>
    </row>
    <row r="560" spans="1:15" x14ac:dyDescent="0.25">
      <c r="A560" t="s">
        <v>564</v>
      </c>
      <c r="B560" t="s">
        <v>30</v>
      </c>
      <c r="C560" t="s">
        <v>3099</v>
      </c>
      <c r="D560" t="s">
        <v>8190</v>
      </c>
      <c r="E560">
        <v>259</v>
      </c>
      <c r="F560" t="s">
        <v>8191</v>
      </c>
      <c r="G560">
        <v>1239</v>
      </c>
      <c r="H560">
        <v>2124</v>
      </c>
      <c r="I560">
        <v>-41.7</v>
      </c>
      <c r="J560">
        <v>7.22</v>
      </c>
      <c r="K560">
        <v>10.27</v>
      </c>
      <c r="L560">
        <v>-3.1</v>
      </c>
      <c r="M560">
        <v>89</v>
      </c>
      <c r="N560">
        <v>218</v>
      </c>
      <c r="O560">
        <v>-59</v>
      </c>
    </row>
    <row r="561" spans="1:15" x14ac:dyDescent="0.25">
      <c r="A561" t="s">
        <v>564</v>
      </c>
      <c r="B561" t="s">
        <v>30</v>
      </c>
      <c r="C561" t="s">
        <v>3104</v>
      </c>
      <c r="D561" t="s">
        <v>8192</v>
      </c>
      <c r="E561">
        <v>260</v>
      </c>
      <c r="F561" t="s">
        <v>8193</v>
      </c>
      <c r="G561">
        <v>1197</v>
      </c>
      <c r="J561">
        <v>4.21</v>
      </c>
      <c r="M561">
        <v>50</v>
      </c>
    </row>
    <row r="562" spans="1:15" x14ac:dyDescent="0.25">
      <c r="A562" t="s">
        <v>564</v>
      </c>
      <c r="B562" t="s">
        <v>30</v>
      </c>
      <c r="C562" t="s">
        <v>3109</v>
      </c>
      <c r="D562" t="s">
        <v>8194</v>
      </c>
      <c r="E562">
        <v>261</v>
      </c>
      <c r="F562" t="s">
        <v>8195</v>
      </c>
      <c r="G562">
        <v>1189</v>
      </c>
      <c r="H562">
        <v>2605</v>
      </c>
      <c r="I562">
        <v>-54.4</v>
      </c>
      <c r="J562">
        <v>2.79</v>
      </c>
      <c r="K562">
        <v>2.85</v>
      </c>
      <c r="L562">
        <v>-0.1</v>
      </c>
      <c r="M562">
        <v>33</v>
      </c>
      <c r="N562">
        <v>74</v>
      </c>
      <c r="O562">
        <v>-55.3</v>
      </c>
    </row>
    <row r="563" spans="1:15" x14ac:dyDescent="0.25">
      <c r="A563" t="s">
        <v>564</v>
      </c>
      <c r="B563" t="s">
        <v>30</v>
      </c>
      <c r="C563" t="s">
        <v>3114</v>
      </c>
      <c r="D563" t="s">
        <v>8196</v>
      </c>
      <c r="E563">
        <v>262</v>
      </c>
      <c r="F563" t="s">
        <v>8197</v>
      </c>
      <c r="G563">
        <v>1142</v>
      </c>
      <c r="H563">
        <v>2782</v>
      </c>
      <c r="I563">
        <v>-59</v>
      </c>
      <c r="J563">
        <v>8.57</v>
      </c>
      <c r="K563">
        <v>11.78</v>
      </c>
      <c r="L563">
        <v>-3.2</v>
      </c>
      <c r="M563">
        <v>98</v>
      </c>
      <c r="N563">
        <v>328</v>
      </c>
      <c r="O563">
        <v>-70.099999999999994</v>
      </c>
    </row>
    <row r="564" spans="1:15" x14ac:dyDescent="0.25">
      <c r="A564" t="s">
        <v>564</v>
      </c>
      <c r="B564" t="s">
        <v>30</v>
      </c>
      <c r="C564" t="s">
        <v>3119</v>
      </c>
      <c r="D564" t="s">
        <v>8198</v>
      </c>
      <c r="E564">
        <v>263</v>
      </c>
      <c r="F564" t="s">
        <v>8199</v>
      </c>
      <c r="G564">
        <v>1094</v>
      </c>
      <c r="J564">
        <v>0.26</v>
      </c>
      <c r="M564">
        <v>3</v>
      </c>
    </row>
    <row r="565" spans="1:15" x14ac:dyDescent="0.25">
      <c r="A565" t="s">
        <v>564</v>
      </c>
      <c r="B565" t="s">
        <v>30</v>
      </c>
      <c r="C565" t="s">
        <v>3120</v>
      </c>
      <c r="D565" t="s">
        <v>8200</v>
      </c>
      <c r="E565">
        <v>264</v>
      </c>
      <c r="F565" t="s">
        <v>8201</v>
      </c>
      <c r="G565">
        <v>1093</v>
      </c>
      <c r="J565">
        <v>5</v>
      </c>
      <c r="M565">
        <v>55</v>
      </c>
    </row>
    <row r="566" spans="1:15" x14ac:dyDescent="0.25">
      <c r="A566" t="s">
        <v>564</v>
      </c>
      <c r="B566" t="s">
        <v>30</v>
      </c>
      <c r="C566" t="s">
        <v>3121</v>
      </c>
      <c r="D566" t="s">
        <v>8202</v>
      </c>
      <c r="E566">
        <v>265</v>
      </c>
      <c r="F566" t="s">
        <v>8203</v>
      </c>
      <c r="G566">
        <v>1069</v>
      </c>
      <c r="J566">
        <v>2.68</v>
      </c>
      <c r="M566">
        <v>29</v>
      </c>
    </row>
    <row r="567" spans="1:15" x14ac:dyDescent="0.25">
      <c r="A567" t="s">
        <v>564</v>
      </c>
      <c r="B567" t="s">
        <v>30</v>
      </c>
      <c r="C567" t="s">
        <v>3126</v>
      </c>
      <c r="D567" t="s">
        <v>8204</v>
      </c>
      <c r="E567">
        <v>266</v>
      </c>
      <c r="F567" t="s">
        <v>8205</v>
      </c>
      <c r="G567">
        <v>1064</v>
      </c>
      <c r="J567">
        <v>3.11</v>
      </c>
      <c r="M567">
        <v>33</v>
      </c>
    </row>
    <row r="568" spans="1:15" x14ac:dyDescent="0.25">
      <c r="A568" t="s">
        <v>564</v>
      </c>
      <c r="B568" t="s">
        <v>30</v>
      </c>
      <c r="C568" t="s">
        <v>3127</v>
      </c>
      <c r="D568" t="s">
        <v>8206</v>
      </c>
      <c r="E568">
        <v>267</v>
      </c>
      <c r="F568" t="s">
        <v>8207</v>
      </c>
      <c r="G568">
        <v>1006</v>
      </c>
      <c r="J568">
        <v>9.3000000000000007</v>
      </c>
      <c r="M568">
        <v>94</v>
      </c>
    </row>
    <row r="569" spans="1:15" x14ac:dyDescent="0.25">
      <c r="A569" t="s">
        <v>564</v>
      </c>
      <c r="B569" t="s">
        <v>30</v>
      </c>
      <c r="C569" t="s">
        <v>8208</v>
      </c>
      <c r="D569" t="s">
        <v>8209</v>
      </c>
      <c r="E569">
        <v>268</v>
      </c>
      <c r="F569" t="s">
        <v>8210</v>
      </c>
      <c r="G569">
        <v>1005</v>
      </c>
      <c r="J569">
        <v>4.5599999999999996</v>
      </c>
      <c r="M569">
        <v>46</v>
      </c>
    </row>
    <row r="570" spans="1:15" x14ac:dyDescent="0.25">
      <c r="A570" t="s">
        <v>564</v>
      </c>
      <c r="B570" t="s">
        <v>30</v>
      </c>
      <c r="C570" t="s">
        <v>8211</v>
      </c>
      <c r="D570" t="s">
        <v>8212</v>
      </c>
      <c r="E570">
        <v>269</v>
      </c>
      <c r="F570" t="s">
        <v>8213</v>
      </c>
      <c r="G570">
        <v>1004</v>
      </c>
      <c r="J570">
        <v>3.74</v>
      </c>
      <c r="M570">
        <v>38</v>
      </c>
    </row>
    <row r="571" spans="1:15" x14ac:dyDescent="0.25">
      <c r="A571" t="s">
        <v>564</v>
      </c>
      <c r="B571" t="s">
        <v>30</v>
      </c>
      <c r="C571" t="s">
        <v>8214</v>
      </c>
      <c r="D571" t="s">
        <v>8215</v>
      </c>
      <c r="E571">
        <v>270</v>
      </c>
      <c r="F571" t="s">
        <v>8216</v>
      </c>
      <c r="G571">
        <v>998</v>
      </c>
      <c r="J571">
        <v>3.13</v>
      </c>
      <c r="M571">
        <v>31</v>
      </c>
    </row>
    <row r="572" spans="1:15" x14ac:dyDescent="0.25">
      <c r="A572" t="s">
        <v>564</v>
      </c>
      <c r="B572" t="s">
        <v>30</v>
      </c>
      <c r="C572" t="s">
        <v>8217</v>
      </c>
      <c r="D572" t="s">
        <v>8218</v>
      </c>
      <c r="E572">
        <v>271</v>
      </c>
      <c r="F572" t="s">
        <v>8219</v>
      </c>
      <c r="G572">
        <v>982</v>
      </c>
      <c r="J572">
        <v>13.33</v>
      </c>
      <c r="M572">
        <v>131</v>
      </c>
    </row>
    <row r="573" spans="1:15" x14ac:dyDescent="0.25">
      <c r="A573" t="s">
        <v>564</v>
      </c>
      <c r="B573" t="s">
        <v>30</v>
      </c>
      <c r="C573" t="s">
        <v>8220</v>
      </c>
      <c r="D573" t="s">
        <v>8221</v>
      </c>
      <c r="E573">
        <v>272</v>
      </c>
      <c r="F573" t="s">
        <v>8222</v>
      </c>
      <c r="G573">
        <v>969</v>
      </c>
      <c r="J573">
        <v>8.23</v>
      </c>
      <c r="M573">
        <v>80</v>
      </c>
    </row>
    <row r="574" spans="1:15" x14ac:dyDescent="0.25">
      <c r="A574" t="s">
        <v>564</v>
      </c>
      <c r="B574" t="s">
        <v>30</v>
      </c>
      <c r="C574" t="s">
        <v>8223</v>
      </c>
      <c r="D574" t="s">
        <v>8224</v>
      </c>
      <c r="E574">
        <v>273</v>
      </c>
      <c r="F574" t="s">
        <v>8225</v>
      </c>
      <c r="G574">
        <v>945</v>
      </c>
      <c r="J574">
        <v>4.54</v>
      </c>
      <c r="M574">
        <v>43</v>
      </c>
    </row>
    <row r="575" spans="1:15" x14ac:dyDescent="0.25">
      <c r="A575" t="s">
        <v>564</v>
      </c>
      <c r="B575" t="s">
        <v>30</v>
      </c>
      <c r="C575" t="s">
        <v>8226</v>
      </c>
      <c r="D575" t="s">
        <v>8227</v>
      </c>
      <c r="E575">
        <v>274</v>
      </c>
      <c r="F575" t="s">
        <v>8228</v>
      </c>
      <c r="G575">
        <v>930</v>
      </c>
      <c r="J575">
        <v>3.29</v>
      </c>
      <c r="M575">
        <v>31</v>
      </c>
    </row>
    <row r="576" spans="1:15" x14ac:dyDescent="0.25">
      <c r="A576" t="s">
        <v>564</v>
      </c>
      <c r="B576" t="s">
        <v>30</v>
      </c>
      <c r="C576" t="s">
        <v>8229</v>
      </c>
      <c r="D576" t="s">
        <v>8230</v>
      </c>
      <c r="E576">
        <v>275</v>
      </c>
      <c r="F576" t="s">
        <v>8231</v>
      </c>
      <c r="G576">
        <v>907</v>
      </c>
      <c r="H576">
        <v>1001</v>
      </c>
      <c r="I576">
        <v>-9.4</v>
      </c>
      <c r="J576">
        <v>6.78</v>
      </c>
      <c r="K576">
        <v>6.66</v>
      </c>
      <c r="L576">
        <v>0.1</v>
      </c>
      <c r="M576">
        <v>61</v>
      </c>
      <c r="N576">
        <v>67</v>
      </c>
      <c r="O576">
        <v>-7.8</v>
      </c>
    </row>
    <row r="577" spans="1:15" x14ac:dyDescent="0.25">
      <c r="A577" t="s">
        <v>564</v>
      </c>
      <c r="B577" t="s">
        <v>30</v>
      </c>
      <c r="C577" t="s">
        <v>8232</v>
      </c>
      <c r="D577" t="s">
        <v>8233</v>
      </c>
      <c r="E577">
        <v>276</v>
      </c>
      <c r="F577" t="s">
        <v>8234</v>
      </c>
      <c r="G577">
        <v>903</v>
      </c>
      <c r="H577">
        <v>1458</v>
      </c>
      <c r="I577">
        <v>-38.1</v>
      </c>
      <c r="J577">
        <v>3.33</v>
      </c>
      <c r="K577">
        <v>3</v>
      </c>
      <c r="L577">
        <v>0.3</v>
      </c>
      <c r="M577">
        <v>30</v>
      </c>
      <c r="N577">
        <v>44</v>
      </c>
      <c r="O577">
        <v>-31.3</v>
      </c>
    </row>
    <row r="578" spans="1:15" x14ac:dyDescent="0.25">
      <c r="A578" t="s">
        <v>564</v>
      </c>
      <c r="B578" t="s">
        <v>30</v>
      </c>
      <c r="C578" t="s">
        <v>8235</v>
      </c>
      <c r="D578" t="s">
        <v>8236</v>
      </c>
      <c r="E578">
        <v>277</v>
      </c>
      <c r="F578" t="s">
        <v>8237</v>
      </c>
      <c r="G578">
        <v>899</v>
      </c>
      <c r="J578">
        <v>4.6500000000000004</v>
      </c>
      <c r="M578">
        <v>42</v>
      </c>
    </row>
    <row r="579" spans="1:15" x14ac:dyDescent="0.25">
      <c r="A579" t="s">
        <v>564</v>
      </c>
      <c r="B579" t="s">
        <v>30</v>
      </c>
      <c r="C579" t="s">
        <v>8238</v>
      </c>
      <c r="D579" t="s">
        <v>8239</v>
      </c>
      <c r="E579">
        <v>278</v>
      </c>
      <c r="F579" t="s">
        <v>8240</v>
      </c>
      <c r="G579">
        <v>897</v>
      </c>
      <c r="H579">
        <v>1875</v>
      </c>
      <c r="I579">
        <v>-52.2</v>
      </c>
      <c r="J579">
        <v>7.69</v>
      </c>
      <c r="K579">
        <v>7.69</v>
      </c>
      <c r="L579">
        <v>0</v>
      </c>
      <c r="M579">
        <v>69</v>
      </c>
      <c r="N579">
        <v>144</v>
      </c>
      <c r="O579">
        <v>-52.2</v>
      </c>
    </row>
    <row r="580" spans="1:15" x14ac:dyDescent="0.25">
      <c r="A580" t="s">
        <v>564</v>
      </c>
      <c r="B580" t="s">
        <v>30</v>
      </c>
      <c r="C580" t="s">
        <v>8241</v>
      </c>
      <c r="D580" t="s">
        <v>8242</v>
      </c>
      <c r="E580">
        <v>279</v>
      </c>
      <c r="F580" t="s">
        <v>8243</v>
      </c>
      <c r="G580">
        <v>885</v>
      </c>
      <c r="H580">
        <v>14578</v>
      </c>
      <c r="I580">
        <v>-93.9</v>
      </c>
      <c r="J580">
        <v>4.55</v>
      </c>
      <c r="K580">
        <v>6.81</v>
      </c>
      <c r="L580">
        <v>-2.2999999999999998</v>
      </c>
      <c r="M580">
        <v>40</v>
      </c>
      <c r="N580">
        <v>993</v>
      </c>
      <c r="O580">
        <v>-95.9</v>
      </c>
    </row>
    <row r="581" spans="1:15" x14ac:dyDescent="0.25">
      <c r="A581" t="s">
        <v>564</v>
      </c>
      <c r="B581" t="s">
        <v>30</v>
      </c>
      <c r="C581" t="s">
        <v>8244</v>
      </c>
      <c r="D581" t="s">
        <v>8245</v>
      </c>
      <c r="E581">
        <v>280</v>
      </c>
      <c r="F581" t="s">
        <v>8246</v>
      </c>
      <c r="G581">
        <v>876</v>
      </c>
      <c r="J581">
        <v>3.86</v>
      </c>
      <c r="M581">
        <v>34</v>
      </c>
    </row>
    <row r="582" spans="1:15" x14ac:dyDescent="0.25">
      <c r="A582" t="s">
        <v>564</v>
      </c>
      <c r="B582" t="s">
        <v>30</v>
      </c>
      <c r="C582" t="s">
        <v>8247</v>
      </c>
      <c r="D582" t="s">
        <v>8248</v>
      </c>
      <c r="E582">
        <v>281</v>
      </c>
      <c r="F582" t="s">
        <v>8249</v>
      </c>
      <c r="G582">
        <v>862</v>
      </c>
      <c r="J582">
        <v>2.99</v>
      </c>
      <c r="M582">
        <v>26</v>
      </c>
    </row>
    <row r="583" spans="1:15" x14ac:dyDescent="0.25">
      <c r="A583" t="s">
        <v>564</v>
      </c>
      <c r="B583" t="s">
        <v>30</v>
      </c>
      <c r="C583" t="s">
        <v>8250</v>
      </c>
      <c r="D583" t="s">
        <v>8251</v>
      </c>
      <c r="E583">
        <v>282</v>
      </c>
      <c r="F583" t="s">
        <v>8252</v>
      </c>
      <c r="G583">
        <v>862</v>
      </c>
      <c r="J583">
        <v>2.15</v>
      </c>
      <c r="M583">
        <v>19</v>
      </c>
    </row>
    <row r="584" spans="1:15" x14ac:dyDescent="0.25">
      <c r="A584" t="s">
        <v>564</v>
      </c>
      <c r="B584" t="s">
        <v>30</v>
      </c>
      <c r="C584" t="s">
        <v>8253</v>
      </c>
      <c r="D584" t="s">
        <v>8254</v>
      </c>
      <c r="E584">
        <v>283</v>
      </c>
      <c r="F584" t="s">
        <v>8255</v>
      </c>
      <c r="G584">
        <v>851</v>
      </c>
      <c r="H584">
        <v>1736</v>
      </c>
      <c r="I584">
        <v>-51</v>
      </c>
      <c r="J584">
        <v>6.42</v>
      </c>
      <c r="K584">
        <v>8.84</v>
      </c>
      <c r="L584">
        <v>-2.4</v>
      </c>
      <c r="M584">
        <v>55</v>
      </c>
      <c r="N584">
        <v>153</v>
      </c>
      <c r="O584">
        <v>-64.400000000000006</v>
      </c>
    </row>
    <row r="585" spans="1:15" x14ac:dyDescent="0.25">
      <c r="A585" t="s">
        <v>564</v>
      </c>
      <c r="B585" t="s">
        <v>30</v>
      </c>
      <c r="C585" t="s">
        <v>8256</v>
      </c>
      <c r="D585" t="s">
        <v>8257</v>
      </c>
      <c r="E585">
        <v>284</v>
      </c>
      <c r="F585" t="s">
        <v>8258</v>
      </c>
      <c r="G585">
        <v>849</v>
      </c>
      <c r="J585">
        <v>6.67</v>
      </c>
      <c r="M585">
        <v>57</v>
      </c>
    </row>
    <row r="586" spans="1:15" x14ac:dyDescent="0.25">
      <c r="A586" t="s">
        <v>564</v>
      </c>
      <c r="B586" t="s">
        <v>30</v>
      </c>
      <c r="C586" t="s">
        <v>8259</v>
      </c>
      <c r="D586" t="s">
        <v>8260</v>
      </c>
      <c r="E586">
        <v>285</v>
      </c>
      <c r="F586" t="s">
        <v>8261</v>
      </c>
      <c r="G586">
        <v>843</v>
      </c>
      <c r="J586">
        <v>6.25</v>
      </c>
      <c r="M586">
        <v>53</v>
      </c>
    </row>
    <row r="587" spans="1:15" x14ac:dyDescent="0.25">
      <c r="A587" t="s">
        <v>564</v>
      </c>
      <c r="B587" t="s">
        <v>30</v>
      </c>
      <c r="C587" t="s">
        <v>8262</v>
      </c>
      <c r="D587" t="s">
        <v>8263</v>
      </c>
      <c r="E587">
        <v>286</v>
      </c>
      <c r="F587" t="s">
        <v>8264</v>
      </c>
      <c r="G587">
        <v>825</v>
      </c>
      <c r="J587">
        <v>50</v>
      </c>
      <c r="M587">
        <v>413</v>
      </c>
    </row>
    <row r="588" spans="1:15" x14ac:dyDescent="0.25">
      <c r="A588" t="s">
        <v>564</v>
      </c>
      <c r="B588" t="s">
        <v>30</v>
      </c>
      <c r="C588" t="s">
        <v>8265</v>
      </c>
      <c r="D588" t="s">
        <v>8266</v>
      </c>
      <c r="E588">
        <v>287</v>
      </c>
      <c r="F588" t="s">
        <v>8267</v>
      </c>
      <c r="G588">
        <v>823</v>
      </c>
      <c r="J588">
        <v>0.97</v>
      </c>
      <c r="M588">
        <v>8</v>
      </c>
    </row>
    <row r="589" spans="1:15" x14ac:dyDescent="0.25">
      <c r="A589" t="s">
        <v>564</v>
      </c>
      <c r="B589" t="s">
        <v>30</v>
      </c>
      <c r="C589" t="s">
        <v>8268</v>
      </c>
      <c r="D589" t="s">
        <v>8269</v>
      </c>
      <c r="E589">
        <v>288</v>
      </c>
      <c r="F589" t="s">
        <v>8270</v>
      </c>
      <c r="G589">
        <v>806</v>
      </c>
      <c r="H589">
        <v>1820</v>
      </c>
      <c r="I589">
        <v>-55.7</v>
      </c>
      <c r="J589">
        <v>1.82</v>
      </c>
      <c r="K589">
        <v>0.85</v>
      </c>
      <c r="L589">
        <v>1</v>
      </c>
      <c r="M589">
        <v>15</v>
      </c>
      <c r="N589">
        <v>15</v>
      </c>
      <c r="O589">
        <v>-5.2</v>
      </c>
    </row>
    <row r="590" spans="1:15" x14ac:dyDescent="0.25">
      <c r="A590" t="s">
        <v>564</v>
      </c>
      <c r="B590" t="s">
        <v>30</v>
      </c>
      <c r="C590" t="s">
        <v>8271</v>
      </c>
      <c r="D590" t="s">
        <v>8272</v>
      </c>
      <c r="E590">
        <v>289</v>
      </c>
      <c r="F590" t="s">
        <v>8273</v>
      </c>
      <c r="G590">
        <v>799</v>
      </c>
      <c r="J590">
        <v>6.9</v>
      </c>
      <c r="M590">
        <v>55</v>
      </c>
    </row>
    <row r="591" spans="1:15" x14ac:dyDescent="0.25">
      <c r="A591" t="s">
        <v>564</v>
      </c>
      <c r="B591" t="s">
        <v>30</v>
      </c>
      <c r="C591" t="s">
        <v>8274</v>
      </c>
      <c r="D591" t="s">
        <v>8275</v>
      </c>
      <c r="E591">
        <v>290</v>
      </c>
      <c r="F591" t="s">
        <v>8276</v>
      </c>
      <c r="G591">
        <v>785</v>
      </c>
      <c r="H591">
        <v>1544</v>
      </c>
      <c r="I591">
        <v>-49.2</v>
      </c>
      <c r="J591">
        <v>2.14</v>
      </c>
      <c r="K591">
        <v>3.08</v>
      </c>
      <c r="L591">
        <v>-0.9</v>
      </c>
      <c r="M591">
        <v>17</v>
      </c>
      <c r="N591">
        <v>48</v>
      </c>
      <c r="O591">
        <v>-64.7</v>
      </c>
    </row>
    <row r="592" spans="1:15" x14ac:dyDescent="0.25">
      <c r="A592" t="s">
        <v>564</v>
      </c>
      <c r="B592" t="s">
        <v>30</v>
      </c>
      <c r="C592" t="s">
        <v>8277</v>
      </c>
      <c r="D592" t="s">
        <v>8278</v>
      </c>
      <c r="E592">
        <v>291</v>
      </c>
      <c r="F592" t="s">
        <v>8279</v>
      </c>
      <c r="G592">
        <v>781</v>
      </c>
      <c r="J592">
        <v>4.82</v>
      </c>
      <c r="M592">
        <v>38</v>
      </c>
    </row>
    <row r="593" spans="1:13" x14ac:dyDescent="0.25">
      <c r="A593" t="s">
        <v>564</v>
      </c>
      <c r="B593" t="s">
        <v>30</v>
      </c>
      <c r="C593" t="s">
        <v>8280</v>
      </c>
      <c r="D593" t="s">
        <v>8281</v>
      </c>
      <c r="E593">
        <v>292</v>
      </c>
      <c r="F593" t="s">
        <v>8282</v>
      </c>
      <c r="G593">
        <v>780</v>
      </c>
      <c r="J593">
        <v>4.2699999999999996</v>
      </c>
      <c r="M593">
        <v>33</v>
      </c>
    </row>
    <row r="594" spans="1:13" x14ac:dyDescent="0.25">
      <c r="A594" t="s">
        <v>564</v>
      </c>
      <c r="B594" t="s">
        <v>30</v>
      </c>
      <c r="C594" t="s">
        <v>8283</v>
      </c>
      <c r="D594" t="s">
        <v>8284</v>
      </c>
      <c r="E594">
        <v>293</v>
      </c>
      <c r="F594" t="s">
        <v>8285</v>
      </c>
      <c r="G594">
        <v>759</v>
      </c>
      <c r="J594">
        <v>1.66</v>
      </c>
      <c r="M594">
        <v>13</v>
      </c>
    </row>
    <row r="595" spans="1:13" x14ac:dyDescent="0.25">
      <c r="A595" t="s">
        <v>564</v>
      </c>
      <c r="B595" t="s">
        <v>30</v>
      </c>
      <c r="C595" t="s">
        <v>8286</v>
      </c>
      <c r="D595" t="s">
        <v>8287</v>
      </c>
      <c r="E595">
        <v>294</v>
      </c>
      <c r="F595" t="s">
        <v>8288</v>
      </c>
      <c r="G595">
        <v>751</v>
      </c>
      <c r="J595">
        <v>1.76</v>
      </c>
      <c r="M595">
        <v>13</v>
      </c>
    </row>
    <row r="596" spans="1:13" x14ac:dyDescent="0.25">
      <c r="A596" t="s">
        <v>564</v>
      </c>
      <c r="B596" t="s">
        <v>30</v>
      </c>
      <c r="C596" t="s">
        <v>8289</v>
      </c>
      <c r="D596" t="s">
        <v>8290</v>
      </c>
      <c r="E596">
        <v>295</v>
      </c>
      <c r="F596" t="s">
        <v>8291</v>
      </c>
      <c r="G596">
        <v>749</v>
      </c>
      <c r="J596">
        <v>3</v>
      </c>
      <c r="M596">
        <v>22</v>
      </c>
    </row>
    <row r="597" spans="1:13" x14ac:dyDescent="0.25">
      <c r="A597" t="s">
        <v>564</v>
      </c>
      <c r="B597" t="s">
        <v>30</v>
      </c>
      <c r="C597" t="s">
        <v>8292</v>
      </c>
      <c r="D597" t="s">
        <v>8293</v>
      </c>
      <c r="E597">
        <v>296</v>
      </c>
      <c r="F597" t="s">
        <v>8294</v>
      </c>
      <c r="G597">
        <v>746</v>
      </c>
      <c r="J597">
        <v>7.89</v>
      </c>
      <c r="M597">
        <v>59</v>
      </c>
    </row>
    <row r="598" spans="1:13" x14ac:dyDescent="0.25">
      <c r="A598" t="s">
        <v>564</v>
      </c>
      <c r="B598" t="s">
        <v>30</v>
      </c>
      <c r="C598" t="s">
        <v>8295</v>
      </c>
      <c r="D598" t="s">
        <v>8296</v>
      </c>
      <c r="E598">
        <v>297</v>
      </c>
      <c r="F598" t="s">
        <v>8297</v>
      </c>
      <c r="G598">
        <v>731</v>
      </c>
      <c r="J598">
        <v>11.9</v>
      </c>
      <c r="M598">
        <v>87</v>
      </c>
    </row>
    <row r="599" spans="1:13" x14ac:dyDescent="0.25">
      <c r="A599" t="s">
        <v>564</v>
      </c>
      <c r="B599" t="s">
        <v>30</v>
      </c>
      <c r="C599" t="s">
        <v>8298</v>
      </c>
      <c r="D599" t="s">
        <v>8299</v>
      </c>
      <c r="E599">
        <v>298</v>
      </c>
      <c r="F599" t="s">
        <v>8300</v>
      </c>
      <c r="G599">
        <v>707</v>
      </c>
      <c r="J599">
        <v>3.23</v>
      </c>
      <c r="M599">
        <v>23</v>
      </c>
    </row>
    <row r="600" spans="1:13" x14ac:dyDescent="0.25">
      <c r="A600" t="s">
        <v>564</v>
      </c>
      <c r="B600" t="s">
        <v>30</v>
      </c>
      <c r="C600" t="s">
        <v>8301</v>
      </c>
      <c r="D600" t="s">
        <v>8302</v>
      </c>
      <c r="E600">
        <v>299</v>
      </c>
      <c r="F600" t="s">
        <v>8303</v>
      </c>
      <c r="G600">
        <v>681</v>
      </c>
      <c r="J600">
        <v>2.0699999999999998</v>
      </c>
      <c r="M600">
        <v>14</v>
      </c>
    </row>
    <row r="601" spans="1:13" x14ac:dyDescent="0.25">
      <c r="A601" t="s">
        <v>564</v>
      </c>
      <c r="B601" t="s">
        <v>30</v>
      </c>
      <c r="C601" t="s">
        <v>8304</v>
      </c>
      <c r="D601" t="s">
        <v>8305</v>
      </c>
      <c r="E601">
        <v>300</v>
      </c>
      <c r="F601" t="s">
        <v>8306</v>
      </c>
      <c r="G601">
        <v>679</v>
      </c>
      <c r="J601">
        <v>0.51</v>
      </c>
      <c r="M601">
        <v>3</v>
      </c>
    </row>
  </sheetData>
  <autoFilter ref="A1:O601" xr:uid="{00000000-0009-0000-0000-00000E000000}"/>
  <phoneticPr fontId="2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4"/>
  <sheetViews>
    <sheetView workbookViewId="0">
      <selection activeCell="J7" sqref="J7"/>
    </sheetView>
  </sheetViews>
  <sheetFormatPr defaultColWidth="8.81640625" defaultRowHeight="14" x14ac:dyDescent="0.25"/>
  <cols>
    <col min="3" max="3" width="23.1796875" customWidth="1"/>
    <col min="4" max="4" width="32.1796875" customWidth="1"/>
  </cols>
  <sheetData>
    <row r="1" spans="1:17" x14ac:dyDescent="0.25">
      <c r="A1" t="s">
        <v>482</v>
      </c>
      <c r="B1" t="s">
        <v>711</v>
      </c>
      <c r="C1" t="s">
        <v>8307</v>
      </c>
      <c r="D1" t="s">
        <v>7129</v>
      </c>
      <c r="E1" t="s">
        <v>8308</v>
      </c>
      <c r="F1" t="s">
        <v>8309</v>
      </c>
      <c r="G1" t="s">
        <v>8310</v>
      </c>
      <c r="H1" t="s">
        <v>8311</v>
      </c>
      <c r="I1" t="s">
        <v>571</v>
      </c>
      <c r="J1" t="s">
        <v>8312</v>
      </c>
      <c r="K1" t="s">
        <v>569</v>
      </c>
      <c r="L1" t="s">
        <v>570</v>
      </c>
      <c r="M1" t="s">
        <v>3259</v>
      </c>
      <c r="N1" t="s">
        <v>568</v>
      </c>
      <c r="O1" t="s">
        <v>572</v>
      </c>
      <c r="P1" t="s">
        <v>3158</v>
      </c>
      <c r="Q1" t="s">
        <v>3255</v>
      </c>
    </row>
    <row r="2" spans="1:17" x14ac:dyDescent="0.25">
      <c r="A2" t="s">
        <v>564</v>
      </c>
      <c r="B2" t="s">
        <v>28</v>
      </c>
      <c r="C2" t="s">
        <v>349</v>
      </c>
      <c r="D2" t="s">
        <v>7178</v>
      </c>
      <c r="E2">
        <v>26639</v>
      </c>
      <c r="F2">
        <v>363</v>
      </c>
      <c r="G2">
        <v>50565</v>
      </c>
      <c r="H2">
        <v>285</v>
      </c>
      <c r="I2">
        <v>560</v>
      </c>
      <c r="J2">
        <v>38589</v>
      </c>
      <c r="K2">
        <v>1.45</v>
      </c>
      <c r="L2">
        <v>1067</v>
      </c>
      <c r="M2">
        <v>118589</v>
      </c>
      <c r="N2">
        <v>0.9</v>
      </c>
      <c r="O2">
        <v>-47.57</v>
      </c>
      <c r="P2">
        <v>-67.459999999999994</v>
      </c>
      <c r="Q2">
        <v>0.55000000000000004</v>
      </c>
    </row>
    <row r="3" spans="1:17" x14ac:dyDescent="0.25">
      <c r="A3" t="s">
        <v>564</v>
      </c>
      <c r="B3" t="s">
        <v>28</v>
      </c>
      <c r="C3" t="s">
        <v>148</v>
      </c>
      <c r="D3" t="s">
        <v>7132</v>
      </c>
      <c r="E3">
        <v>104161</v>
      </c>
      <c r="F3">
        <v>204</v>
      </c>
      <c r="G3">
        <v>77631</v>
      </c>
      <c r="H3">
        <v>301</v>
      </c>
      <c r="I3">
        <v>1959</v>
      </c>
      <c r="J3">
        <v>425839</v>
      </c>
      <c r="K3">
        <v>0.46</v>
      </c>
      <c r="L3">
        <v>2528</v>
      </c>
      <c r="M3">
        <v>252788</v>
      </c>
      <c r="N3">
        <v>1</v>
      </c>
      <c r="O3">
        <v>-22.51</v>
      </c>
      <c r="P3">
        <v>68.459999999999994</v>
      </c>
      <c r="Q3">
        <v>-0.54</v>
      </c>
    </row>
    <row r="4" spans="1:17" x14ac:dyDescent="0.25">
      <c r="A4" t="s">
        <v>564</v>
      </c>
      <c r="B4" t="s">
        <v>28</v>
      </c>
      <c r="C4" t="s">
        <v>146</v>
      </c>
      <c r="D4" t="s">
        <v>7130</v>
      </c>
      <c r="E4">
        <v>156123</v>
      </c>
      <c r="F4">
        <v>220</v>
      </c>
      <c r="G4">
        <v>162199</v>
      </c>
      <c r="H4">
        <v>204</v>
      </c>
      <c r="I4">
        <v>4729</v>
      </c>
      <c r="J4">
        <v>875775</v>
      </c>
      <c r="K4">
        <v>0.54</v>
      </c>
      <c r="L4">
        <v>4313</v>
      </c>
      <c r="M4">
        <v>937587</v>
      </c>
      <c r="N4">
        <v>0.46</v>
      </c>
      <c r="O4">
        <v>9.65</v>
      </c>
      <c r="P4">
        <v>-6.59</v>
      </c>
      <c r="Q4">
        <v>0.08</v>
      </c>
    </row>
    <row r="5" spans="1:17" x14ac:dyDescent="0.25">
      <c r="A5" t="s">
        <v>564</v>
      </c>
      <c r="B5" t="s">
        <v>28</v>
      </c>
      <c r="C5" t="s">
        <v>260</v>
      </c>
      <c r="D5" t="s">
        <v>8313</v>
      </c>
      <c r="E5">
        <v>83338</v>
      </c>
      <c r="F5">
        <v>308</v>
      </c>
      <c r="G5">
        <v>110923</v>
      </c>
      <c r="H5">
        <v>364</v>
      </c>
      <c r="I5">
        <v>3010</v>
      </c>
      <c r="J5">
        <v>286637</v>
      </c>
      <c r="K5">
        <v>1.05</v>
      </c>
      <c r="L5">
        <v>6953</v>
      </c>
      <c r="M5">
        <v>476227</v>
      </c>
      <c r="N5">
        <v>1.46</v>
      </c>
      <c r="O5">
        <v>-56.71</v>
      </c>
      <c r="P5">
        <v>-39.81</v>
      </c>
      <c r="Q5">
        <v>-0.41</v>
      </c>
    </row>
    <row r="6" spans="1:17" x14ac:dyDescent="0.25">
      <c r="A6" t="s">
        <v>564</v>
      </c>
      <c r="B6" t="s">
        <v>28</v>
      </c>
      <c r="C6" t="s">
        <v>151</v>
      </c>
      <c r="D6" t="s">
        <v>7133</v>
      </c>
      <c r="E6">
        <v>72792</v>
      </c>
      <c r="F6">
        <v>353</v>
      </c>
      <c r="G6">
        <v>51152</v>
      </c>
      <c r="H6">
        <v>321</v>
      </c>
      <c r="I6">
        <v>3090</v>
      </c>
      <c r="J6">
        <v>225572</v>
      </c>
      <c r="K6">
        <v>1.37</v>
      </c>
      <c r="L6">
        <v>1368</v>
      </c>
      <c r="M6">
        <v>121023</v>
      </c>
      <c r="N6">
        <v>1.1299999999999999</v>
      </c>
      <c r="O6">
        <v>125.97</v>
      </c>
      <c r="P6">
        <v>86.39</v>
      </c>
      <c r="Q6">
        <v>0.24</v>
      </c>
    </row>
    <row r="7" spans="1:17" x14ac:dyDescent="0.25">
      <c r="A7" t="s">
        <v>564</v>
      </c>
      <c r="B7" t="s">
        <v>28</v>
      </c>
      <c r="C7" t="s">
        <v>348</v>
      </c>
      <c r="D7" t="s">
        <v>8314</v>
      </c>
      <c r="E7">
        <v>148519</v>
      </c>
      <c r="F7">
        <v>187</v>
      </c>
      <c r="G7">
        <v>40330</v>
      </c>
      <c r="H7">
        <v>379</v>
      </c>
      <c r="I7">
        <v>3124</v>
      </c>
      <c r="J7">
        <v>801081</v>
      </c>
      <c r="K7">
        <v>0.39</v>
      </c>
      <c r="L7">
        <v>1259</v>
      </c>
      <c r="M7">
        <v>79695</v>
      </c>
      <c r="N7">
        <v>1.58</v>
      </c>
      <c r="O7">
        <v>148.11000000000001</v>
      </c>
      <c r="P7">
        <v>905.18</v>
      </c>
      <c r="Q7">
        <v>-1.19</v>
      </c>
    </row>
    <row r="8" spans="1:17" x14ac:dyDescent="0.25">
      <c r="A8" t="s">
        <v>564</v>
      </c>
      <c r="B8" t="s">
        <v>28</v>
      </c>
      <c r="C8" t="s">
        <v>149</v>
      </c>
      <c r="D8" t="s">
        <v>7143</v>
      </c>
      <c r="E8">
        <v>61802</v>
      </c>
      <c r="F8">
        <v>223</v>
      </c>
      <c r="G8">
        <v>77286</v>
      </c>
      <c r="H8">
        <v>271</v>
      </c>
      <c r="I8">
        <v>929</v>
      </c>
      <c r="J8">
        <v>168916</v>
      </c>
      <c r="K8">
        <v>0.55000000000000004</v>
      </c>
      <c r="L8">
        <v>2031</v>
      </c>
      <c r="M8">
        <v>250802</v>
      </c>
      <c r="N8">
        <v>0.81</v>
      </c>
      <c r="O8">
        <v>-54.27</v>
      </c>
      <c r="P8">
        <v>-32.65</v>
      </c>
      <c r="Q8">
        <v>-0.26</v>
      </c>
    </row>
    <row r="9" spans="1:17" x14ac:dyDescent="0.25">
      <c r="A9" t="s">
        <v>564</v>
      </c>
      <c r="B9" t="s">
        <v>30</v>
      </c>
      <c r="C9" t="s">
        <v>349</v>
      </c>
      <c r="D9" t="s">
        <v>7785</v>
      </c>
      <c r="E9">
        <v>26321</v>
      </c>
      <c r="F9">
        <v>1000</v>
      </c>
      <c r="G9">
        <v>40814</v>
      </c>
      <c r="H9">
        <v>920</v>
      </c>
      <c r="I9">
        <v>3938</v>
      </c>
      <c r="J9">
        <v>37790</v>
      </c>
      <c r="K9">
        <v>10.42</v>
      </c>
      <c r="L9">
        <v>7235</v>
      </c>
      <c r="M9">
        <v>81381</v>
      </c>
      <c r="N9">
        <v>8.89</v>
      </c>
      <c r="O9">
        <v>-45.57</v>
      </c>
      <c r="P9">
        <v>-53.56</v>
      </c>
      <c r="Q9">
        <v>1.53</v>
      </c>
    </row>
    <row r="10" spans="1:17" x14ac:dyDescent="0.25">
      <c r="A10" t="s">
        <v>564</v>
      </c>
      <c r="B10" t="s">
        <v>30</v>
      </c>
      <c r="C10" t="s">
        <v>473</v>
      </c>
      <c r="D10" t="s">
        <v>8315</v>
      </c>
      <c r="E10">
        <v>35721</v>
      </c>
      <c r="F10">
        <v>1085</v>
      </c>
      <c r="G10">
        <v>45134</v>
      </c>
      <c r="H10">
        <v>817</v>
      </c>
      <c r="I10">
        <v>7815</v>
      </c>
      <c r="J10">
        <v>64425</v>
      </c>
      <c r="K10">
        <v>12.13</v>
      </c>
      <c r="L10">
        <v>6885</v>
      </c>
      <c r="M10">
        <v>97108</v>
      </c>
      <c r="N10">
        <v>7.09</v>
      </c>
      <c r="O10">
        <v>13.5</v>
      </c>
      <c r="P10">
        <v>-33.659999999999997</v>
      </c>
      <c r="Q10">
        <v>5.04</v>
      </c>
    </row>
    <row r="11" spans="1:17" x14ac:dyDescent="0.25">
      <c r="A11" t="s">
        <v>564</v>
      </c>
      <c r="B11" t="s">
        <v>30</v>
      </c>
      <c r="C11" t="s">
        <v>394</v>
      </c>
      <c r="D11" t="s">
        <v>7783</v>
      </c>
      <c r="E11">
        <v>27287</v>
      </c>
      <c r="F11">
        <v>927</v>
      </c>
      <c r="G11">
        <v>30484</v>
      </c>
      <c r="H11">
        <v>957</v>
      </c>
      <c r="I11">
        <v>3630</v>
      </c>
      <c r="J11">
        <v>40240</v>
      </c>
      <c r="K11">
        <v>9.02</v>
      </c>
      <c r="L11">
        <v>4682</v>
      </c>
      <c r="M11">
        <v>48824</v>
      </c>
      <c r="N11">
        <v>9.59</v>
      </c>
      <c r="O11">
        <v>-22.48</v>
      </c>
      <c r="P11">
        <v>-17.579999999999998</v>
      </c>
      <c r="Q11">
        <v>-0.56999999999999995</v>
      </c>
    </row>
    <row r="12" spans="1:17" x14ac:dyDescent="0.25">
      <c r="A12" t="s">
        <v>564</v>
      </c>
      <c r="B12" t="s">
        <v>30</v>
      </c>
      <c r="C12" t="s">
        <v>390</v>
      </c>
      <c r="D12" t="s">
        <v>7787</v>
      </c>
      <c r="E12">
        <v>37743</v>
      </c>
      <c r="F12">
        <v>693</v>
      </c>
      <c r="G12">
        <v>60194</v>
      </c>
      <c r="H12">
        <v>775</v>
      </c>
      <c r="I12">
        <v>3661</v>
      </c>
      <c r="J12">
        <v>70949</v>
      </c>
      <c r="K12">
        <v>5.16</v>
      </c>
      <c r="L12">
        <v>10319</v>
      </c>
      <c r="M12">
        <v>161237</v>
      </c>
      <c r="N12">
        <v>6.4</v>
      </c>
      <c r="O12">
        <v>-64.52</v>
      </c>
      <c r="P12">
        <v>-56</v>
      </c>
      <c r="Q12">
        <v>-1.24</v>
      </c>
    </row>
    <row r="13" spans="1:17" x14ac:dyDescent="0.25">
      <c r="A13" t="s">
        <v>564</v>
      </c>
      <c r="B13" t="s">
        <v>30</v>
      </c>
      <c r="C13" t="s">
        <v>260</v>
      </c>
      <c r="D13" t="s">
        <v>8316</v>
      </c>
      <c r="E13">
        <v>73417</v>
      </c>
      <c r="F13">
        <v>856</v>
      </c>
      <c r="G13">
        <v>106746</v>
      </c>
      <c r="H13">
        <v>823</v>
      </c>
      <c r="I13">
        <v>17771</v>
      </c>
      <c r="J13">
        <v>229010</v>
      </c>
      <c r="K13">
        <v>7.76</v>
      </c>
      <c r="L13">
        <v>32026</v>
      </c>
      <c r="M13">
        <v>444806</v>
      </c>
      <c r="N13">
        <v>7.2</v>
      </c>
      <c r="O13">
        <v>-44.51</v>
      </c>
      <c r="P13">
        <v>-48.51</v>
      </c>
      <c r="Q13">
        <v>0.56000000000000005</v>
      </c>
    </row>
    <row r="14" spans="1:17" x14ac:dyDescent="0.25">
      <c r="A14" t="s">
        <v>564</v>
      </c>
      <c r="B14" t="s">
        <v>30</v>
      </c>
      <c r="C14" t="s">
        <v>392</v>
      </c>
      <c r="D14" t="s">
        <v>7784</v>
      </c>
      <c r="E14">
        <v>49942</v>
      </c>
      <c r="F14">
        <v>460</v>
      </c>
      <c r="I14">
        <v>2692</v>
      </c>
      <c r="J14">
        <v>116029</v>
      </c>
      <c r="K14">
        <v>2.3199999999999998</v>
      </c>
    </row>
  </sheetData>
  <phoneticPr fontId="22"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2432"/>
  <sheetViews>
    <sheetView zoomScale="104" zoomScaleNormal="104" workbookViewId="0">
      <selection activeCell="N359" sqref="N359"/>
    </sheetView>
  </sheetViews>
  <sheetFormatPr defaultColWidth="8.81640625" defaultRowHeight="14" x14ac:dyDescent="0.25"/>
  <sheetData>
    <row r="1" spans="1:17" x14ac:dyDescent="0.25">
      <c r="A1" t="s">
        <v>482</v>
      </c>
      <c r="B1" t="s">
        <v>711</v>
      </c>
      <c r="C1" t="s">
        <v>8307</v>
      </c>
      <c r="D1" t="s">
        <v>47</v>
      </c>
      <c r="E1" t="s">
        <v>48</v>
      </c>
      <c r="F1" t="s">
        <v>49</v>
      </c>
      <c r="G1" t="s">
        <v>565</v>
      </c>
      <c r="H1" t="s">
        <v>8317</v>
      </c>
      <c r="I1" t="s">
        <v>8318</v>
      </c>
      <c r="J1" t="s">
        <v>8319</v>
      </c>
      <c r="K1" t="s">
        <v>8320</v>
      </c>
      <c r="L1" t="s">
        <v>8321</v>
      </c>
      <c r="M1" t="s">
        <v>8322</v>
      </c>
      <c r="N1" t="s">
        <v>21</v>
      </c>
      <c r="O1" t="s">
        <v>8323</v>
      </c>
      <c r="P1" t="s">
        <v>573</v>
      </c>
      <c r="Q1" t="s">
        <v>574</v>
      </c>
    </row>
    <row r="2" spans="1:17" x14ac:dyDescent="0.25">
      <c r="A2" t="s">
        <v>564</v>
      </c>
      <c r="B2" t="s">
        <v>28</v>
      </c>
      <c r="C2" t="s">
        <v>349</v>
      </c>
      <c r="D2" t="s">
        <v>76</v>
      </c>
      <c r="E2" t="s">
        <v>78</v>
      </c>
      <c r="F2" t="s">
        <v>78</v>
      </c>
      <c r="G2" t="s">
        <v>575</v>
      </c>
      <c r="H2" t="s">
        <v>8324</v>
      </c>
      <c r="I2">
        <v>0.49931594605746049</v>
      </c>
      <c r="J2">
        <v>46049</v>
      </c>
      <c r="K2">
        <v>1</v>
      </c>
      <c r="L2">
        <v>22993</v>
      </c>
      <c r="M2">
        <v>22993</v>
      </c>
      <c r="N2">
        <v>2.0299999999999999E-2</v>
      </c>
      <c r="O2">
        <v>1</v>
      </c>
    </row>
    <row r="3" spans="1:17" x14ac:dyDescent="0.25">
      <c r="A3" t="s">
        <v>564</v>
      </c>
      <c r="B3" t="s">
        <v>28</v>
      </c>
      <c r="C3" t="s">
        <v>349</v>
      </c>
      <c r="D3" t="s">
        <v>76</v>
      </c>
      <c r="E3" t="s">
        <v>80</v>
      </c>
      <c r="F3" t="s">
        <v>78</v>
      </c>
      <c r="G3" t="s">
        <v>576</v>
      </c>
      <c r="H3" t="s">
        <v>8325</v>
      </c>
      <c r="I3">
        <v>0.29040804360572442</v>
      </c>
      <c r="J3">
        <v>46049</v>
      </c>
      <c r="K3">
        <v>0.5816117948940982</v>
      </c>
      <c r="L3">
        <v>22993</v>
      </c>
      <c r="M3">
        <v>13373</v>
      </c>
      <c r="N3">
        <v>1.1900000000000001E-2</v>
      </c>
      <c r="O3">
        <v>2</v>
      </c>
      <c r="P3">
        <v>1</v>
      </c>
    </row>
    <row r="4" spans="1:17" x14ac:dyDescent="0.25">
      <c r="A4" t="s">
        <v>564</v>
      </c>
      <c r="B4" t="s">
        <v>28</v>
      </c>
      <c r="C4" t="s">
        <v>349</v>
      </c>
      <c r="D4" t="s">
        <v>76</v>
      </c>
      <c r="E4" t="s">
        <v>80</v>
      </c>
      <c r="F4" t="s">
        <v>8326</v>
      </c>
      <c r="G4" t="s">
        <v>8327</v>
      </c>
      <c r="H4" t="s">
        <v>8328</v>
      </c>
      <c r="I4">
        <v>0.28806271580273191</v>
      </c>
      <c r="J4">
        <v>46049</v>
      </c>
      <c r="K4">
        <v>0.57691471317357457</v>
      </c>
      <c r="L4">
        <v>22993</v>
      </c>
      <c r="M4">
        <v>13265</v>
      </c>
      <c r="N4">
        <v>1.17E-2</v>
      </c>
      <c r="O4">
        <v>3</v>
      </c>
    </row>
    <row r="5" spans="1:17" x14ac:dyDescent="0.25">
      <c r="A5" t="s">
        <v>564</v>
      </c>
      <c r="B5" t="s">
        <v>28</v>
      </c>
      <c r="C5" t="s">
        <v>349</v>
      </c>
      <c r="D5" t="s">
        <v>76</v>
      </c>
      <c r="E5" t="s">
        <v>82</v>
      </c>
      <c r="F5" t="s">
        <v>78</v>
      </c>
      <c r="G5" t="s">
        <v>579</v>
      </c>
      <c r="H5" t="s">
        <v>8329</v>
      </c>
      <c r="I5">
        <v>6.4453082585941068E-2</v>
      </c>
      <c r="J5">
        <v>46049</v>
      </c>
      <c r="K5">
        <v>0.12908276431957549</v>
      </c>
      <c r="L5">
        <v>22993</v>
      </c>
      <c r="M5">
        <v>2968</v>
      </c>
      <c r="N5">
        <v>2.9000000000000001E-2</v>
      </c>
      <c r="O5">
        <v>4</v>
      </c>
      <c r="P5">
        <v>2</v>
      </c>
    </row>
    <row r="6" spans="1:17" x14ac:dyDescent="0.25">
      <c r="A6" t="s">
        <v>564</v>
      </c>
      <c r="B6" t="s">
        <v>28</v>
      </c>
      <c r="C6" t="s">
        <v>349</v>
      </c>
      <c r="D6" t="s">
        <v>76</v>
      </c>
      <c r="E6" t="s">
        <v>346</v>
      </c>
      <c r="F6" t="s">
        <v>78</v>
      </c>
      <c r="G6" t="s">
        <v>584</v>
      </c>
      <c r="H6" t="s">
        <v>8330</v>
      </c>
      <c r="I6">
        <v>4.1607852504940389E-2</v>
      </c>
      <c r="J6">
        <v>46049</v>
      </c>
      <c r="K6">
        <v>8.3329709041882319E-2</v>
      </c>
      <c r="L6">
        <v>22993</v>
      </c>
      <c r="M6">
        <v>1916</v>
      </c>
      <c r="N6">
        <v>7.3000000000000001E-3</v>
      </c>
      <c r="O6">
        <v>5</v>
      </c>
      <c r="P6">
        <v>6</v>
      </c>
    </row>
    <row r="7" spans="1:17" x14ac:dyDescent="0.25">
      <c r="A7" t="s">
        <v>564</v>
      </c>
      <c r="B7" t="s">
        <v>28</v>
      </c>
      <c r="C7" t="s">
        <v>349</v>
      </c>
      <c r="D7" t="s">
        <v>76</v>
      </c>
      <c r="E7" t="s">
        <v>83</v>
      </c>
      <c r="F7" t="s">
        <v>78</v>
      </c>
      <c r="G7" t="s">
        <v>580</v>
      </c>
      <c r="H7" t="s">
        <v>8331</v>
      </c>
      <c r="I7">
        <v>3.6265716953679777E-2</v>
      </c>
      <c r="J7">
        <v>46049</v>
      </c>
      <c r="K7">
        <v>7.2630800678467361E-2</v>
      </c>
      <c r="L7">
        <v>22993</v>
      </c>
      <c r="M7">
        <v>1670</v>
      </c>
      <c r="N7">
        <v>0.15379999999999999</v>
      </c>
      <c r="O7">
        <v>6</v>
      </c>
      <c r="P7">
        <v>3</v>
      </c>
    </row>
    <row r="8" spans="1:17" x14ac:dyDescent="0.25">
      <c r="A8" t="s">
        <v>564</v>
      </c>
      <c r="B8" t="s">
        <v>28</v>
      </c>
      <c r="C8" t="s">
        <v>349</v>
      </c>
      <c r="D8" t="s">
        <v>76</v>
      </c>
      <c r="E8" t="s">
        <v>84</v>
      </c>
      <c r="F8" t="s">
        <v>78</v>
      </c>
      <c r="G8" t="s">
        <v>589</v>
      </c>
      <c r="H8" t="s">
        <v>8332</v>
      </c>
      <c r="I8">
        <v>3.5744532997459229E-2</v>
      </c>
      <c r="J8">
        <v>46049</v>
      </c>
      <c r="K8">
        <v>7.1587004740573223E-2</v>
      </c>
      <c r="L8">
        <v>22993</v>
      </c>
      <c r="M8">
        <v>1646</v>
      </c>
      <c r="N8">
        <v>6.3799999999999996E-2</v>
      </c>
      <c r="O8">
        <v>7</v>
      </c>
    </row>
    <row r="9" spans="1:17" x14ac:dyDescent="0.25">
      <c r="A9" t="s">
        <v>564</v>
      </c>
      <c r="B9" t="s">
        <v>28</v>
      </c>
      <c r="C9" t="s">
        <v>349</v>
      </c>
      <c r="D9" t="s">
        <v>76</v>
      </c>
      <c r="E9" t="s">
        <v>81</v>
      </c>
      <c r="F9" t="s">
        <v>78</v>
      </c>
      <c r="G9" t="s">
        <v>578</v>
      </c>
      <c r="H9" t="s">
        <v>8334</v>
      </c>
      <c r="I9">
        <v>3.3551217181697762E-2</v>
      </c>
      <c r="J9">
        <v>46049</v>
      </c>
      <c r="K9">
        <v>6.7194363501935375E-2</v>
      </c>
      <c r="L9">
        <v>22993</v>
      </c>
      <c r="M9">
        <v>1545</v>
      </c>
      <c r="N9">
        <v>2.7799999999999998E-2</v>
      </c>
      <c r="O9">
        <v>8</v>
      </c>
      <c r="P9">
        <v>5</v>
      </c>
    </row>
    <row r="10" spans="1:17" x14ac:dyDescent="0.25">
      <c r="A10" t="s">
        <v>564</v>
      </c>
      <c r="B10" t="s">
        <v>28</v>
      </c>
      <c r="C10" t="s">
        <v>349</v>
      </c>
      <c r="D10" t="s">
        <v>76</v>
      </c>
      <c r="E10" t="s">
        <v>77</v>
      </c>
      <c r="F10" t="s">
        <v>78</v>
      </c>
      <c r="G10" t="s">
        <v>581</v>
      </c>
      <c r="H10" t="s">
        <v>8333</v>
      </c>
      <c r="I10">
        <v>3.2074529305739542E-2</v>
      </c>
      <c r="J10">
        <v>46049</v>
      </c>
      <c r="K10">
        <v>6.4236941677901976E-2</v>
      </c>
      <c r="L10">
        <v>22993</v>
      </c>
      <c r="M10">
        <v>1477</v>
      </c>
      <c r="N10">
        <v>6.3600000000000004E-2</v>
      </c>
      <c r="O10">
        <v>9</v>
      </c>
      <c r="P10">
        <v>7</v>
      </c>
    </row>
    <row r="11" spans="1:17" x14ac:dyDescent="0.25">
      <c r="A11" t="s">
        <v>564</v>
      </c>
      <c r="B11" t="s">
        <v>28</v>
      </c>
      <c r="C11" t="s">
        <v>349</v>
      </c>
      <c r="D11" t="s">
        <v>76</v>
      </c>
      <c r="E11" t="s">
        <v>592</v>
      </c>
      <c r="F11" t="s">
        <v>78</v>
      </c>
      <c r="G11" t="s">
        <v>593</v>
      </c>
      <c r="H11" t="s">
        <v>8346</v>
      </c>
      <c r="I11">
        <v>1.795913049143304E-2</v>
      </c>
      <c r="J11">
        <v>46049</v>
      </c>
      <c r="K11">
        <v>3.5967468359935632E-2</v>
      </c>
      <c r="L11">
        <v>22993</v>
      </c>
      <c r="M11">
        <v>827</v>
      </c>
      <c r="N11">
        <v>1.8100000000000002E-2</v>
      </c>
      <c r="O11">
        <v>10</v>
      </c>
    </row>
    <row r="12" spans="1:17" x14ac:dyDescent="0.25">
      <c r="A12" t="s">
        <v>564</v>
      </c>
      <c r="B12" t="s">
        <v>28</v>
      </c>
      <c r="C12" t="s">
        <v>349</v>
      </c>
      <c r="D12" t="s">
        <v>76</v>
      </c>
      <c r="E12" t="s">
        <v>79</v>
      </c>
      <c r="F12" t="s">
        <v>78</v>
      </c>
      <c r="G12" t="s">
        <v>577</v>
      </c>
      <c r="H12" t="s">
        <v>8335</v>
      </c>
      <c r="I12">
        <v>1.793741449325718E-2</v>
      </c>
      <c r="J12">
        <v>46049</v>
      </c>
      <c r="K12">
        <v>3.5923976862523382E-2</v>
      </c>
      <c r="L12">
        <v>22993</v>
      </c>
      <c r="M12">
        <v>826</v>
      </c>
      <c r="N12">
        <v>7.4999999999999997E-2</v>
      </c>
      <c r="O12">
        <v>11</v>
      </c>
      <c r="P12">
        <v>4</v>
      </c>
    </row>
    <row r="13" spans="1:17" x14ac:dyDescent="0.25">
      <c r="A13" t="s">
        <v>564</v>
      </c>
      <c r="B13" t="s">
        <v>28</v>
      </c>
      <c r="C13" t="s">
        <v>349</v>
      </c>
      <c r="D13" t="s">
        <v>76</v>
      </c>
      <c r="E13" t="s">
        <v>81</v>
      </c>
      <c r="F13" t="s">
        <v>585</v>
      </c>
      <c r="G13" t="s">
        <v>586</v>
      </c>
      <c r="H13" t="s">
        <v>8336</v>
      </c>
      <c r="I13">
        <v>1.5917826662902559E-2</v>
      </c>
      <c r="J13">
        <v>46049</v>
      </c>
      <c r="K13">
        <v>3.1879267603183582E-2</v>
      </c>
      <c r="L13">
        <v>22993</v>
      </c>
      <c r="M13">
        <v>733</v>
      </c>
      <c r="N13">
        <v>2.8E-3</v>
      </c>
      <c r="O13">
        <v>12</v>
      </c>
    </row>
    <row r="14" spans="1:17" x14ac:dyDescent="0.25">
      <c r="A14" t="s">
        <v>564</v>
      </c>
      <c r="B14" t="s">
        <v>28</v>
      </c>
      <c r="C14" t="s">
        <v>349</v>
      </c>
      <c r="D14" t="s">
        <v>76</v>
      </c>
      <c r="E14" t="s">
        <v>81</v>
      </c>
      <c r="F14" t="s">
        <v>590</v>
      </c>
      <c r="G14" t="s">
        <v>591</v>
      </c>
      <c r="H14" t="s">
        <v>8337</v>
      </c>
      <c r="I14">
        <v>1.337705487632739E-2</v>
      </c>
      <c r="J14">
        <v>46049</v>
      </c>
      <c r="K14">
        <v>2.6790762405949641E-2</v>
      </c>
      <c r="L14">
        <v>22993</v>
      </c>
      <c r="M14">
        <v>616</v>
      </c>
      <c r="N14">
        <v>5.1900000000000002E-2</v>
      </c>
      <c r="O14">
        <v>13</v>
      </c>
    </row>
    <row r="15" spans="1:17" x14ac:dyDescent="0.25">
      <c r="A15" t="s">
        <v>564</v>
      </c>
      <c r="B15" t="s">
        <v>28</v>
      </c>
      <c r="C15" t="s">
        <v>349</v>
      </c>
      <c r="D15" t="s">
        <v>76</v>
      </c>
      <c r="E15" t="s">
        <v>600</v>
      </c>
      <c r="F15" t="s">
        <v>78</v>
      </c>
      <c r="G15" t="s">
        <v>601</v>
      </c>
      <c r="H15" t="s">
        <v>8338</v>
      </c>
      <c r="I15">
        <v>1.133575104779691E-2</v>
      </c>
      <c r="J15">
        <v>46049</v>
      </c>
      <c r="K15">
        <v>2.2702561649197581E-2</v>
      </c>
      <c r="L15">
        <v>22993</v>
      </c>
      <c r="M15">
        <v>522</v>
      </c>
      <c r="N15">
        <v>4.02E-2</v>
      </c>
      <c r="O15">
        <v>14</v>
      </c>
    </row>
    <row r="16" spans="1:17" x14ac:dyDescent="0.25">
      <c r="A16" t="s">
        <v>564</v>
      </c>
      <c r="B16" t="s">
        <v>28</v>
      </c>
      <c r="C16" t="s">
        <v>349</v>
      </c>
      <c r="D16" t="s">
        <v>76</v>
      </c>
      <c r="E16" t="s">
        <v>606</v>
      </c>
      <c r="F16" t="s">
        <v>78</v>
      </c>
      <c r="G16" t="s">
        <v>607</v>
      </c>
      <c r="H16" t="s">
        <v>8349</v>
      </c>
      <c r="I16">
        <v>9.5333231992008518E-3</v>
      </c>
      <c r="J16">
        <v>46049</v>
      </c>
      <c r="K16">
        <v>1.9092767363980339E-2</v>
      </c>
      <c r="L16">
        <v>22993</v>
      </c>
      <c r="M16">
        <v>439</v>
      </c>
      <c r="N16">
        <v>2.3E-3</v>
      </c>
      <c r="O16">
        <v>15</v>
      </c>
    </row>
    <row r="17" spans="1:15" x14ac:dyDescent="0.25">
      <c r="A17" t="s">
        <v>564</v>
      </c>
      <c r="B17" t="s">
        <v>28</v>
      </c>
      <c r="C17" t="s">
        <v>349</v>
      </c>
      <c r="D17" t="s">
        <v>76</v>
      </c>
      <c r="E17" t="s">
        <v>592</v>
      </c>
      <c r="F17" t="s">
        <v>624</v>
      </c>
      <c r="G17" t="s">
        <v>625</v>
      </c>
      <c r="H17" t="s">
        <v>8357</v>
      </c>
      <c r="I17">
        <v>9.3161632174422904E-3</v>
      </c>
      <c r="J17">
        <v>46049</v>
      </c>
      <c r="K17">
        <v>1.8657852389857781E-2</v>
      </c>
      <c r="L17">
        <v>22993</v>
      </c>
      <c r="M17">
        <v>429</v>
      </c>
      <c r="N17">
        <v>1.8599999999999998E-2</v>
      </c>
      <c r="O17">
        <v>16</v>
      </c>
    </row>
    <row r="18" spans="1:15" x14ac:dyDescent="0.25">
      <c r="A18" t="s">
        <v>564</v>
      </c>
      <c r="B18" t="s">
        <v>28</v>
      </c>
      <c r="C18" t="s">
        <v>349</v>
      </c>
      <c r="D18" t="s">
        <v>76</v>
      </c>
      <c r="E18" t="s">
        <v>608</v>
      </c>
      <c r="F18" t="s">
        <v>78</v>
      </c>
      <c r="G18" t="s">
        <v>609</v>
      </c>
      <c r="H18" t="s">
        <v>8351</v>
      </c>
      <c r="I18">
        <v>8.3172273013529061E-3</v>
      </c>
      <c r="J18">
        <v>46049</v>
      </c>
      <c r="K18">
        <v>1.6657243508894009E-2</v>
      </c>
      <c r="L18">
        <v>22993</v>
      </c>
      <c r="M18">
        <v>383</v>
      </c>
      <c r="N18">
        <v>7.8100000000000003E-2</v>
      </c>
      <c r="O18">
        <v>17</v>
      </c>
    </row>
    <row r="19" spans="1:15" x14ac:dyDescent="0.25">
      <c r="A19" t="s">
        <v>564</v>
      </c>
      <c r="B19" t="s">
        <v>28</v>
      </c>
      <c r="C19" t="s">
        <v>349</v>
      </c>
      <c r="D19" t="s">
        <v>76</v>
      </c>
      <c r="E19" t="s">
        <v>610</v>
      </c>
      <c r="F19" t="s">
        <v>78</v>
      </c>
      <c r="G19" t="s">
        <v>611</v>
      </c>
      <c r="H19" t="s">
        <v>8340</v>
      </c>
      <c r="I19">
        <v>7.5788833633737979E-3</v>
      </c>
      <c r="J19">
        <v>46049</v>
      </c>
      <c r="K19">
        <v>1.517853259687731E-2</v>
      </c>
      <c r="L19">
        <v>22993</v>
      </c>
      <c r="M19">
        <v>349</v>
      </c>
      <c r="N19">
        <v>0.1371</v>
      </c>
      <c r="O19">
        <v>18</v>
      </c>
    </row>
    <row r="20" spans="1:15" x14ac:dyDescent="0.25">
      <c r="A20" t="s">
        <v>564</v>
      </c>
      <c r="B20" t="s">
        <v>28</v>
      </c>
      <c r="C20" t="s">
        <v>349</v>
      </c>
      <c r="D20" t="s">
        <v>76</v>
      </c>
      <c r="E20" t="s">
        <v>598</v>
      </c>
      <c r="F20" t="s">
        <v>78</v>
      </c>
      <c r="G20" t="s">
        <v>599</v>
      </c>
      <c r="H20" t="s">
        <v>8344</v>
      </c>
      <c r="I20">
        <v>7.3617233816152356E-3</v>
      </c>
      <c r="J20">
        <v>46049</v>
      </c>
      <c r="K20">
        <v>1.4743617622754749E-2</v>
      </c>
      <c r="L20">
        <v>22993</v>
      </c>
      <c r="M20">
        <v>339</v>
      </c>
      <c r="N20">
        <v>1.17E-2</v>
      </c>
      <c r="O20">
        <v>19</v>
      </c>
    </row>
    <row r="21" spans="1:15" x14ac:dyDescent="0.25">
      <c r="A21" t="s">
        <v>564</v>
      </c>
      <c r="B21" t="s">
        <v>28</v>
      </c>
      <c r="C21" t="s">
        <v>349</v>
      </c>
      <c r="D21" t="s">
        <v>76</v>
      </c>
      <c r="E21" t="s">
        <v>600</v>
      </c>
      <c r="F21" t="s">
        <v>614</v>
      </c>
      <c r="G21" t="s">
        <v>615</v>
      </c>
      <c r="H21" t="s">
        <v>8341</v>
      </c>
      <c r="I21">
        <v>7.1879953962083864E-3</v>
      </c>
      <c r="J21">
        <v>46049</v>
      </c>
      <c r="K21">
        <v>1.4395685643456699E-2</v>
      </c>
      <c r="L21">
        <v>22993</v>
      </c>
      <c r="M21">
        <v>331</v>
      </c>
      <c r="N21">
        <v>2.7099999999999999E-2</v>
      </c>
      <c r="O21">
        <v>20</v>
      </c>
    </row>
    <row r="22" spans="1:15" x14ac:dyDescent="0.25">
      <c r="A22" t="s">
        <v>564</v>
      </c>
      <c r="B22" t="s">
        <v>28</v>
      </c>
      <c r="C22" t="s">
        <v>349</v>
      </c>
      <c r="D22" t="s">
        <v>76</v>
      </c>
      <c r="E22" t="s">
        <v>596</v>
      </c>
      <c r="F22" t="s">
        <v>78</v>
      </c>
      <c r="G22" t="s">
        <v>597</v>
      </c>
      <c r="H22" t="s">
        <v>8339</v>
      </c>
      <c r="I22">
        <v>6.9925514126256824E-3</v>
      </c>
      <c r="J22">
        <v>46049</v>
      </c>
      <c r="K22">
        <v>1.40042621667464E-2</v>
      </c>
      <c r="L22">
        <v>22993</v>
      </c>
      <c r="M22">
        <v>322</v>
      </c>
      <c r="N22">
        <v>2.4799999999999999E-2</v>
      </c>
      <c r="O22">
        <v>21</v>
      </c>
    </row>
    <row r="23" spans="1:15" x14ac:dyDescent="0.25">
      <c r="A23" t="s">
        <v>564</v>
      </c>
      <c r="B23" t="s">
        <v>28</v>
      </c>
      <c r="C23" t="s">
        <v>349</v>
      </c>
      <c r="D23" t="s">
        <v>76</v>
      </c>
      <c r="E23" t="s">
        <v>634</v>
      </c>
      <c r="F23" t="s">
        <v>78</v>
      </c>
      <c r="G23" t="s">
        <v>635</v>
      </c>
      <c r="H23" t="s">
        <v>8343</v>
      </c>
      <c r="I23">
        <v>6.4713674564051337E-3</v>
      </c>
      <c r="J23">
        <v>46049</v>
      </c>
      <c r="K23">
        <v>1.296046622885226E-2</v>
      </c>
      <c r="L23">
        <v>22993</v>
      </c>
      <c r="M23">
        <v>298</v>
      </c>
      <c r="N23">
        <v>3.3999999999999998E-3</v>
      </c>
      <c r="O23">
        <v>22</v>
      </c>
    </row>
    <row r="24" spans="1:15" x14ac:dyDescent="0.25">
      <c r="A24" t="s">
        <v>564</v>
      </c>
      <c r="B24" t="s">
        <v>28</v>
      </c>
      <c r="C24" t="s">
        <v>349</v>
      </c>
      <c r="D24" t="s">
        <v>76</v>
      </c>
      <c r="E24" t="s">
        <v>634</v>
      </c>
      <c r="F24" t="s">
        <v>658</v>
      </c>
      <c r="G24" t="s">
        <v>659</v>
      </c>
      <c r="H24" t="s">
        <v>8348</v>
      </c>
      <c r="I24">
        <v>5.7764555147777367E-3</v>
      </c>
      <c r="J24">
        <v>46049</v>
      </c>
      <c r="K24">
        <v>1.156873831166007E-2</v>
      </c>
      <c r="L24">
        <v>22993</v>
      </c>
      <c r="M24">
        <v>266</v>
      </c>
      <c r="O24">
        <v>23</v>
      </c>
    </row>
    <row r="25" spans="1:15" x14ac:dyDescent="0.25">
      <c r="A25" t="s">
        <v>564</v>
      </c>
      <c r="B25" t="s">
        <v>28</v>
      </c>
      <c r="C25" t="s">
        <v>349</v>
      </c>
      <c r="D25" t="s">
        <v>76</v>
      </c>
      <c r="E25" t="s">
        <v>602</v>
      </c>
      <c r="F25" t="s">
        <v>78</v>
      </c>
      <c r="G25" t="s">
        <v>603</v>
      </c>
      <c r="H25" t="s">
        <v>8342</v>
      </c>
      <c r="I25">
        <v>5.6244435275467439E-3</v>
      </c>
      <c r="J25">
        <v>46049</v>
      </c>
      <c r="K25">
        <v>1.126429782977428E-2</v>
      </c>
      <c r="L25">
        <v>22993</v>
      </c>
      <c r="M25">
        <v>259</v>
      </c>
      <c r="N25">
        <v>2.69E-2</v>
      </c>
      <c r="O25">
        <v>24</v>
      </c>
    </row>
    <row r="26" spans="1:15" x14ac:dyDescent="0.25">
      <c r="A26" t="s">
        <v>564</v>
      </c>
      <c r="B26" t="s">
        <v>28</v>
      </c>
      <c r="C26" t="s">
        <v>349</v>
      </c>
      <c r="D26" t="s">
        <v>76</v>
      </c>
      <c r="E26" t="s">
        <v>592</v>
      </c>
      <c r="F26" t="s">
        <v>803</v>
      </c>
      <c r="G26" t="s">
        <v>804</v>
      </c>
      <c r="H26" t="s">
        <v>8365</v>
      </c>
      <c r="I26">
        <v>5.4941475384916068E-3</v>
      </c>
      <c r="J26">
        <v>46049</v>
      </c>
      <c r="K26">
        <v>1.100334884530074E-2</v>
      </c>
      <c r="L26">
        <v>22993</v>
      </c>
      <c r="M26">
        <v>253</v>
      </c>
      <c r="N26">
        <v>1.5699999999999999E-2</v>
      </c>
      <c r="O26">
        <v>25</v>
      </c>
    </row>
    <row r="27" spans="1:15" x14ac:dyDescent="0.25">
      <c r="A27" t="s">
        <v>564</v>
      </c>
      <c r="B27" t="s">
        <v>28</v>
      </c>
      <c r="C27" t="s">
        <v>349</v>
      </c>
      <c r="D27" t="s">
        <v>76</v>
      </c>
      <c r="E27" t="s">
        <v>618</v>
      </c>
      <c r="F27" t="s">
        <v>78</v>
      </c>
      <c r="G27" t="s">
        <v>619</v>
      </c>
      <c r="H27" t="s">
        <v>8350</v>
      </c>
      <c r="I27">
        <v>5.3204195530847584E-3</v>
      </c>
      <c r="J27">
        <v>46049</v>
      </c>
      <c r="K27">
        <v>1.0655416866002699E-2</v>
      </c>
      <c r="L27">
        <v>22993</v>
      </c>
      <c r="M27">
        <v>245</v>
      </c>
      <c r="N27">
        <v>1.6199999999999999E-2</v>
      </c>
      <c r="O27">
        <v>26</v>
      </c>
    </row>
    <row r="28" spans="1:15" x14ac:dyDescent="0.25">
      <c r="A28" t="s">
        <v>564</v>
      </c>
      <c r="B28" t="s">
        <v>28</v>
      </c>
      <c r="C28" t="s">
        <v>349</v>
      </c>
      <c r="D28" t="s">
        <v>76</v>
      </c>
      <c r="E28" t="s">
        <v>602</v>
      </c>
      <c r="F28" t="s">
        <v>616</v>
      </c>
      <c r="G28" t="s">
        <v>617</v>
      </c>
      <c r="H28" t="s">
        <v>8352</v>
      </c>
      <c r="I28">
        <v>4.364915633347087E-3</v>
      </c>
      <c r="J28">
        <v>46049</v>
      </c>
      <c r="K28">
        <v>8.7417909798634362E-3</v>
      </c>
      <c r="L28">
        <v>22993</v>
      </c>
      <c r="M28">
        <v>201</v>
      </c>
      <c r="N28">
        <v>3.4700000000000002E-2</v>
      </c>
      <c r="O28">
        <v>27</v>
      </c>
    </row>
    <row r="29" spans="1:15" x14ac:dyDescent="0.25">
      <c r="A29" t="s">
        <v>564</v>
      </c>
      <c r="B29" t="s">
        <v>28</v>
      </c>
      <c r="C29" t="s">
        <v>349</v>
      </c>
      <c r="D29" t="s">
        <v>76</v>
      </c>
      <c r="E29" t="s">
        <v>600</v>
      </c>
      <c r="F29" t="s">
        <v>612</v>
      </c>
      <c r="G29" t="s">
        <v>613</v>
      </c>
      <c r="H29" t="s">
        <v>8345</v>
      </c>
      <c r="I29">
        <v>4.3214836369953741E-3</v>
      </c>
      <c r="J29">
        <v>46049</v>
      </c>
      <c r="K29">
        <v>8.6548079850389242E-3</v>
      </c>
      <c r="L29">
        <v>22993</v>
      </c>
      <c r="M29">
        <v>199</v>
      </c>
      <c r="N29">
        <v>0.06</v>
      </c>
      <c r="O29">
        <v>28</v>
      </c>
    </row>
    <row r="30" spans="1:15" x14ac:dyDescent="0.25">
      <c r="A30" t="s">
        <v>564</v>
      </c>
      <c r="B30" t="s">
        <v>28</v>
      </c>
      <c r="C30" t="s">
        <v>349</v>
      </c>
      <c r="D30" t="s">
        <v>76</v>
      </c>
      <c r="E30" t="s">
        <v>81</v>
      </c>
      <c r="F30" t="s">
        <v>582</v>
      </c>
      <c r="G30" t="s">
        <v>583</v>
      </c>
      <c r="H30" t="s">
        <v>8347</v>
      </c>
      <c r="I30">
        <v>4.2997676388195176E-3</v>
      </c>
      <c r="J30">
        <v>46049</v>
      </c>
      <c r="K30">
        <v>8.611316487626669E-3</v>
      </c>
      <c r="L30">
        <v>22993</v>
      </c>
      <c r="M30">
        <v>198</v>
      </c>
      <c r="N30">
        <v>3.5200000000000002E-2</v>
      </c>
      <c r="O30">
        <v>29</v>
      </c>
    </row>
    <row r="31" spans="1:15" x14ac:dyDescent="0.25">
      <c r="A31" t="s">
        <v>564</v>
      </c>
      <c r="B31" t="s">
        <v>28</v>
      </c>
      <c r="C31" t="s">
        <v>349</v>
      </c>
      <c r="D31" t="s">
        <v>76</v>
      </c>
      <c r="E31" t="s">
        <v>80</v>
      </c>
      <c r="F31" t="s">
        <v>8354</v>
      </c>
      <c r="G31" t="s">
        <v>8355</v>
      </c>
      <c r="H31" t="s">
        <v>8356</v>
      </c>
      <c r="I31">
        <v>4.2563356424678064E-3</v>
      </c>
      <c r="J31">
        <v>46049</v>
      </c>
      <c r="K31">
        <v>8.524333492802157E-3</v>
      </c>
      <c r="L31">
        <v>22993</v>
      </c>
      <c r="M31">
        <v>196</v>
      </c>
      <c r="N31">
        <v>1.52E-2</v>
      </c>
      <c r="O31">
        <v>30</v>
      </c>
    </row>
    <row r="32" spans="1:15" x14ac:dyDescent="0.25">
      <c r="A32" t="s">
        <v>564</v>
      </c>
      <c r="B32" t="s">
        <v>28</v>
      </c>
      <c r="C32" t="s">
        <v>349</v>
      </c>
      <c r="D32" t="s">
        <v>76</v>
      </c>
      <c r="E32" t="s">
        <v>592</v>
      </c>
      <c r="F32" t="s">
        <v>811</v>
      </c>
      <c r="G32" t="s">
        <v>812</v>
      </c>
      <c r="H32" t="s">
        <v>8364</v>
      </c>
      <c r="I32">
        <v>3.583139699016265E-3</v>
      </c>
      <c r="J32">
        <v>46049</v>
      </c>
      <c r="K32">
        <v>7.1760970730222239E-3</v>
      </c>
      <c r="L32">
        <v>22993</v>
      </c>
      <c r="M32">
        <v>165</v>
      </c>
      <c r="N32">
        <v>1.8200000000000001E-2</v>
      </c>
      <c r="O32">
        <v>31</v>
      </c>
    </row>
    <row r="33" spans="1:15" x14ac:dyDescent="0.25">
      <c r="A33" t="s">
        <v>564</v>
      </c>
      <c r="B33" t="s">
        <v>28</v>
      </c>
      <c r="C33" t="s">
        <v>349</v>
      </c>
      <c r="D33" t="s">
        <v>76</v>
      </c>
      <c r="E33" t="s">
        <v>626</v>
      </c>
      <c r="F33" t="s">
        <v>78</v>
      </c>
      <c r="G33" t="s">
        <v>627</v>
      </c>
      <c r="H33" t="s">
        <v>8358</v>
      </c>
      <c r="I33">
        <v>3.1922517318508539E-3</v>
      </c>
      <c r="J33">
        <v>46049</v>
      </c>
      <c r="K33">
        <v>6.3932501196016182E-3</v>
      </c>
      <c r="L33">
        <v>22993</v>
      </c>
      <c r="M33">
        <v>147</v>
      </c>
      <c r="N33">
        <v>1.35E-2</v>
      </c>
      <c r="O33">
        <v>32</v>
      </c>
    </row>
    <row r="34" spans="1:15" x14ac:dyDescent="0.25">
      <c r="A34" t="s">
        <v>564</v>
      </c>
      <c r="B34" t="s">
        <v>28</v>
      </c>
      <c r="C34" t="s">
        <v>349</v>
      </c>
      <c r="D34" t="s">
        <v>76</v>
      </c>
      <c r="E34" t="s">
        <v>642</v>
      </c>
      <c r="F34" t="s">
        <v>78</v>
      </c>
      <c r="G34" t="s">
        <v>643</v>
      </c>
      <c r="H34" t="s">
        <v>8359</v>
      </c>
      <c r="I34">
        <v>3.061955742795718E-3</v>
      </c>
      <c r="J34">
        <v>46049</v>
      </c>
      <c r="K34">
        <v>6.1323011351280821E-3</v>
      </c>
      <c r="L34">
        <v>22993</v>
      </c>
      <c r="M34">
        <v>141</v>
      </c>
      <c r="O34">
        <v>33</v>
      </c>
    </row>
    <row r="35" spans="1:15" x14ac:dyDescent="0.25">
      <c r="A35" t="s">
        <v>564</v>
      </c>
      <c r="B35" t="s">
        <v>28</v>
      </c>
      <c r="C35" t="s">
        <v>349</v>
      </c>
      <c r="D35" t="s">
        <v>76</v>
      </c>
      <c r="E35" t="s">
        <v>620</v>
      </c>
      <c r="F35" t="s">
        <v>78</v>
      </c>
      <c r="G35" t="s">
        <v>621</v>
      </c>
      <c r="H35" t="s">
        <v>8353</v>
      </c>
      <c r="I35">
        <v>2.9316597537405809E-3</v>
      </c>
      <c r="J35">
        <v>46049</v>
      </c>
      <c r="K35">
        <v>5.8713521506545468E-3</v>
      </c>
      <c r="L35">
        <v>22993</v>
      </c>
      <c r="M35">
        <v>135</v>
      </c>
      <c r="N35">
        <v>5.8799999999999998E-2</v>
      </c>
      <c r="O35">
        <v>34</v>
      </c>
    </row>
    <row r="36" spans="1:15" x14ac:dyDescent="0.25">
      <c r="A36" t="s">
        <v>564</v>
      </c>
      <c r="B36" t="s">
        <v>28</v>
      </c>
      <c r="C36" t="s">
        <v>349</v>
      </c>
      <c r="D36" t="s">
        <v>76</v>
      </c>
      <c r="E36" t="s">
        <v>594</v>
      </c>
      <c r="F36" t="s">
        <v>78</v>
      </c>
      <c r="G36" t="s">
        <v>595</v>
      </c>
      <c r="H36" t="s">
        <v>8360</v>
      </c>
      <c r="I36">
        <v>2.4756237920476008E-3</v>
      </c>
      <c r="J36">
        <v>46049</v>
      </c>
      <c r="K36">
        <v>4.958030704997173E-3</v>
      </c>
      <c r="L36">
        <v>22993</v>
      </c>
      <c r="M36">
        <v>114</v>
      </c>
      <c r="N36">
        <v>4.3499999999999997E-2</v>
      </c>
      <c r="O36">
        <v>35</v>
      </c>
    </row>
    <row r="37" spans="1:15" x14ac:dyDescent="0.25">
      <c r="A37" t="s">
        <v>564</v>
      </c>
      <c r="B37" t="s">
        <v>28</v>
      </c>
      <c r="C37" t="s">
        <v>349</v>
      </c>
      <c r="D37" t="s">
        <v>76</v>
      </c>
      <c r="E37" t="s">
        <v>8368</v>
      </c>
      <c r="F37" t="s">
        <v>78</v>
      </c>
      <c r="G37" t="s">
        <v>8369</v>
      </c>
      <c r="H37" t="s">
        <v>8370</v>
      </c>
      <c r="I37">
        <v>1.476687875958218E-3</v>
      </c>
      <c r="J37">
        <v>46049</v>
      </c>
      <c r="K37">
        <v>2.957421824033401E-3</v>
      </c>
      <c r="L37">
        <v>22993</v>
      </c>
      <c r="M37">
        <v>68</v>
      </c>
      <c r="N37">
        <v>2.9000000000000001E-2</v>
      </c>
      <c r="O37">
        <v>36</v>
      </c>
    </row>
    <row r="38" spans="1:15" x14ac:dyDescent="0.25">
      <c r="A38" t="s">
        <v>564</v>
      </c>
      <c r="B38" t="s">
        <v>28</v>
      </c>
      <c r="C38" t="s">
        <v>349</v>
      </c>
      <c r="D38" t="s">
        <v>76</v>
      </c>
      <c r="E38" t="s">
        <v>80</v>
      </c>
      <c r="F38" t="s">
        <v>8371</v>
      </c>
      <c r="G38" t="s">
        <v>8372</v>
      </c>
      <c r="H38" t="s">
        <v>8373</v>
      </c>
      <c r="I38">
        <v>1.194379899672089E-3</v>
      </c>
      <c r="J38">
        <v>46049</v>
      </c>
      <c r="K38">
        <v>2.3920323576740749E-3</v>
      </c>
      <c r="L38">
        <v>22993</v>
      </c>
      <c r="M38">
        <v>55</v>
      </c>
      <c r="N38">
        <v>5.3600000000000002E-2</v>
      </c>
      <c r="O38">
        <v>37</v>
      </c>
    </row>
    <row r="39" spans="1:15" x14ac:dyDescent="0.25">
      <c r="A39" t="s">
        <v>564</v>
      </c>
      <c r="B39" t="s">
        <v>28</v>
      </c>
      <c r="C39" t="s">
        <v>349</v>
      </c>
      <c r="D39" t="s">
        <v>76</v>
      </c>
      <c r="E39" t="s">
        <v>81</v>
      </c>
      <c r="F39" t="s">
        <v>622</v>
      </c>
      <c r="G39" t="s">
        <v>623</v>
      </c>
      <c r="H39" t="s">
        <v>8362</v>
      </c>
      <c r="I39">
        <v>1.150947903320376E-3</v>
      </c>
      <c r="J39">
        <v>46049</v>
      </c>
      <c r="K39">
        <v>2.3050493628495629E-3</v>
      </c>
      <c r="L39">
        <v>22993</v>
      </c>
      <c r="M39">
        <v>53</v>
      </c>
      <c r="N39">
        <v>3.6999999999999998E-2</v>
      </c>
      <c r="O39">
        <v>38</v>
      </c>
    </row>
    <row r="40" spans="1:15" x14ac:dyDescent="0.25">
      <c r="A40" t="s">
        <v>564</v>
      </c>
      <c r="B40" t="s">
        <v>28</v>
      </c>
      <c r="C40" t="s">
        <v>349</v>
      </c>
      <c r="D40" t="s">
        <v>76</v>
      </c>
      <c r="E40" t="s">
        <v>602</v>
      </c>
      <c r="F40" t="s">
        <v>628</v>
      </c>
      <c r="G40" t="s">
        <v>629</v>
      </c>
      <c r="H40" t="s">
        <v>8375</v>
      </c>
      <c r="I40">
        <v>8.4692392885839002E-4</v>
      </c>
      <c r="J40">
        <v>46049</v>
      </c>
      <c r="K40">
        <v>1.6961683990779799E-3</v>
      </c>
      <c r="L40">
        <v>22993</v>
      </c>
      <c r="M40">
        <v>39</v>
      </c>
      <c r="N40">
        <v>0.05</v>
      </c>
      <c r="O40">
        <v>39</v>
      </c>
    </row>
    <row r="41" spans="1:15" x14ac:dyDescent="0.25">
      <c r="A41" t="s">
        <v>564</v>
      </c>
      <c r="B41" t="s">
        <v>28</v>
      </c>
      <c r="C41" t="s">
        <v>349</v>
      </c>
      <c r="D41" t="s">
        <v>76</v>
      </c>
      <c r="E41" t="s">
        <v>634</v>
      </c>
      <c r="F41" t="s">
        <v>638</v>
      </c>
      <c r="G41" t="s">
        <v>639</v>
      </c>
      <c r="H41" t="s">
        <v>8376</v>
      </c>
      <c r="I41">
        <v>7.6005993615496539E-4</v>
      </c>
      <c r="J41">
        <v>46049</v>
      </c>
      <c r="K41">
        <v>1.5222024094289569E-3</v>
      </c>
      <c r="L41">
        <v>22993</v>
      </c>
      <c r="M41">
        <v>35</v>
      </c>
      <c r="N41">
        <v>2.7799999999999998E-2</v>
      </c>
      <c r="O41">
        <v>40</v>
      </c>
    </row>
    <row r="42" spans="1:15" x14ac:dyDescent="0.25">
      <c r="A42" t="s">
        <v>564</v>
      </c>
      <c r="B42" t="s">
        <v>28</v>
      </c>
      <c r="C42" t="s">
        <v>349</v>
      </c>
      <c r="D42" t="s">
        <v>76</v>
      </c>
      <c r="E42" t="s">
        <v>602</v>
      </c>
      <c r="F42" t="s">
        <v>640</v>
      </c>
      <c r="G42" t="s">
        <v>641</v>
      </c>
      <c r="H42" t="s">
        <v>8363</v>
      </c>
      <c r="I42">
        <v>6.7319594345154076E-4</v>
      </c>
      <c r="J42">
        <v>46049</v>
      </c>
      <c r="K42">
        <v>1.3482364197799331E-3</v>
      </c>
      <c r="L42">
        <v>22993</v>
      </c>
      <c r="M42">
        <v>31</v>
      </c>
      <c r="O42">
        <v>41</v>
      </c>
    </row>
    <row r="43" spans="1:15" x14ac:dyDescent="0.25">
      <c r="A43" t="s">
        <v>564</v>
      </c>
      <c r="B43" t="s">
        <v>28</v>
      </c>
      <c r="C43" t="s">
        <v>349</v>
      </c>
      <c r="D43" t="s">
        <v>76</v>
      </c>
      <c r="E43" t="s">
        <v>602</v>
      </c>
      <c r="F43" t="s">
        <v>648</v>
      </c>
      <c r="G43" t="s">
        <v>649</v>
      </c>
      <c r="H43" t="s">
        <v>8377</v>
      </c>
      <c r="I43">
        <v>5.6461595257225998E-4</v>
      </c>
      <c r="J43">
        <v>46049</v>
      </c>
      <c r="K43">
        <v>1.130778932718653E-3</v>
      </c>
      <c r="L43">
        <v>22993</v>
      </c>
      <c r="M43">
        <v>26</v>
      </c>
      <c r="O43">
        <v>42</v>
      </c>
    </row>
    <row r="44" spans="1:15" x14ac:dyDescent="0.25">
      <c r="A44" t="s">
        <v>564</v>
      </c>
      <c r="B44" t="s">
        <v>28</v>
      </c>
      <c r="C44" t="s">
        <v>349</v>
      </c>
      <c r="D44" t="s">
        <v>76</v>
      </c>
      <c r="E44" t="s">
        <v>644</v>
      </c>
      <c r="F44" t="s">
        <v>78</v>
      </c>
      <c r="G44" t="s">
        <v>645</v>
      </c>
      <c r="H44" t="s">
        <v>8366</v>
      </c>
      <c r="I44">
        <v>3.9088796716541077E-4</v>
      </c>
      <c r="J44">
        <v>46049</v>
      </c>
      <c r="K44">
        <v>7.8284695342060626E-4</v>
      </c>
      <c r="L44">
        <v>22993</v>
      </c>
      <c r="M44">
        <v>18</v>
      </c>
      <c r="N44">
        <v>0.1111</v>
      </c>
      <c r="O44">
        <v>43</v>
      </c>
    </row>
    <row r="45" spans="1:15" x14ac:dyDescent="0.25">
      <c r="A45" t="s">
        <v>564</v>
      </c>
      <c r="B45" t="s">
        <v>28</v>
      </c>
      <c r="C45" t="s">
        <v>349</v>
      </c>
      <c r="D45" t="s">
        <v>76</v>
      </c>
      <c r="E45" t="s">
        <v>630</v>
      </c>
      <c r="F45" t="s">
        <v>78</v>
      </c>
      <c r="G45" t="s">
        <v>631</v>
      </c>
      <c r="H45" t="s">
        <v>8367</v>
      </c>
      <c r="I45">
        <v>3.6917196898955462E-4</v>
      </c>
      <c r="J45">
        <v>46049</v>
      </c>
      <c r="K45">
        <v>7.3935545600835035E-4</v>
      </c>
      <c r="L45">
        <v>22993</v>
      </c>
      <c r="M45">
        <v>17</v>
      </c>
      <c r="O45">
        <v>44</v>
      </c>
    </row>
    <row r="46" spans="1:15" x14ac:dyDescent="0.25">
      <c r="A46" t="s">
        <v>564</v>
      </c>
      <c r="B46" t="s">
        <v>28</v>
      </c>
      <c r="C46" t="s">
        <v>349</v>
      </c>
      <c r="D46" t="s">
        <v>76</v>
      </c>
      <c r="E46" t="s">
        <v>632</v>
      </c>
      <c r="F46" t="s">
        <v>78</v>
      </c>
      <c r="G46" t="s">
        <v>633</v>
      </c>
      <c r="H46" t="s">
        <v>8361</v>
      </c>
      <c r="I46">
        <v>3.0402397446198609E-4</v>
      </c>
      <c r="J46">
        <v>46049</v>
      </c>
      <c r="K46">
        <v>6.0888096377158263E-4</v>
      </c>
      <c r="L46">
        <v>22993</v>
      </c>
      <c r="M46">
        <v>14</v>
      </c>
      <c r="O46">
        <v>45</v>
      </c>
    </row>
    <row r="47" spans="1:15" x14ac:dyDescent="0.25">
      <c r="A47" t="s">
        <v>564</v>
      </c>
      <c r="B47" t="s">
        <v>28</v>
      </c>
      <c r="C47" t="s">
        <v>349</v>
      </c>
      <c r="D47" t="s">
        <v>76</v>
      </c>
      <c r="E47" t="s">
        <v>654</v>
      </c>
      <c r="F47" t="s">
        <v>78</v>
      </c>
      <c r="G47" t="s">
        <v>655</v>
      </c>
      <c r="H47" t="s">
        <v>8382</v>
      </c>
      <c r="I47">
        <v>2.388759799344177E-4</v>
      </c>
      <c r="J47">
        <v>46049</v>
      </c>
      <c r="K47">
        <v>4.7840647153481501E-4</v>
      </c>
      <c r="L47">
        <v>22993</v>
      </c>
      <c r="M47">
        <v>11</v>
      </c>
      <c r="O47">
        <v>46</v>
      </c>
    </row>
    <row r="48" spans="1:15" x14ac:dyDescent="0.25">
      <c r="A48" t="s">
        <v>564</v>
      </c>
      <c r="B48" t="s">
        <v>28</v>
      </c>
      <c r="C48" t="s">
        <v>349</v>
      </c>
      <c r="D48" t="s">
        <v>76</v>
      </c>
      <c r="E48" t="s">
        <v>587</v>
      </c>
      <c r="F48" t="s">
        <v>78</v>
      </c>
      <c r="G48" t="s">
        <v>588</v>
      </c>
      <c r="H48" t="s">
        <v>8378</v>
      </c>
      <c r="I48">
        <v>1.9544398358270539E-4</v>
      </c>
      <c r="J48">
        <v>46049</v>
      </c>
      <c r="K48">
        <v>3.9142347671030308E-4</v>
      </c>
      <c r="L48">
        <v>22993</v>
      </c>
      <c r="M48">
        <v>9</v>
      </c>
      <c r="O48">
        <v>47</v>
      </c>
    </row>
    <row r="49" spans="1:15" x14ac:dyDescent="0.25">
      <c r="A49" t="s">
        <v>564</v>
      </c>
      <c r="B49" t="s">
        <v>28</v>
      </c>
      <c r="C49" t="s">
        <v>349</v>
      </c>
      <c r="D49" t="s">
        <v>76</v>
      </c>
      <c r="E49" t="s">
        <v>654</v>
      </c>
      <c r="F49" t="s">
        <v>8392</v>
      </c>
      <c r="G49" t="s">
        <v>8393</v>
      </c>
      <c r="H49" t="s">
        <v>8394</v>
      </c>
      <c r="I49">
        <v>8.6863992703424615E-5</v>
      </c>
      <c r="J49">
        <v>46049</v>
      </c>
      <c r="K49">
        <v>1.7396598964902361E-4</v>
      </c>
      <c r="L49">
        <v>22993</v>
      </c>
      <c r="M49">
        <v>4</v>
      </c>
      <c r="O49">
        <v>48</v>
      </c>
    </row>
    <row r="50" spans="1:15" x14ac:dyDescent="0.25">
      <c r="A50" t="s">
        <v>564</v>
      </c>
      <c r="B50" t="s">
        <v>28</v>
      </c>
      <c r="C50" t="s">
        <v>349</v>
      </c>
      <c r="D50" t="s">
        <v>76</v>
      </c>
      <c r="E50" t="s">
        <v>660</v>
      </c>
      <c r="F50" t="s">
        <v>78</v>
      </c>
      <c r="G50" t="s">
        <v>661</v>
      </c>
      <c r="H50" t="s">
        <v>8383</v>
      </c>
      <c r="I50">
        <v>8.6863992703424615E-5</v>
      </c>
      <c r="J50">
        <v>46049</v>
      </c>
      <c r="K50">
        <v>1.7396598964902361E-4</v>
      </c>
      <c r="L50">
        <v>22993</v>
      </c>
      <c r="M50">
        <v>4</v>
      </c>
      <c r="N50">
        <v>0.4</v>
      </c>
      <c r="O50">
        <v>49</v>
      </c>
    </row>
    <row r="51" spans="1:15" x14ac:dyDescent="0.25">
      <c r="A51" t="s">
        <v>564</v>
      </c>
      <c r="B51" t="s">
        <v>28</v>
      </c>
      <c r="C51" t="s">
        <v>349</v>
      </c>
      <c r="D51" t="s">
        <v>76</v>
      </c>
      <c r="E51" t="s">
        <v>602</v>
      </c>
      <c r="F51" t="s">
        <v>650</v>
      </c>
      <c r="G51" t="s">
        <v>651</v>
      </c>
      <c r="H51" t="s">
        <v>8374</v>
      </c>
      <c r="I51">
        <v>8.6863992703424615E-5</v>
      </c>
      <c r="J51">
        <v>46049</v>
      </c>
      <c r="K51">
        <v>1.7396598964902361E-4</v>
      </c>
      <c r="L51">
        <v>22993</v>
      </c>
      <c r="M51">
        <v>4</v>
      </c>
      <c r="O51">
        <v>50</v>
      </c>
    </row>
    <row r="52" spans="1:15" x14ac:dyDescent="0.25">
      <c r="A52" t="s">
        <v>564</v>
      </c>
      <c r="B52" t="s">
        <v>28</v>
      </c>
      <c r="C52" t="s">
        <v>349</v>
      </c>
      <c r="D52" t="s">
        <v>76</v>
      </c>
      <c r="E52" t="s">
        <v>81</v>
      </c>
      <c r="F52" t="s">
        <v>646</v>
      </c>
      <c r="G52" t="s">
        <v>647</v>
      </c>
      <c r="H52" t="s">
        <v>8381</v>
      </c>
      <c r="I52">
        <v>8.6863992703424615E-5</v>
      </c>
      <c r="J52">
        <v>46049</v>
      </c>
      <c r="K52">
        <v>1.7396598964902361E-4</v>
      </c>
      <c r="L52">
        <v>22993</v>
      </c>
      <c r="M52">
        <v>4</v>
      </c>
      <c r="O52">
        <v>51</v>
      </c>
    </row>
    <row r="53" spans="1:15" x14ac:dyDescent="0.25">
      <c r="A53" t="s">
        <v>564</v>
      </c>
      <c r="B53" t="s">
        <v>28</v>
      </c>
      <c r="C53" t="s">
        <v>349</v>
      </c>
      <c r="D53" t="s">
        <v>76</v>
      </c>
      <c r="E53" t="s">
        <v>654</v>
      </c>
      <c r="F53" t="s">
        <v>8388</v>
      </c>
      <c r="G53" t="s">
        <v>8389</v>
      </c>
      <c r="H53" t="s">
        <v>8390</v>
      </c>
      <c r="I53">
        <v>6.5147994527568458E-5</v>
      </c>
      <c r="J53">
        <v>46049</v>
      </c>
      <c r="K53">
        <v>1.304744922367677E-4</v>
      </c>
      <c r="L53">
        <v>22993</v>
      </c>
      <c r="M53">
        <v>3</v>
      </c>
      <c r="O53">
        <v>52</v>
      </c>
    </row>
    <row r="54" spans="1:15" x14ac:dyDescent="0.25">
      <c r="A54" t="s">
        <v>564</v>
      </c>
      <c r="B54" t="s">
        <v>28</v>
      </c>
      <c r="C54" t="s">
        <v>349</v>
      </c>
      <c r="D54" t="s">
        <v>76</v>
      </c>
      <c r="E54" t="s">
        <v>602</v>
      </c>
      <c r="F54" t="s">
        <v>670</v>
      </c>
      <c r="G54" t="s">
        <v>671</v>
      </c>
      <c r="H54" t="s">
        <v>8386</v>
      </c>
      <c r="I54">
        <v>6.5147994527568458E-5</v>
      </c>
      <c r="J54">
        <v>46049</v>
      </c>
      <c r="K54">
        <v>1.304744922367677E-4</v>
      </c>
      <c r="L54">
        <v>22993</v>
      </c>
      <c r="M54">
        <v>3</v>
      </c>
      <c r="O54">
        <v>53</v>
      </c>
    </row>
    <row r="55" spans="1:15" x14ac:dyDescent="0.25">
      <c r="A55" t="s">
        <v>564</v>
      </c>
      <c r="B55" t="s">
        <v>28</v>
      </c>
      <c r="C55" t="s">
        <v>349</v>
      </c>
      <c r="D55" t="s">
        <v>76</v>
      </c>
      <c r="E55" t="s">
        <v>654</v>
      </c>
      <c r="F55" t="s">
        <v>8395</v>
      </c>
      <c r="G55" t="s">
        <v>8396</v>
      </c>
      <c r="H55" t="s">
        <v>8397</v>
      </c>
      <c r="I55">
        <v>6.5147994527568458E-5</v>
      </c>
      <c r="J55">
        <v>46049</v>
      </c>
      <c r="K55">
        <v>1.304744922367677E-4</v>
      </c>
      <c r="L55">
        <v>22993</v>
      </c>
      <c r="M55">
        <v>3</v>
      </c>
      <c r="O55">
        <v>54</v>
      </c>
    </row>
    <row r="56" spans="1:15" x14ac:dyDescent="0.25">
      <c r="A56" t="s">
        <v>564</v>
      </c>
      <c r="B56" t="s">
        <v>28</v>
      </c>
      <c r="C56" t="s">
        <v>349</v>
      </c>
      <c r="D56" t="s">
        <v>76</v>
      </c>
      <c r="E56" t="s">
        <v>656</v>
      </c>
      <c r="F56" t="s">
        <v>78</v>
      </c>
      <c r="G56" t="s">
        <v>657</v>
      </c>
      <c r="H56" t="s">
        <v>8380</v>
      </c>
      <c r="I56">
        <v>4.3431996351712308E-5</v>
      </c>
      <c r="J56">
        <v>46049</v>
      </c>
      <c r="K56">
        <v>8.6982994824511806E-5</v>
      </c>
      <c r="L56">
        <v>22993</v>
      </c>
      <c r="M56">
        <v>2</v>
      </c>
      <c r="O56">
        <v>55</v>
      </c>
    </row>
    <row r="57" spans="1:15" x14ac:dyDescent="0.25">
      <c r="A57" t="s">
        <v>564</v>
      </c>
      <c r="B57" t="s">
        <v>28</v>
      </c>
      <c r="C57" t="s">
        <v>349</v>
      </c>
      <c r="D57" t="s">
        <v>76</v>
      </c>
      <c r="E57" t="s">
        <v>602</v>
      </c>
      <c r="F57" t="s">
        <v>652</v>
      </c>
      <c r="G57" t="s">
        <v>653</v>
      </c>
      <c r="H57" t="s">
        <v>8379</v>
      </c>
      <c r="I57">
        <v>4.3431996351712308E-5</v>
      </c>
      <c r="J57">
        <v>46049</v>
      </c>
      <c r="K57">
        <v>8.6982994824511806E-5</v>
      </c>
      <c r="L57">
        <v>22993</v>
      </c>
      <c r="M57">
        <v>2</v>
      </c>
      <c r="O57">
        <v>56</v>
      </c>
    </row>
    <row r="58" spans="1:15" x14ac:dyDescent="0.25">
      <c r="A58" t="s">
        <v>564</v>
      </c>
      <c r="B58" t="s">
        <v>28</v>
      </c>
      <c r="C58" t="s">
        <v>349</v>
      </c>
      <c r="D58" t="s">
        <v>76</v>
      </c>
      <c r="E58" t="s">
        <v>674</v>
      </c>
      <c r="F58" t="s">
        <v>78</v>
      </c>
      <c r="G58" t="s">
        <v>675</v>
      </c>
      <c r="H58" t="s">
        <v>8405</v>
      </c>
      <c r="I58">
        <v>4.3431996351712308E-5</v>
      </c>
      <c r="J58">
        <v>46049</v>
      </c>
      <c r="K58">
        <v>8.6982994824511806E-5</v>
      </c>
      <c r="L58">
        <v>22993</v>
      </c>
      <c r="M58">
        <v>2</v>
      </c>
      <c r="N58">
        <v>0.5</v>
      </c>
      <c r="O58">
        <v>57</v>
      </c>
    </row>
    <row r="59" spans="1:15" x14ac:dyDescent="0.25">
      <c r="A59" t="s">
        <v>564</v>
      </c>
      <c r="B59" t="s">
        <v>28</v>
      </c>
      <c r="C59" t="s">
        <v>349</v>
      </c>
      <c r="D59" t="s">
        <v>76</v>
      </c>
      <c r="E59" t="s">
        <v>654</v>
      </c>
      <c r="F59" t="s">
        <v>8507</v>
      </c>
      <c r="G59" t="s">
        <v>8508</v>
      </c>
      <c r="H59" t="s">
        <v>8509</v>
      </c>
      <c r="I59">
        <v>2.171599817585615E-5</v>
      </c>
      <c r="J59">
        <v>46049</v>
      </c>
      <c r="K59">
        <v>4.3491497412255903E-5</v>
      </c>
      <c r="L59">
        <v>22993</v>
      </c>
      <c r="M59">
        <v>1</v>
      </c>
      <c r="O59">
        <v>58</v>
      </c>
    </row>
    <row r="60" spans="1:15" x14ac:dyDescent="0.25">
      <c r="A60" t="s">
        <v>564</v>
      </c>
      <c r="B60" t="s">
        <v>28</v>
      </c>
      <c r="C60" t="s">
        <v>349</v>
      </c>
      <c r="D60" t="s">
        <v>76</v>
      </c>
      <c r="E60" t="s">
        <v>81</v>
      </c>
      <c r="F60" t="s">
        <v>604</v>
      </c>
      <c r="G60" t="s">
        <v>605</v>
      </c>
      <c r="H60" t="s">
        <v>8404</v>
      </c>
      <c r="I60">
        <v>2.171599817585615E-5</v>
      </c>
      <c r="J60">
        <v>46049</v>
      </c>
      <c r="K60">
        <v>4.3491497412255903E-5</v>
      </c>
      <c r="L60">
        <v>22993</v>
      </c>
      <c r="M60">
        <v>1</v>
      </c>
      <c r="O60">
        <v>59</v>
      </c>
    </row>
    <row r="61" spans="1:15" x14ac:dyDescent="0.25">
      <c r="A61" t="s">
        <v>564</v>
      </c>
      <c r="B61" t="s">
        <v>28</v>
      </c>
      <c r="C61" t="s">
        <v>349</v>
      </c>
      <c r="D61" t="s">
        <v>76</v>
      </c>
      <c r="E61" t="s">
        <v>676</v>
      </c>
      <c r="F61" t="s">
        <v>78</v>
      </c>
      <c r="G61" t="s">
        <v>677</v>
      </c>
      <c r="H61" t="s">
        <v>8403</v>
      </c>
      <c r="I61">
        <v>2.171599817585615E-5</v>
      </c>
      <c r="J61">
        <v>46049</v>
      </c>
      <c r="K61">
        <v>4.3491497412255903E-5</v>
      </c>
      <c r="L61">
        <v>22993</v>
      </c>
      <c r="M61">
        <v>1</v>
      </c>
      <c r="O61">
        <v>60</v>
      </c>
    </row>
    <row r="62" spans="1:15" x14ac:dyDescent="0.25">
      <c r="A62" t="s">
        <v>564</v>
      </c>
      <c r="B62" t="s">
        <v>28</v>
      </c>
      <c r="C62" t="s">
        <v>349</v>
      </c>
      <c r="D62" t="s">
        <v>76</v>
      </c>
      <c r="E62" t="s">
        <v>8399</v>
      </c>
      <c r="F62" t="s">
        <v>78</v>
      </c>
      <c r="G62" t="s">
        <v>8400</v>
      </c>
      <c r="H62" t="s">
        <v>8401</v>
      </c>
      <c r="I62">
        <v>2.171599817585615E-5</v>
      </c>
      <c r="J62">
        <v>46049</v>
      </c>
      <c r="K62">
        <v>4.3491497412255903E-5</v>
      </c>
      <c r="L62">
        <v>22993</v>
      </c>
      <c r="M62">
        <v>1</v>
      </c>
      <c r="O62">
        <v>61</v>
      </c>
    </row>
    <row r="63" spans="1:15" x14ac:dyDescent="0.25">
      <c r="A63" t="s">
        <v>564</v>
      </c>
      <c r="B63" t="s">
        <v>28</v>
      </c>
      <c r="C63" t="s">
        <v>349</v>
      </c>
      <c r="D63" t="s">
        <v>76</v>
      </c>
      <c r="E63" t="s">
        <v>970</v>
      </c>
      <c r="F63" t="s">
        <v>78</v>
      </c>
      <c r="G63" t="s">
        <v>971</v>
      </c>
      <c r="H63" t="s">
        <v>8479</v>
      </c>
      <c r="J63">
        <v>46049</v>
      </c>
      <c r="L63">
        <v>22993</v>
      </c>
      <c r="O63">
        <v>62</v>
      </c>
    </row>
    <row r="64" spans="1:15" x14ac:dyDescent="0.25">
      <c r="A64" t="s">
        <v>564</v>
      </c>
      <c r="B64" t="s">
        <v>28</v>
      </c>
      <c r="C64" t="s">
        <v>349</v>
      </c>
      <c r="D64" t="s">
        <v>76</v>
      </c>
      <c r="E64" t="s">
        <v>973</v>
      </c>
      <c r="F64" t="s">
        <v>78</v>
      </c>
      <c r="G64" t="s">
        <v>974</v>
      </c>
      <c r="H64" t="s">
        <v>8421</v>
      </c>
      <c r="J64">
        <v>46049</v>
      </c>
      <c r="L64">
        <v>22993</v>
      </c>
      <c r="O64">
        <v>63</v>
      </c>
    </row>
    <row r="65" spans="1:15" x14ac:dyDescent="0.25">
      <c r="A65" t="s">
        <v>564</v>
      </c>
      <c r="B65" t="s">
        <v>28</v>
      </c>
      <c r="C65" t="s">
        <v>349</v>
      </c>
      <c r="D65" t="s">
        <v>76</v>
      </c>
      <c r="E65" t="s">
        <v>976</v>
      </c>
      <c r="F65" t="s">
        <v>78</v>
      </c>
      <c r="G65" t="s">
        <v>977</v>
      </c>
      <c r="H65" t="s">
        <v>8481</v>
      </c>
      <c r="J65">
        <v>46049</v>
      </c>
      <c r="L65">
        <v>22993</v>
      </c>
      <c r="O65">
        <v>64</v>
      </c>
    </row>
    <row r="66" spans="1:15" x14ac:dyDescent="0.25">
      <c r="A66" t="s">
        <v>564</v>
      </c>
      <c r="B66" t="s">
        <v>28</v>
      </c>
      <c r="C66" t="s">
        <v>349</v>
      </c>
      <c r="D66" t="s">
        <v>76</v>
      </c>
      <c r="E66" t="s">
        <v>979</v>
      </c>
      <c r="F66" t="s">
        <v>78</v>
      </c>
      <c r="G66" t="s">
        <v>980</v>
      </c>
      <c r="H66" t="s">
        <v>8491</v>
      </c>
      <c r="J66">
        <v>46049</v>
      </c>
      <c r="L66">
        <v>22993</v>
      </c>
      <c r="O66">
        <v>65</v>
      </c>
    </row>
    <row r="67" spans="1:15" x14ac:dyDescent="0.25">
      <c r="A67" t="s">
        <v>564</v>
      </c>
      <c r="B67" t="s">
        <v>28</v>
      </c>
      <c r="C67" t="s">
        <v>349</v>
      </c>
      <c r="D67" t="s">
        <v>76</v>
      </c>
      <c r="E67" t="s">
        <v>982</v>
      </c>
      <c r="F67" t="s">
        <v>78</v>
      </c>
      <c r="G67" t="s">
        <v>983</v>
      </c>
      <c r="H67" t="s">
        <v>8500</v>
      </c>
      <c r="J67">
        <v>46049</v>
      </c>
      <c r="L67">
        <v>22993</v>
      </c>
      <c r="O67">
        <v>66</v>
      </c>
    </row>
    <row r="68" spans="1:15" x14ac:dyDescent="0.25">
      <c r="A68" t="s">
        <v>564</v>
      </c>
      <c r="B68" t="s">
        <v>28</v>
      </c>
      <c r="C68" t="s">
        <v>349</v>
      </c>
      <c r="D68" t="s">
        <v>76</v>
      </c>
      <c r="E68" t="s">
        <v>985</v>
      </c>
      <c r="F68" t="s">
        <v>78</v>
      </c>
      <c r="G68" t="s">
        <v>986</v>
      </c>
      <c r="H68" t="s">
        <v>8423</v>
      </c>
      <c r="J68">
        <v>46049</v>
      </c>
      <c r="L68">
        <v>22993</v>
      </c>
      <c r="O68">
        <v>67</v>
      </c>
    </row>
    <row r="69" spans="1:15" x14ac:dyDescent="0.25">
      <c r="A69" t="s">
        <v>564</v>
      </c>
      <c r="B69" t="s">
        <v>28</v>
      </c>
      <c r="C69" t="s">
        <v>349</v>
      </c>
      <c r="D69" t="s">
        <v>76</v>
      </c>
      <c r="E69" t="s">
        <v>988</v>
      </c>
      <c r="F69" t="s">
        <v>78</v>
      </c>
      <c r="G69" t="s">
        <v>989</v>
      </c>
      <c r="H69" t="s">
        <v>8438</v>
      </c>
      <c r="J69">
        <v>46049</v>
      </c>
      <c r="L69">
        <v>22993</v>
      </c>
      <c r="O69">
        <v>68</v>
      </c>
    </row>
    <row r="70" spans="1:15" x14ac:dyDescent="0.25">
      <c r="A70" t="s">
        <v>564</v>
      </c>
      <c r="B70" t="s">
        <v>28</v>
      </c>
      <c r="C70" t="s">
        <v>349</v>
      </c>
      <c r="D70" t="s">
        <v>76</v>
      </c>
      <c r="E70" t="s">
        <v>994</v>
      </c>
      <c r="F70" t="s">
        <v>78</v>
      </c>
      <c r="G70" t="s">
        <v>995</v>
      </c>
      <c r="H70" t="s">
        <v>8510</v>
      </c>
      <c r="J70">
        <v>46049</v>
      </c>
      <c r="L70">
        <v>22993</v>
      </c>
      <c r="O70">
        <v>69</v>
      </c>
    </row>
    <row r="71" spans="1:15" x14ac:dyDescent="0.25">
      <c r="A71" t="s">
        <v>564</v>
      </c>
      <c r="B71" t="s">
        <v>28</v>
      </c>
      <c r="C71" t="s">
        <v>349</v>
      </c>
      <c r="D71" t="s">
        <v>76</v>
      </c>
      <c r="E71" t="s">
        <v>997</v>
      </c>
      <c r="F71" t="s">
        <v>78</v>
      </c>
      <c r="G71" t="s">
        <v>998</v>
      </c>
      <c r="H71" t="s">
        <v>8476</v>
      </c>
      <c r="J71">
        <v>46049</v>
      </c>
      <c r="L71">
        <v>22993</v>
      </c>
      <c r="O71">
        <v>70</v>
      </c>
    </row>
    <row r="72" spans="1:15" x14ac:dyDescent="0.25">
      <c r="A72" t="s">
        <v>564</v>
      </c>
      <c r="B72" t="s">
        <v>28</v>
      </c>
      <c r="C72" t="s">
        <v>349</v>
      </c>
      <c r="D72" t="s">
        <v>76</v>
      </c>
      <c r="E72" t="s">
        <v>1000</v>
      </c>
      <c r="F72" t="s">
        <v>78</v>
      </c>
      <c r="G72" t="s">
        <v>1001</v>
      </c>
      <c r="H72" t="s">
        <v>8398</v>
      </c>
      <c r="J72">
        <v>46049</v>
      </c>
      <c r="L72">
        <v>22993</v>
      </c>
      <c r="O72">
        <v>71</v>
      </c>
    </row>
    <row r="73" spans="1:15" x14ac:dyDescent="0.25">
      <c r="A73" t="s">
        <v>564</v>
      </c>
      <c r="B73" t="s">
        <v>28</v>
      </c>
      <c r="C73" t="s">
        <v>349</v>
      </c>
      <c r="D73" t="s">
        <v>76</v>
      </c>
      <c r="E73" t="s">
        <v>1003</v>
      </c>
      <c r="F73" t="s">
        <v>78</v>
      </c>
      <c r="G73" t="s">
        <v>1004</v>
      </c>
      <c r="H73" t="s">
        <v>8425</v>
      </c>
      <c r="J73">
        <v>46049</v>
      </c>
      <c r="L73">
        <v>22993</v>
      </c>
      <c r="O73">
        <v>72</v>
      </c>
    </row>
    <row r="74" spans="1:15" x14ac:dyDescent="0.25">
      <c r="A74" t="s">
        <v>564</v>
      </c>
      <c r="B74" t="s">
        <v>28</v>
      </c>
      <c r="C74" t="s">
        <v>349</v>
      </c>
      <c r="D74" t="s">
        <v>76</v>
      </c>
      <c r="E74" t="s">
        <v>1015</v>
      </c>
      <c r="F74" t="s">
        <v>78</v>
      </c>
      <c r="G74" t="s">
        <v>1016</v>
      </c>
      <c r="H74" t="s">
        <v>8431</v>
      </c>
      <c r="J74">
        <v>46049</v>
      </c>
      <c r="L74">
        <v>22993</v>
      </c>
      <c r="O74">
        <v>73</v>
      </c>
    </row>
    <row r="75" spans="1:15" x14ac:dyDescent="0.25">
      <c r="A75" t="s">
        <v>564</v>
      </c>
      <c r="B75" t="s">
        <v>28</v>
      </c>
      <c r="C75" t="s">
        <v>349</v>
      </c>
      <c r="D75" t="s">
        <v>76</v>
      </c>
      <c r="E75" t="s">
        <v>1018</v>
      </c>
      <c r="F75" t="s">
        <v>78</v>
      </c>
      <c r="G75" t="s">
        <v>1019</v>
      </c>
      <c r="H75" t="s">
        <v>8439</v>
      </c>
      <c r="J75">
        <v>46049</v>
      </c>
      <c r="L75">
        <v>22993</v>
      </c>
      <c r="O75">
        <v>74</v>
      </c>
    </row>
    <row r="76" spans="1:15" x14ac:dyDescent="0.25">
      <c r="A76" t="s">
        <v>564</v>
      </c>
      <c r="B76" t="s">
        <v>28</v>
      </c>
      <c r="C76" t="s">
        <v>349</v>
      </c>
      <c r="D76" t="s">
        <v>76</v>
      </c>
      <c r="E76" t="s">
        <v>692</v>
      </c>
      <c r="F76" t="s">
        <v>78</v>
      </c>
      <c r="G76" t="s">
        <v>693</v>
      </c>
      <c r="H76" t="s">
        <v>8489</v>
      </c>
      <c r="J76">
        <v>46049</v>
      </c>
      <c r="L76">
        <v>22993</v>
      </c>
      <c r="O76">
        <v>75</v>
      </c>
    </row>
    <row r="77" spans="1:15" x14ac:dyDescent="0.25">
      <c r="A77" t="s">
        <v>564</v>
      </c>
      <c r="B77" t="s">
        <v>28</v>
      </c>
      <c r="C77" t="s">
        <v>349</v>
      </c>
      <c r="D77" t="s">
        <v>76</v>
      </c>
      <c r="E77" t="s">
        <v>678</v>
      </c>
      <c r="F77" t="s">
        <v>78</v>
      </c>
      <c r="G77" t="s">
        <v>679</v>
      </c>
      <c r="H77" t="s">
        <v>8387</v>
      </c>
      <c r="J77">
        <v>46049</v>
      </c>
      <c r="L77">
        <v>22993</v>
      </c>
      <c r="O77">
        <v>76</v>
      </c>
    </row>
    <row r="78" spans="1:15" x14ac:dyDescent="0.25">
      <c r="A78" t="s">
        <v>564</v>
      </c>
      <c r="B78" t="s">
        <v>28</v>
      </c>
      <c r="C78" t="s">
        <v>349</v>
      </c>
      <c r="D78" t="s">
        <v>76</v>
      </c>
      <c r="E78" t="s">
        <v>1027</v>
      </c>
      <c r="F78" t="s">
        <v>78</v>
      </c>
      <c r="G78" t="s">
        <v>1028</v>
      </c>
      <c r="H78" t="s">
        <v>8435</v>
      </c>
      <c r="J78">
        <v>46049</v>
      </c>
      <c r="L78">
        <v>22993</v>
      </c>
      <c r="O78">
        <v>77</v>
      </c>
    </row>
    <row r="79" spans="1:15" x14ac:dyDescent="0.25">
      <c r="A79" t="s">
        <v>564</v>
      </c>
      <c r="B79" t="s">
        <v>28</v>
      </c>
      <c r="C79" t="s">
        <v>349</v>
      </c>
      <c r="D79" t="s">
        <v>76</v>
      </c>
      <c r="E79" t="s">
        <v>1030</v>
      </c>
      <c r="F79" t="s">
        <v>78</v>
      </c>
      <c r="G79" t="s">
        <v>1031</v>
      </c>
      <c r="H79" t="s">
        <v>8498</v>
      </c>
      <c r="J79">
        <v>46049</v>
      </c>
      <c r="L79">
        <v>22993</v>
      </c>
      <c r="O79">
        <v>78</v>
      </c>
    </row>
    <row r="80" spans="1:15" x14ac:dyDescent="0.25">
      <c r="A80" t="s">
        <v>564</v>
      </c>
      <c r="B80" t="s">
        <v>28</v>
      </c>
      <c r="C80" t="s">
        <v>349</v>
      </c>
      <c r="D80" t="s">
        <v>76</v>
      </c>
      <c r="E80" t="s">
        <v>1033</v>
      </c>
      <c r="F80" t="s">
        <v>78</v>
      </c>
      <c r="G80" t="s">
        <v>1034</v>
      </c>
      <c r="H80" t="s">
        <v>8418</v>
      </c>
      <c r="J80">
        <v>46049</v>
      </c>
      <c r="L80">
        <v>22993</v>
      </c>
      <c r="O80">
        <v>79</v>
      </c>
    </row>
    <row r="81" spans="1:15" x14ac:dyDescent="0.25">
      <c r="A81" t="s">
        <v>564</v>
      </c>
      <c r="B81" t="s">
        <v>28</v>
      </c>
      <c r="C81" t="s">
        <v>349</v>
      </c>
      <c r="D81" t="s">
        <v>76</v>
      </c>
      <c r="E81" t="s">
        <v>1042</v>
      </c>
      <c r="F81" t="s">
        <v>78</v>
      </c>
      <c r="G81" t="s">
        <v>1043</v>
      </c>
      <c r="H81" t="s">
        <v>8463</v>
      </c>
      <c r="J81">
        <v>46049</v>
      </c>
      <c r="L81">
        <v>22993</v>
      </c>
      <c r="O81">
        <v>80</v>
      </c>
    </row>
    <row r="82" spans="1:15" x14ac:dyDescent="0.25">
      <c r="A82" t="s">
        <v>564</v>
      </c>
      <c r="B82" t="s">
        <v>28</v>
      </c>
      <c r="C82" t="s">
        <v>349</v>
      </c>
      <c r="D82" t="s">
        <v>76</v>
      </c>
      <c r="E82" t="s">
        <v>10855</v>
      </c>
      <c r="F82" t="s">
        <v>78</v>
      </c>
      <c r="G82" t="s">
        <v>10856</v>
      </c>
      <c r="H82" t="s">
        <v>10857</v>
      </c>
      <c r="J82">
        <v>46049</v>
      </c>
      <c r="L82">
        <v>22993</v>
      </c>
      <c r="O82">
        <v>81</v>
      </c>
    </row>
    <row r="83" spans="1:15" x14ac:dyDescent="0.25">
      <c r="A83" t="s">
        <v>564</v>
      </c>
      <c r="B83" t="s">
        <v>28</v>
      </c>
      <c r="C83" t="s">
        <v>349</v>
      </c>
      <c r="D83" t="s">
        <v>76</v>
      </c>
      <c r="E83" t="s">
        <v>672</v>
      </c>
      <c r="F83" t="s">
        <v>78</v>
      </c>
      <c r="G83" t="s">
        <v>673</v>
      </c>
      <c r="H83" t="s">
        <v>8493</v>
      </c>
      <c r="J83">
        <v>46049</v>
      </c>
      <c r="L83">
        <v>22993</v>
      </c>
      <c r="O83">
        <v>82</v>
      </c>
    </row>
    <row r="84" spans="1:15" x14ac:dyDescent="0.25">
      <c r="A84" t="s">
        <v>564</v>
      </c>
      <c r="B84" t="s">
        <v>28</v>
      </c>
      <c r="C84" t="s">
        <v>349</v>
      </c>
      <c r="D84" t="s">
        <v>76</v>
      </c>
      <c r="E84" t="s">
        <v>1048</v>
      </c>
      <c r="F84" t="s">
        <v>78</v>
      </c>
      <c r="G84" t="s">
        <v>1049</v>
      </c>
      <c r="H84" t="s">
        <v>8427</v>
      </c>
      <c r="J84">
        <v>46049</v>
      </c>
      <c r="L84">
        <v>22993</v>
      </c>
      <c r="O84">
        <v>83</v>
      </c>
    </row>
    <row r="85" spans="1:15" x14ac:dyDescent="0.25">
      <c r="A85" t="s">
        <v>564</v>
      </c>
      <c r="B85" t="s">
        <v>28</v>
      </c>
      <c r="C85" t="s">
        <v>349</v>
      </c>
      <c r="D85" t="s">
        <v>76</v>
      </c>
      <c r="E85" t="s">
        <v>1051</v>
      </c>
      <c r="F85" t="s">
        <v>78</v>
      </c>
      <c r="G85" t="s">
        <v>1052</v>
      </c>
      <c r="H85" t="s">
        <v>8436</v>
      </c>
      <c r="J85">
        <v>46049</v>
      </c>
      <c r="L85">
        <v>22993</v>
      </c>
      <c r="O85">
        <v>84</v>
      </c>
    </row>
    <row r="86" spans="1:15" x14ac:dyDescent="0.25">
      <c r="A86" t="s">
        <v>564</v>
      </c>
      <c r="B86" t="s">
        <v>28</v>
      </c>
      <c r="C86" t="s">
        <v>349</v>
      </c>
      <c r="D86" t="s">
        <v>76</v>
      </c>
      <c r="E86" t="s">
        <v>1054</v>
      </c>
      <c r="F86" t="s">
        <v>78</v>
      </c>
      <c r="G86" t="s">
        <v>1055</v>
      </c>
      <c r="H86" t="s">
        <v>8516</v>
      </c>
      <c r="J86">
        <v>46049</v>
      </c>
      <c r="L86">
        <v>22993</v>
      </c>
      <c r="O86">
        <v>85</v>
      </c>
    </row>
    <row r="87" spans="1:15" x14ac:dyDescent="0.25">
      <c r="A87" t="s">
        <v>564</v>
      </c>
      <c r="B87" t="s">
        <v>28</v>
      </c>
      <c r="C87" t="s">
        <v>349</v>
      </c>
      <c r="D87" t="s">
        <v>76</v>
      </c>
      <c r="E87" t="s">
        <v>1057</v>
      </c>
      <c r="F87" t="s">
        <v>78</v>
      </c>
      <c r="G87" t="s">
        <v>1058</v>
      </c>
      <c r="H87" t="s">
        <v>8488</v>
      </c>
      <c r="J87">
        <v>46049</v>
      </c>
      <c r="L87">
        <v>22993</v>
      </c>
      <c r="O87">
        <v>86</v>
      </c>
    </row>
    <row r="88" spans="1:15" x14ac:dyDescent="0.25">
      <c r="A88" t="s">
        <v>564</v>
      </c>
      <c r="B88" t="s">
        <v>28</v>
      </c>
      <c r="C88" t="s">
        <v>349</v>
      </c>
      <c r="D88" t="s">
        <v>76</v>
      </c>
      <c r="E88" t="s">
        <v>1060</v>
      </c>
      <c r="F88" t="s">
        <v>78</v>
      </c>
      <c r="G88" t="s">
        <v>1061</v>
      </c>
      <c r="H88" t="s">
        <v>8460</v>
      </c>
      <c r="J88">
        <v>46049</v>
      </c>
      <c r="L88">
        <v>22993</v>
      </c>
      <c r="O88">
        <v>87</v>
      </c>
    </row>
    <row r="89" spans="1:15" x14ac:dyDescent="0.25">
      <c r="A89" t="s">
        <v>564</v>
      </c>
      <c r="B89" t="s">
        <v>28</v>
      </c>
      <c r="C89" t="s">
        <v>349</v>
      </c>
      <c r="D89" t="s">
        <v>76</v>
      </c>
      <c r="E89" t="s">
        <v>1066</v>
      </c>
      <c r="F89" t="s">
        <v>78</v>
      </c>
      <c r="G89" t="s">
        <v>1067</v>
      </c>
      <c r="H89" t="s">
        <v>8474</v>
      </c>
      <c r="J89">
        <v>46049</v>
      </c>
      <c r="L89">
        <v>22993</v>
      </c>
      <c r="O89">
        <v>88</v>
      </c>
    </row>
    <row r="90" spans="1:15" x14ac:dyDescent="0.25">
      <c r="A90" t="s">
        <v>564</v>
      </c>
      <c r="B90" t="s">
        <v>28</v>
      </c>
      <c r="C90" t="s">
        <v>349</v>
      </c>
      <c r="D90" t="s">
        <v>76</v>
      </c>
      <c r="E90" t="s">
        <v>686</v>
      </c>
      <c r="F90" t="s">
        <v>894</v>
      </c>
      <c r="G90" t="s">
        <v>895</v>
      </c>
      <c r="H90" t="s">
        <v>8446</v>
      </c>
      <c r="J90">
        <v>46049</v>
      </c>
      <c r="L90">
        <v>22993</v>
      </c>
      <c r="O90">
        <v>89</v>
      </c>
    </row>
    <row r="91" spans="1:15" x14ac:dyDescent="0.25">
      <c r="A91" t="s">
        <v>564</v>
      </c>
      <c r="B91" t="s">
        <v>28</v>
      </c>
      <c r="C91" t="s">
        <v>349</v>
      </c>
      <c r="D91" t="s">
        <v>76</v>
      </c>
      <c r="E91" t="s">
        <v>81</v>
      </c>
      <c r="F91" t="s">
        <v>851</v>
      </c>
      <c r="G91" t="s">
        <v>852</v>
      </c>
      <c r="H91" t="s">
        <v>8480</v>
      </c>
      <c r="J91">
        <v>46049</v>
      </c>
      <c r="L91">
        <v>22993</v>
      </c>
      <c r="O91">
        <v>90</v>
      </c>
    </row>
    <row r="92" spans="1:15" x14ac:dyDescent="0.25">
      <c r="A92" t="s">
        <v>564</v>
      </c>
      <c r="B92" t="s">
        <v>28</v>
      </c>
      <c r="C92" t="s">
        <v>349</v>
      </c>
      <c r="D92" t="s">
        <v>76</v>
      </c>
      <c r="E92" t="s">
        <v>602</v>
      </c>
      <c r="F92" t="s">
        <v>1087</v>
      </c>
      <c r="G92" t="s">
        <v>1088</v>
      </c>
      <c r="H92" t="s">
        <v>8407</v>
      </c>
      <c r="J92">
        <v>46049</v>
      </c>
      <c r="L92">
        <v>22993</v>
      </c>
      <c r="O92">
        <v>91</v>
      </c>
    </row>
    <row r="93" spans="1:15" x14ac:dyDescent="0.25">
      <c r="A93" t="s">
        <v>564</v>
      </c>
      <c r="B93" t="s">
        <v>28</v>
      </c>
      <c r="C93" t="s">
        <v>349</v>
      </c>
      <c r="D93" t="s">
        <v>76</v>
      </c>
      <c r="E93" t="s">
        <v>602</v>
      </c>
      <c r="F93" t="s">
        <v>1090</v>
      </c>
      <c r="G93" t="s">
        <v>1091</v>
      </c>
      <c r="H93" t="s">
        <v>8454</v>
      </c>
      <c r="J93">
        <v>46049</v>
      </c>
      <c r="L93">
        <v>22993</v>
      </c>
      <c r="O93">
        <v>92</v>
      </c>
    </row>
    <row r="94" spans="1:15" x14ac:dyDescent="0.25">
      <c r="A94" t="s">
        <v>564</v>
      </c>
      <c r="B94" t="s">
        <v>28</v>
      </c>
      <c r="C94" t="s">
        <v>349</v>
      </c>
      <c r="D94" t="s">
        <v>76</v>
      </c>
      <c r="E94" t="s">
        <v>602</v>
      </c>
      <c r="F94" t="s">
        <v>666</v>
      </c>
      <c r="G94" t="s">
        <v>667</v>
      </c>
      <c r="H94" t="s">
        <v>8450</v>
      </c>
      <c r="J94">
        <v>46049</v>
      </c>
      <c r="L94">
        <v>22993</v>
      </c>
      <c r="O94">
        <v>93</v>
      </c>
    </row>
    <row r="95" spans="1:15" x14ac:dyDescent="0.25">
      <c r="A95" t="s">
        <v>564</v>
      </c>
      <c r="B95" t="s">
        <v>28</v>
      </c>
      <c r="C95" t="s">
        <v>349</v>
      </c>
      <c r="D95" t="s">
        <v>76</v>
      </c>
      <c r="E95" t="s">
        <v>602</v>
      </c>
      <c r="F95" t="s">
        <v>1099</v>
      </c>
      <c r="G95" t="s">
        <v>1100</v>
      </c>
      <c r="H95" t="s">
        <v>8455</v>
      </c>
      <c r="J95">
        <v>46049</v>
      </c>
      <c r="L95">
        <v>22993</v>
      </c>
      <c r="O95">
        <v>94</v>
      </c>
    </row>
    <row r="96" spans="1:15" x14ac:dyDescent="0.25">
      <c r="A96" t="s">
        <v>564</v>
      </c>
      <c r="B96" t="s">
        <v>28</v>
      </c>
      <c r="C96" t="s">
        <v>349</v>
      </c>
      <c r="D96" t="s">
        <v>76</v>
      </c>
      <c r="E96" t="s">
        <v>654</v>
      </c>
      <c r="F96" t="s">
        <v>8518</v>
      </c>
      <c r="G96" t="s">
        <v>8519</v>
      </c>
      <c r="H96" t="s">
        <v>8520</v>
      </c>
      <c r="J96">
        <v>46049</v>
      </c>
      <c r="L96">
        <v>22993</v>
      </c>
      <c r="O96">
        <v>95</v>
      </c>
    </row>
    <row r="97" spans="1:15" x14ac:dyDescent="0.25">
      <c r="A97" t="s">
        <v>564</v>
      </c>
      <c r="B97" t="s">
        <v>28</v>
      </c>
      <c r="C97" t="s">
        <v>349</v>
      </c>
      <c r="D97" t="s">
        <v>76</v>
      </c>
      <c r="E97" t="s">
        <v>602</v>
      </c>
      <c r="F97" t="s">
        <v>854</v>
      </c>
      <c r="G97" t="s">
        <v>855</v>
      </c>
      <c r="H97" t="s">
        <v>8448</v>
      </c>
      <c r="J97">
        <v>46049</v>
      </c>
      <c r="L97">
        <v>22993</v>
      </c>
      <c r="O97">
        <v>96</v>
      </c>
    </row>
    <row r="98" spans="1:15" x14ac:dyDescent="0.25">
      <c r="A98" t="s">
        <v>564</v>
      </c>
      <c r="B98" t="s">
        <v>28</v>
      </c>
      <c r="C98" t="s">
        <v>349</v>
      </c>
      <c r="D98" t="s">
        <v>76</v>
      </c>
      <c r="E98" t="s">
        <v>654</v>
      </c>
      <c r="F98" t="s">
        <v>8471</v>
      </c>
      <c r="G98" t="s">
        <v>8472</v>
      </c>
      <c r="H98" t="s">
        <v>8473</v>
      </c>
      <c r="J98">
        <v>46049</v>
      </c>
      <c r="L98">
        <v>22993</v>
      </c>
      <c r="O98">
        <v>97</v>
      </c>
    </row>
    <row r="99" spans="1:15" x14ac:dyDescent="0.25">
      <c r="A99" t="s">
        <v>564</v>
      </c>
      <c r="B99" t="s">
        <v>28</v>
      </c>
      <c r="C99" t="s">
        <v>349</v>
      </c>
      <c r="D99" t="s">
        <v>76</v>
      </c>
      <c r="E99" t="s">
        <v>654</v>
      </c>
      <c r="F99" t="s">
        <v>8465</v>
      </c>
      <c r="G99" t="s">
        <v>8466</v>
      </c>
      <c r="H99" t="s">
        <v>8467</v>
      </c>
      <c r="J99">
        <v>46049</v>
      </c>
      <c r="L99">
        <v>22993</v>
      </c>
      <c r="O99">
        <v>98</v>
      </c>
    </row>
    <row r="100" spans="1:15" x14ac:dyDescent="0.25">
      <c r="A100" t="s">
        <v>564</v>
      </c>
      <c r="B100" t="s">
        <v>28</v>
      </c>
      <c r="C100" t="s">
        <v>349</v>
      </c>
      <c r="D100" t="s">
        <v>76</v>
      </c>
      <c r="E100" t="s">
        <v>602</v>
      </c>
      <c r="F100" t="s">
        <v>864</v>
      </c>
      <c r="G100" t="s">
        <v>865</v>
      </c>
      <c r="H100" t="s">
        <v>8456</v>
      </c>
      <c r="J100">
        <v>46049</v>
      </c>
      <c r="L100">
        <v>22993</v>
      </c>
      <c r="O100">
        <v>99</v>
      </c>
    </row>
    <row r="101" spans="1:15" x14ac:dyDescent="0.25">
      <c r="A101" t="s">
        <v>564</v>
      </c>
      <c r="B101" t="s">
        <v>28</v>
      </c>
      <c r="C101" t="s">
        <v>349</v>
      </c>
      <c r="D101" t="s">
        <v>76</v>
      </c>
      <c r="E101" t="s">
        <v>602</v>
      </c>
      <c r="F101" t="s">
        <v>867</v>
      </c>
      <c r="G101" t="s">
        <v>868</v>
      </c>
      <c r="H101" t="s">
        <v>8408</v>
      </c>
      <c r="J101">
        <v>46049</v>
      </c>
      <c r="L101">
        <v>22993</v>
      </c>
      <c r="O101">
        <v>100</v>
      </c>
    </row>
    <row r="102" spans="1:15" x14ac:dyDescent="0.25">
      <c r="A102" t="s">
        <v>564</v>
      </c>
      <c r="B102" t="s">
        <v>28</v>
      </c>
      <c r="C102" t="s">
        <v>349</v>
      </c>
      <c r="D102" t="s">
        <v>76</v>
      </c>
      <c r="E102" t="s">
        <v>886</v>
      </c>
      <c r="F102" t="s">
        <v>8512</v>
      </c>
      <c r="G102" t="s">
        <v>8513</v>
      </c>
      <c r="H102" t="s">
        <v>8514</v>
      </c>
      <c r="J102">
        <v>46049</v>
      </c>
      <c r="L102">
        <v>22993</v>
      </c>
      <c r="O102">
        <v>101</v>
      </c>
    </row>
    <row r="103" spans="1:15" x14ac:dyDescent="0.25">
      <c r="A103" t="s">
        <v>564</v>
      </c>
      <c r="B103" t="s">
        <v>28</v>
      </c>
      <c r="C103" t="s">
        <v>349</v>
      </c>
      <c r="D103" t="s">
        <v>76</v>
      </c>
      <c r="E103" t="s">
        <v>886</v>
      </c>
      <c r="F103" t="s">
        <v>8495</v>
      </c>
      <c r="G103" t="s">
        <v>8496</v>
      </c>
      <c r="H103" t="s">
        <v>8497</v>
      </c>
      <c r="J103">
        <v>46049</v>
      </c>
      <c r="L103">
        <v>22993</v>
      </c>
      <c r="O103">
        <v>102</v>
      </c>
    </row>
    <row r="104" spans="1:15" x14ac:dyDescent="0.25">
      <c r="A104" t="s">
        <v>564</v>
      </c>
      <c r="B104" t="s">
        <v>28</v>
      </c>
      <c r="C104" t="s">
        <v>349</v>
      </c>
      <c r="D104" t="s">
        <v>76</v>
      </c>
      <c r="E104" t="s">
        <v>602</v>
      </c>
      <c r="F104" t="s">
        <v>870</v>
      </c>
      <c r="G104" t="s">
        <v>871</v>
      </c>
      <c r="H104" t="s">
        <v>8406</v>
      </c>
      <c r="J104">
        <v>46049</v>
      </c>
      <c r="L104">
        <v>22993</v>
      </c>
      <c r="O104">
        <v>103</v>
      </c>
    </row>
    <row r="105" spans="1:15" x14ac:dyDescent="0.25">
      <c r="A105" t="s">
        <v>564</v>
      </c>
      <c r="B105" t="s">
        <v>28</v>
      </c>
      <c r="C105" t="s">
        <v>349</v>
      </c>
      <c r="D105" t="s">
        <v>76</v>
      </c>
      <c r="E105" t="s">
        <v>602</v>
      </c>
      <c r="F105" t="s">
        <v>876</v>
      </c>
      <c r="G105" t="s">
        <v>877</v>
      </c>
      <c r="H105" t="s">
        <v>8449</v>
      </c>
      <c r="J105">
        <v>46049</v>
      </c>
      <c r="L105">
        <v>22993</v>
      </c>
      <c r="O105">
        <v>104</v>
      </c>
    </row>
    <row r="106" spans="1:15" x14ac:dyDescent="0.25">
      <c r="A106" t="s">
        <v>564</v>
      </c>
      <c r="B106" t="s">
        <v>28</v>
      </c>
      <c r="C106" t="s">
        <v>349</v>
      </c>
      <c r="D106" t="s">
        <v>76</v>
      </c>
      <c r="E106" t="s">
        <v>886</v>
      </c>
      <c r="F106" t="s">
        <v>8504</v>
      </c>
      <c r="G106" t="s">
        <v>8505</v>
      </c>
      <c r="H106" t="s">
        <v>8506</v>
      </c>
      <c r="J106">
        <v>46049</v>
      </c>
      <c r="L106">
        <v>22993</v>
      </c>
      <c r="O106">
        <v>105</v>
      </c>
    </row>
    <row r="107" spans="1:15" x14ac:dyDescent="0.25">
      <c r="A107" t="s">
        <v>564</v>
      </c>
      <c r="B107" t="s">
        <v>28</v>
      </c>
      <c r="C107" t="s">
        <v>349</v>
      </c>
      <c r="D107" t="s">
        <v>76</v>
      </c>
      <c r="E107" t="s">
        <v>686</v>
      </c>
      <c r="F107" t="s">
        <v>1084</v>
      </c>
      <c r="G107" t="s">
        <v>1085</v>
      </c>
      <c r="H107" t="s">
        <v>8443</v>
      </c>
      <c r="J107">
        <v>46049</v>
      </c>
      <c r="L107">
        <v>22993</v>
      </c>
      <c r="O107">
        <v>106</v>
      </c>
    </row>
    <row r="108" spans="1:15" x14ac:dyDescent="0.25">
      <c r="A108" t="s">
        <v>564</v>
      </c>
      <c r="B108" t="s">
        <v>28</v>
      </c>
      <c r="C108" t="s">
        <v>349</v>
      </c>
      <c r="D108" t="s">
        <v>76</v>
      </c>
      <c r="E108" t="s">
        <v>686</v>
      </c>
      <c r="F108" t="s">
        <v>1069</v>
      </c>
      <c r="G108" t="s">
        <v>1070</v>
      </c>
      <c r="H108" t="s">
        <v>8478</v>
      </c>
      <c r="J108">
        <v>46049</v>
      </c>
      <c r="L108">
        <v>22993</v>
      </c>
      <c r="O108">
        <v>107</v>
      </c>
    </row>
    <row r="109" spans="1:15" x14ac:dyDescent="0.25">
      <c r="A109" t="s">
        <v>564</v>
      </c>
      <c r="B109" t="s">
        <v>28</v>
      </c>
      <c r="C109" t="s">
        <v>349</v>
      </c>
      <c r="D109" t="s">
        <v>76</v>
      </c>
      <c r="E109" t="s">
        <v>686</v>
      </c>
      <c r="F109" t="s">
        <v>1063</v>
      </c>
      <c r="G109" t="s">
        <v>1064</v>
      </c>
      <c r="H109" t="s">
        <v>8437</v>
      </c>
      <c r="J109">
        <v>46049</v>
      </c>
      <c r="L109">
        <v>22993</v>
      </c>
      <c r="O109">
        <v>108</v>
      </c>
    </row>
    <row r="110" spans="1:15" x14ac:dyDescent="0.25">
      <c r="A110" t="s">
        <v>564</v>
      </c>
      <c r="B110" t="s">
        <v>28</v>
      </c>
      <c r="C110" t="s">
        <v>349</v>
      </c>
      <c r="D110" t="s">
        <v>76</v>
      </c>
      <c r="E110" t="s">
        <v>686</v>
      </c>
      <c r="F110" t="s">
        <v>1045</v>
      </c>
      <c r="G110" t="s">
        <v>1046</v>
      </c>
      <c r="H110" t="s">
        <v>8414</v>
      </c>
      <c r="J110">
        <v>46049</v>
      </c>
      <c r="L110">
        <v>22993</v>
      </c>
      <c r="O110">
        <v>109</v>
      </c>
    </row>
    <row r="111" spans="1:15" x14ac:dyDescent="0.25">
      <c r="A111" t="s">
        <v>564</v>
      </c>
      <c r="B111" t="s">
        <v>28</v>
      </c>
      <c r="C111" t="s">
        <v>349</v>
      </c>
      <c r="D111" t="s">
        <v>76</v>
      </c>
      <c r="E111" t="s">
        <v>686</v>
      </c>
      <c r="F111" t="s">
        <v>1039</v>
      </c>
      <c r="G111" t="s">
        <v>1040</v>
      </c>
      <c r="H111" t="s">
        <v>8475</v>
      </c>
      <c r="J111">
        <v>46049</v>
      </c>
      <c r="L111">
        <v>22993</v>
      </c>
      <c r="O111">
        <v>110</v>
      </c>
    </row>
    <row r="112" spans="1:15" x14ac:dyDescent="0.25">
      <c r="A112" t="s">
        <v>564</v>
      </c>
      <c r="B112" t="s">
        <v>28</v>
      </c>
      <c r="C112" t="s">
        <v>349</v>
      </c>
      <c r="D112" t="s">
        <v>76</v>
      </c>
      <c r="E112" t="s">
        <v>686</v>
      </c>
      <c r="F112" t="s">
        <v>1036</v>
      </c>
      <c r="G112" t="s">
        <v>1037</v>
      </c>
      <c r="H112" t="s">
        <v>8410</v>
      </c>
      <c r="J112">
        <v>46049</v>
      </c>
      <c r="L112">
        <v>22993</v>
      </c>
      <c r="O112">
        <v>111</v>
      </c>
    </row>
    <row r="113" spans="1:15" x14ac:dyDescent="0.25">
      <c r="A113" t="s">
        <v>564</v>
      </c>
      <c r="B113" t="s">
        <v>28</v>
      </c>
      <c r="C113" t="s">
        <v>349</v>
      </c>
      <c r="D113" t="s">
        <v>76</v>
      </c>
      <c r="E113" t="s">
        <v>686</v>
      </c>
      <c r="F113" t="s">
        <v>1024</v>
      </c>
      <c r="G113" t="s">
        <v>1025</v>
      </c>
      <c r="H113" t="s">
        <v>8416</v>
      </c>
      <c r="J113">
        <v>46049</v>
      </c>
      <c r="L113">
        <v>22993</v>
      </c>
      <c r="O113">
        <v>112</v>
      </c>
    </row>
    <row r="114" spans="1:15" x14ac:dyDescent="0.25">
      <c r="A114" t="s">
        <v>564</v>
      </c>
      <c r="B114" t="s">
        <v>28</v>
      </c>
      <c r="C114" t="s">
        <v>349</v>
      </c>
      <c r="D114" t="s">
        <v>76</v>
      </c>
      <c r="E114" t="s">
        <v>686</v>
      </c>
      <c r="F114" t="s">
        <v>1021</v>
      </c>
      <c r="G114" t="s">
        <v>1022</v>
      </c>
      <c r="H114" t="s">
        <v>8444</v>
      </c>
      <c r="J114">
        <v>46049</v>
      </c>
      <c r="L114">
        <v>22993</v>
      </c>
      <c r="O114">
        <v>113</v>
      </c>
    </row>
    <row r="115" spans="1:15" x14ac:dyDescent="0.25">
      <c r="A115" t="s">
        <v>564</v>
      </c>
      <c r="B115" t="s">
        <v>28</v>
      </c>
      <c r="C115" t="s">
        <v>349</v>
      </c>
      <c r="D115" t="s">
        <v>76</v>
      </c>
      <c r="E115" t="s">
        <v>686</v>
      </c>
      <c r="F115" t="s">
        <v>1012</v>
      </c>
      <c r="G115" t="s">
        <v>1013</v>
      </c>
      <c r="H115" t="s">
        <v>8412</v>
      </c>
      <c r="J115">
        <v>46049</v>
      </c>
      <c r="L115">
        <v>22993</v>
      </c>
      <c r="O115">
        <v>114</v>
      </c>
    </row>
    <row r="116" spans="1:15" x14ac:dyDescent="0.25">
      <c r="A116" t="s">
        <v>564</v>
      </c>
      <c r="B116" t="s">
        <v>28</v>
      </c>
      <c r="C116" t="s">
        <v>349</v>
      </c>
      <c r="D116" t="s">
        <v>76</v>
      </c>
      <c r="E116" t="s">
        <v>686</v>
      </c>
      <c r="F116" t="s">
        <v>1009</v>
      </c>
      <c r="G116" t="s">
        <v>1010</v>
      </c>
      <c r="H116" t="s">
        <v>8430</v>
      </c>
      <c r="J116">
        <v>46049</v>
      </c>
      <c r="L116">
        <v>22993</v>
      </c>
      <c r="O116">
        <v>115</v>
      </c>
    </row>
    <row r="117" spans="1:15" x14ac:dyDescent="0.25">
      <c r="A117" t="s">
        <v>564</v>
      </c>
      <c r="B117" t="s">
        <v>28</v>
      </c>
      <c r="C117" t="s">
        <v>349</v>
      </c>
      <c r="D117" t="s">
        <v>76</v>
      </c>
      <c r="E117" t="s">
        <v>686</v>
      </c>
      <c r="F117" t="s">
        <v>1006</v>
      </c>
      <c r="G117" t="s">
        <v>1007</v>
      </c>
      <c r="H117" t="s">
        <v>8426</v>
      </c>
      <c r="J117">
        <v>46049</v>
      </c>
      <c r="L117">
        <v>22993</v>
      </c>
      <c r="O117">
        <v>116</v>
      </c>
    </row>
    <row r="118" spans="1:15" x14ac:dyDescent="0.25">
      <c r="A118" t="s">
        <v>564</v>
      </c>
      <c r="B118" t="s">
        <v>28</v>
      </c>
      <c r="C118" t="s">
        <v>349</v>
      </c>
      <c r="D118" t="s">
        <v>76</v>
      </c>
      <c r="E118" t="s">
        <v>686</v>
      </c>
      <c r="F118" t="s">
        <v>991</v>
      </c>
      <c r="G118" t="s">
        <v>992</v>
      </c>
      <c r="H118" t="s">
        <v>8422</v>
      </c>
      <c r="J118">
        <v>46049</v>
      </c>
      <c r="L118">
        <v>22993</v>
      </c>
      <c r="O118">
        <v>117</v>
      </c>
    </row>
    <row r="119" spans="1:15" x14ac:dyDescent="0.25">
      <c r="A119" t="s">
        <v>564</v>
      </c>
      <c r="B119" t="s">
        <v>28</v>
      </c>
      <c r="C119" t="s">
        <v>349</v>
      </c>
      <c r="D119" t="s">
        <v>76</v>
      </c>
      <c r="E119" t="s">
        <v>686</v>
      </c>
      <c r="F119" t="s">
        <v>958</v>
      </c>
      <c r="G119" t="s">
        <v>959</v>
      </c>
      <c r="H119" t="s">
        <v>8440</v>
      </c>
      <c r="J119">
        <v>46049</v>
      </c>
      <c r="L119">
        <v>22993</v>
      </c>
      <c r="O119">
        <v>118</v>
      </c>
    </row>
    <row r="120" spans="1:15" x14ac:dyDescent="0.25">
      <c r="A120" t="s">
        <v>564</v>
      </c>
      <c r="B120" t="s">
        <v>28</v>
      </c>
      <c r="C120" t="s">
        <v>349</v>
      </c>
      <c r="D120" t="s">
        <v>76</v>
      </c>
      <c r="E120" t="s">
        <v>686</v>
      </c>
      <c r="F120" t="s">
        <v>952</v>
      </c>
      <c r="G120" t="s">
        <v>953</v>
      </c>
      <c r="H120" t="s">
        <v>8453</v>
      </c>
      <c r="J120">
        <v>46049</v>
      </c>
      <c r="L120">
        <v>22993</v>
      </c>
      <c r="O120">
        <v>119</v>
      </c>
    </row>
    <row r="121" spans="1:15" x14ac:dyDescent="0.25">
      <c r="A121" t="s">
        <v>564</v>
      </c>
      <c r="B121" t="s">
        <v>28</v>
      </c>
      <c r="C121" t="s">
        <v>349</v>
      </c>
      <c r="D121" t="s">
        <v>76</v>
      </c>
      <c r="E121" t="s">
        <v>686</v>
      </c>
      <c r="F121" t="s">
        <v>940</v>
      </c>
      <c r="G121" t="s">
        <v>941</v>
      </c>
      <c r="H121" t="s">
        <v>8432</v>
      </c>
      <c r="J121">
        <v>46049</v>
      </c>
      <c r="L121">
        <v>22993</v>
      </c>
      <c r="O121">
        <v>120</v>
      </c>
    </row>
    <row r="122" spans="1:15" x14ac:dyDescent="0.25">
      <c r="A122" t="s">
        <v>564</v>
      </c>
      <c r="B122" t="s">
        <v>28</v>
      </c>
      <c r="C122" t="s">
        <v>349</v>
      </c>
      <c r="D122" t="s">
        <v>76</v>
      </c>
      <c r="E122" t="s">
        <v>686</v>
      </c>
      <c r="F122" t="s">
        <v>937</v>
      </c>
      <c r="G122" t="s">
        <v>938</v>
      </c>
      <c r="H122" t="s">
        <v>8441</v>
      </c>
      <c r="J122">
        <v>46049</v>
      </c>
      <c r="L122">
        <v>22993</v>
      </c>
      <c r="O122">
        <v>121</v>
      </c>
    </row>
    <row r="123" spans="1:15" x14ac:dyDescent="0.25">
      <c r="A123" t="s">
        <v>564</v>
      </c>
      <c r="B123" t="s">
        <v>28</v>
      </c>
      <c r="C123" t="s">
        <v>349</v>
      </c>
      <c r="D123" t="s">
        <v>76</v>
      </c>
      <c r="E123" t="s">
        <v>686</v>
      </c>
      <c r="F123" t="s">
        <v>934</v>
      </c>
      <c r="G123" t="s">
        <v>935</v>
      </c>
      <c r="H123" t="s">
        <v>8409</v>
      </c>
      <c r="J123">
        <v>46049</v>
      </c>
      <c r="L123">
        <v>22993</v>
      </c>
      <c r="O123">
        <v>122</v>
      </c>
    </row>
    <row r="124" spans="1:15" x14ac:dyDescent="0.25">
      <c r="A124" t="s">
        <v>564</v>
      </c>
      <c r="B124" t="s">
        <v>28</v>
      </c>
      <c r="C124" t="s">
        <v>349</v>
      </c>
      <c r="D124" t="s">
        <v>76</v>
      </c>
      <c r="E124" t="s">
        <v>686</v>
      </c>
      <c r="F124" t="s">
        <v>924</v>
      </c>
      <c r="G124" t="s">
        <v>925</v>
      </c>
      <c r="H124" t="s">
        <v>8442</v>
      </c>
      <c r="J124">
        <v>46049</v>
      </c>
      <c r="L124">
        <v>22993</v>
      </c>
      <c r="O124">
        <v>123</v>
      </c>
    </row>
    <row r="125" spans="1:15" x14ac:dyDescent="0.25">
      <c r="A125" t="s">
        <v>564</v>
      </c>
      <c r="B125" t="s">
        <v>28</v>
      </c>
      <c r="C125" t="s">
        <v>349</v>
      </c>
      <c r="D125" t="s">
        <v>76</v>
      </c>
      <c r="E125" t="s">
        <v>686</v>
      </c>
      <c r="F125" t="s">
        <v>921</v>
      </c>
      <c r="G125" t="s">
        <v>922</v>
      </c>
      <c r="H125" t="s">
        <v>8451</v>
      </c>
      <c r="J125">
        <v>46049</v>
      </c>
      <c r="L125">
        <v>22993</v>
      </c>
      <c r="O125">
        <v>124</v>
      </c>
    </row>
    <row r="126" spans="1:15" x14ac:dyDescent="0.25">
      <c r="A126" t="s">
        <v>564</v>
      </c>
      <c r="B126" t="s">
        <v>28</v>
      </c>
      <c r="C126" t="s">
        <v>349</v>
      </c>
      <c r="D126" t="s">
        <v>76</v>
      </c>
      <c r="E126" t="s">
        <v>686</v>
      </c>
      <c r="F126" t="s">
        <v>915</v>
      </c>
      <c r="G126" t="s">
        <v>916</v>
      </c>
      <c r="H126" t="s">
        <v>8419</v>
      </c>
      <c r="J126">
        <v>46049</v>
      </c>
      <c r="L126">
        <v>22993</v>
      </c>
      <c r="O126">
        <v>125</v>
      </c>
    </row>
    <row r="127" spans="1:15" x14ac:dyDescent="0.25">
      <c r="A127" t="s">
        <v>564</v>
      </c>
      <c r="B127" t="s">
        <v>28</v>
      </c>
      <c r="C127" t="s">
        <v>349</v>
      </c>
      <c r="D127" t="s">
        <v>76</v>
      </c>
      <c r="E127" t="s">
        <v>686</v>
      </c>
      <c r="F127" t="s">
        <v>909</v>
      </c>
      <c r="G127" t="s">
        <v>910</v>
      </c>
      <c r="H127" t="s">
        <v>8445</v>
      </c>
      <c r="J127">
        <v>46049</v>
      </c>
      <c r="L127">
        <v>22993</v>
      </c>
      <c r="O127">
        <v>126</v>
      </c>
    </row>
    <row r="128" spans="1:15" x14ac:dyDescent="0.25">
      <c r="A128" t="s">
        <v>564</v>
      </c>
      <c r="B128" t="s">
        <v>28</v>
      </c>
      <c r="C128" t="s">
        <v>349</v>
      </c>
      <c r="D128" t="s">
        <v>76</v>
      </c>
      <c r="E128" t="s">
        <v>634</v>
      </c>
      <c r="F128" t="s">
        <v>880</v>
      </c>
      <c r="G128" t="s">
        <v>881</v>
      </c>
      <c r="H128" t="s">
        <v>8391</v>
      </c>
      <c r="J128">
        <v>46049</v>
      </c>
      <c r="L128">
        <v>22993</v>
      </c>
      <c r="O128">
        <v>127</v>
      </c>
    </row>
    <row r="129" spans="1:15" x14ac:dyDescent="0.25">
      <c r="A129" t="s">
        <v>564</v>
      </c>
      <c r="B129" t="s">
        <v>28</v>
      </c>
      <c r="C129" t="s">
        <v>349</v>
      </c>
      <c r="D129" t="s">
        <v>76</v>
      </c>
      <c r="E129" t="s">
        <v>634</v>
      </c>
      <c r="F129" t="s">
        <v>883</v>
      </c>
      <c r="G129" t="s">
        <v>884</v>
      </c>
      <c r="H129" t="s">
        <v>8413</v>
      </c>
      <c r="J129">
        <v>46049</v>
      </c>
      <c r="L129">
        <v>22993</v>
      </c>
      <c r="O129">
        <v>128</v>
      </c>
    </row>
    <row r="130" spans="1:15" x14ac:dyDescent="0.25">
      <c r="A130" t="s">
        <v>564</v>
      </c>
      <c r="B130" t="s">
        <v>28</v>
      </c>
      <c r="C130" t="s">
        <v>349</v>
      </c>
      <c r="D130" t="s">
        <v>76</v>
      </c>
      <c r="E130" t="s">
        <v>682</v>
      </c>
      <c r="F130" t="s">
        <v>78</v>
      </c>
      <c r="G130" t="s">
        <v>683</v>
      </c>
      <c r="H130" t="s">
        <v>8385</v>
      </c>
      <c r="J130">
        <v>46049</v>
      </c>
      <c r="L130">
        <v>22993</v>
      </c>
      <c r="O130">
        <v>129</v>
      </c>
    </row>
    <row r="131" spans="1:15" x14ac:dyDescent="0.25">
      <c r="A131" t="s">
        <v>564</v>
      </c>
      <c r="B131" t="s">
        <v>28</v>
      </c>
      <c r="C131" t="s">
        <v>349</v>
      </c>
      <c r="D131" t="s">
        <v>76</v>
      </c>
      <c r="E131" t="s">
        <v>897</v>
      </c>
      <c r="F131" t="s">
        <v>78</v>
      </c>
      <c r="G131" t="s">
        <v>898</v>
      </c>
      <c r="H131" t="s">
        <v>8459</v>
      </c>
      <c r="J131">
        <v>46049</v>
      </c>
      <c r="L131">
        <v>22993</v>
      </c>
      <c r="O131">
        <v>130</v>
      </c>
    </row>
    <row r="132" spans="1:15" x14ac:dyDescent="0.25">
      <c r="A132" t="s">
        <v>564</v>
      </c>
      <c r="B132" t="s">
        <v>28</v>
      </c>
      <c r="C132" t="s">
        <v>349</v>
      </c>
      <c r="D132" t="s">
        <v>76</v>
      </c>
      <c r="E132" t="s">
        <v>900</v>
      </c>
      <c r="F132" t="s">
        <v>78</v>
      </c>
      <c r="G132" t="s">
        <v>901</v>
      </c>
      <c r="H132" t="s">
        <v>8517</v>
      </c>
      <c r="J132">
        <v>46049</v>
      </c>
      <c r="L132">
        <v>22993</v>
      </c>
      <c r="O132">
        <v>131</v>
      </c>
    </row>
    <row r="133" spans="1:15" x14ac:dyDescent="0.25">
      <c r="A133" t="s">
        <v>564</v>
      </c>
      <c r="B133" t="s">
        <v>28</v>
      </c>
      <c r="C133" t="s">
        <v>349</v>
      </c>
      <c r="D133" t="s">
        <v>76</v>
      </c>
      <c r="E133" t="s">
        <v>903</v>
      </c>
      <c r="F133" t="s">
        <v>78</v>
      </c>
      <c r="G133" t="s">
        <v>904</v>
      </c>
      <c r="H133" t="s">
        <v>8482</v>
      </c>
      <c r="J133">
        <v>46049</v>
      </c>
      <c r="L133">
        <v>22993</v>
      </c>
      <c r="O133">
        <v>132</v>
      </c>
    </row>
    <row r="134" spans="1:15" x14ac:dyDescent="0.25">
      <c r="A134" t="s">
        <v>564</v>
      </c>
      <c r="B134" t="s">
        <v>28</v>
      </c>
      <c r="C134" t="s">
        <v>349</v>
      </c>
      <c r="D134" t="s">
        <v>76</v>
      </c>
      <c r="E134" t="s">
        <v>906</v>
      </c>
      <c r="F134" t="s">
        <v>78</v>
      </c>
      <c r="G134" t="s">
        <v>907</v>
      </c>
      <c r="H134" t="s">
        <v>8428</v>
      </c>
      <c r="J134">
        <v>46049</v>
      </c>
      <c r="L134">
        <v>22993</v>
      </c>
      <c r="O134">
        <v>133</v>
      </c>
    </row>
    <row r="135" spans="1:15" x14ac:dyDescent="0.25">
      <c r="A135" t="s">
        <v>564</v>
      </c>
      <c r="B135" t="s">
        <v>28</v>
      </c>
      <c r="C135" t="s">
        <v>349</v>
      </c>
      <c r="D135" t="s">
        <v>76</v>
      </c>
      <c r="E135" t="s">
        <v>912</v>
      </c>
      <c r="F135" t="s">
        <v>78</v>
      </c>
      <c r="G135" t="s">
        <v>913</v>
      </c>
      <c r="H135" t="s">
        <v>8499</v>
      </c>
      <c r="J135">
        <v>46049</v>
      </c>
      <c r="L135">
        <v>22993</v>
      </c>
      <c r="O135">
        <v>134</v>
      </c>
    </row>
    <row r="136" spans="1:15" x14ac:dyDescent="0.25">
      <c r="A136" t="s">
        <v>564</v>
      </c>
      <c r="B136" t="s">
        <v>28</v>
      </c>
      <c r="C136" t="s">
        <v>349</v>
      </c>
      <c r="D136" t="s">
        <v>76</v>
      </c>
      <c r="E136" t="s">
        <v>662</v>
      </c>
      <c r="F136" t="s">
        <v>78</v>
      </c>
      <c r="G136" t="s">
        <v>663</v>
      </c>
      <c r="H136" t="s">
        <v>8486</v>
      </c>
      <c r="J136">
        <v>46049</v>
      </c>
      <c r="L136">
        <v>22993</v>
      </c>
      <c r="O136">
        <v>135</v>
      </c>
    </row>
    <row r="137" spans="1:15" x14ac:dyDescent="0.25">
      <c r="A137" t="s">
        <v>564</v>
      </c>
      <c r="B137" t="s">
        <v>28</v>
      </c>
      <c r="C137" t="s">
        <v>349</v>
      </c>
      <c r="D137" t="s">
        <v>76</v>
      </c>
      <c r="E137" t="s">
        <v>668</v>
      </c>
      <c r="F137" t="s">
        <v>78</v>
      </c>
      <c r="G137" t="s">
        <v>669</v>
      </c>
      <c r="H137" t="s">
        <v>8464</v>
      </c>
      <c r="J137">
        <v>46049</v>
      </c>
      <c r="L137">
        <v>22993</v>
      </c>
      <c r="O137">
        <v>136</v>
      </c>
    </row>
    <row r="138" spans="1:15" x14ac:dyDescent="0.25">
      <c r="A138" t="s">
        <v>564</v>
      </c>
      <c r="B138" t="s">
        <v>28</v>
      </c>
      <c r="C138" t="s">
        <v>349</v>
      </c>
      <c r="D138" t="s">
        <v>76</v>
      </c>
      <c r="E138" t="s">
        <v>918</v>
      </c>
      <c r="F138" t="s">
        <v>78</v>
      </c>
      <c r="G138" t="s">
        <v>919</v>
      </c>
      <c r="H138" t="s">
        <v>8511</v>
      </c>
      <c r="J138">
        <v>46049</v>
      </c>
      <c r="L138">
        <v>22993</v>
      </c>
      <c r="O138">
        <v>137</v>
      </c>
    </row>
    <row r="139" spans="1:15" x14ac:dyDescent="0.25">
      <c r="A139" t="s">
        <v>564</v>
      </c>
      <c r="B139" t="s">
        <v>28</v>
      </c>
      <c r="C139" t="s">
        <v>349</v>
      </c>
      <c r="D139" t="s">
        <v>76</v>
      </c>
      <c r="E139" t="s">
        <v>664</v>
      </c>
      <c r="F139" t="s">
        <v>78</v>
      </c>
      <c r="G139" t="s">
        <v>665</v>
      </c>
      <c r="H139" t="s">
        <v>8434</v>
      </c>
      <c r="J139">
        <v>46049</v>
      </c>
      <c r="L139">
        <v>22993</v>
      </c>
      <c r="O139">
        <v>138</v>
      </c>
    </row>
    <row r="140" spans="1:15" x14ac:dyDescent="0.25">
      <c r="A140" t="s">
        <v>564</v>
      </c>
      <c r="B140" t="s">
        <v>28</v>
      </c>
      <c r="C140" t="s">
        <v>349</v>
      </c>
      <c r="D140" t="s">
        <v>76</v>
      </c>
      <c r="E140" t="s">
        <v>927</v>
      </c>
      <c r="F140" t="s">
        <v>78</v>
      </c>
      <c r="G140" t="s">
        <v>928</v>
      </c>
      <c r="H140" t="s">
        <v>8503</v>
      </c>
      <c r="J140">
        <v>46049</v>
      </c>
      <c r="L140">
        <v>22993</v>
      </c>
      <c r="O140">
        <v>139</v>
      </c>
    </row>
    <row r="141" spans="1:15" x14ac:dyDescent="0.25">
      <c r="A141" t="s">
        <v>564</v>
      </c>
      <c r="B141" t="s">
        <v>28</v>
      </c>
      <c r="C141" t="s">
        <v>349</v>
      </c>
      <c r="D141" t="s">
        <v>76</v>
      </c>
      <c r="E141" t="s">
        <v>690</v>
      </c>
      <c r="F141" t="s">
        <v>78</v>
      </c>
      <c r="G141" t="s">
        <v>691</v>
      </c>
      <c r="H141" t="s">
        <v>8492</v>
      </c>
      <c r="J141">
        <v>46049</v>
      </c>
      <c r="L141">
        <v>22993</v>
      </c>
      <c r="O141">
        <v>140</v>
      </c>
    </row>
    <row r="142" spans="1:15" x14ac:dyDescent="0.25">
      <c r="A142" t="s">
        <v>564</v>
      </c>
      <c r="B142" t="s">
        <v>28</v>
      </c>
      <c r="C142" t="s">
        <v>349</v>
      </c>
      <c r="D142" t="s">
        <v>76</v>
      </c>
      <c r="E142" t="s">
        <v>931</v>
      </c>
      <c r="F142" t="s">
        <v>78</v>
      </c>
      <c r="G142" t="s">
        <v>932</v>
      </c>
      <c r="H142" t="s">
        <v>8420</v>
      </c>
      <c r="J142">
        <v>46049</v>
      </c>
      <c r="L142">
        <v>22993</v>
      </c>
      <c r="O142">
        <v>141</v>
      </c>
    </row>
    <row r="143" spans="1:15" x14ac:dyDescent="0.25">
      <c r="A143" t="s">
        <v>564</v>
      </c>
      <c r="B143" t="s">
        <v>28</v>
      </c>
      <c r="C143" t="s">
        <v>349</v>
      </c>
      <c r="D143" t="s">
        <v>76</v>
      </c>
      <c r="E143" t="s">
        <v>943</v>
      </c>
      <c r="F143" t="s">
        <v>78</v>
      </c>
      <c r="G143" t="s">
        <v>944</v>
      </c>
      <c r="H143" t="s">
        <v>8424</v>
      </c>
      <c r="J143">
        <v>46049</v>
      </c>
      <c r="L143">
        <v>22993</v>
      </c>
      <c r="O143">
        <v>142</v>
      </c>
    </row>
    <row r="144" spans="1:15" x14ac:dyDescent="0.25">
      <c r="A144" t="s">
        <v>564</v>
      </c>
      <c r="B144" t="s">
        <v>28</v>
      </c>
      <c r="C144" t="s">
        <v>349</v>
      </c>
      <c r="D144" t="s">
        <v>76</v>
      </c>
      <c r="E144" t="s">
        <v>946</v>
      </c>
      <c r="F144" t="s">
        <v>78</v>
      </c>
      <c r="G144" t="s">
        <v>947</v>
      </c>
      <c r="H144" t="s">
        <v>8484</v>
      </c>
      <c r="J144">
        <v>46049</v>
      </c>
      <c r="L144">
        <v>22993</v>
      </c>
      <c r="O144">
        <v>143</v>
      </c>
    </row>
    <row r="145" spans="1:15" x14ac:dyDescent="0.25">
      <c r="A145" t="s">
        <v>564</v>
      </c>
      <c r="B145" t="s">
        <v>28</v>
      </c>
      <c r="C145" t="s">
        <v>349</v>
      </c>
      <c r="D145" t="s">
        <v>76</v>
      </c>
      <c r="E145" t="s">
        <v>949</v>
      </c>
      <c r="F145" t="s">
        <v>78</v>
      </c>
      <c r="G145" t="s">
        <v>950</v>
      </c>
      <c r="H145" t="s">
        <v>8485</v>
      </c>
      <c r="J145">
        <v>46049</v>
      </c>
      <c r="L145">
        <v>22993</v>
      </c>
      <c r="O145">
        <v>144</v>
      </c>
    </row>
    <row r="146" spans="1:15" x14ac:dyDescent="0.25">
      <c r="A146" t="s">
        <v>564</v>
      </c>
      <c r="B146" t="s">
        <v>28</v>
      </c>
      <c r="C146" t="s">
        <v>349</v>
      </c>
      <c r="D146" t="s">
        <v>76</v>
      </c>
      <c r="E146" t="s">
        <v>680</v>
      </c>
      <c r="F146" t="s">
        <v>78</v>
      </c>
      <c r="G146" t="s">
        <v>681</v>
      </c>
      <c r="H146" t="s">
        <v>8402</v>
      </c>
      <c r="J146">
        <v>46049</v>
      </c>
      <c r="L146">
        <v>22993</v>
      </c>
      <c r="O146">
        <v>145</v>
      </c>
    </row>
    <row r="147" spans="1:15" x14ac:dyDescent="0.25">
      <c r="A147" t="s">
        <v>564</v>
      </c>
      <c r="B147" t="s">
        <v>28</v>
      </c>
      <c r="C147" t="s">
        <v>349</v>
      </c>
      <c r="D147" t="s">
        <v>76</v>
      </c>
      <c r="E147" t="s">
        <v>955</v>
      </c>
      <c r="F147" t="s">
        <v>78</v>
      </c>
      <c r="G147" t="s">
        <v>956</v>
      </c>
      <c r="H147" t="s">
        <v>8490</v>
      </c>
      <c r="J147">
        <v>46049</v>
      </c>
      <c r="L147">
        <v>22993</v>
      </c>
      <c r="O147">
        <v>146</v>
      </c>
    </row>
    <row r="148" spans="1:15" x14ac:dyDescent="0.25">
      <c r="A148" t="s">
        <v>564</v>
      </c>
      <c r="B148" t="s">
        <v>28</v>
      </c>
      <c r="C148" t="s">
        <v>349</v>
      </c>
      <c r="D148" t="s">
        <v>76</v>
      </c>
      <c r="E148" t="s">
        <v>961</v>
      </c>
      <c r="F148" t="s">
        <v>78</v>
      </c>
      <c r="G148" t="s">
        <v>962</v>
      </c>
      <c r="H148" t="s">
        <v>8487</v>
      </c>
      <c r="J148">
        <v>46049</v>
      </c>
      <c r="L148">
        <v>22993</v>
      </c>
      <c r="O148">
        <v>147</v>
      </c>
    </row>
    <row r="149" spans="1:15" x14ac:dyDescent="0.25">
      <c r="A149" t="s">
        <v>564</v>
      </c>
      <c r="B149" t="s">
        <v>28</v>
      </c>
      <c r="C149" t="s">
        <v>349</v>
      </c>
      <c r="D149" t="s">
        <v>76</v>
      </c>
      <c r="E149" t="s">
        <v>964</v>
      </c>
      <c r="F149" t="s">
        <v>78</v>
      </c>
      <c r="G149" t="s">
        <v>965</v>
      </c>
      <c r="H149" t="s">
        <v>8502</v>
      </c>
      <c r="J149">
        <v>46049</v>
      </c>
      <c r="L149">
        <v>22993</v>
      </c>
      <c r="O149">
        <v>148</v>
      </c>
    </row>
    <row r="150" spans="1:15" x14ac:dyDescent="0.25">
      <c r="A150" t="s">
        <v>564</v>
      </c>
      <c r="B150" t="s">
        <v>28</v>
      </c>
      <c r="C150" t="s">
        <v>349</v>
      </c>
      <c r="D150" t="s">
        <v>76</v>
      </c>
      <c r="E150" t="s">
        <v>967</v>
      </c>
      <c r="F150" t="s">
        <v>78</v>
      </c>
      <c r="G150" t="s">
        <v>968</v>
      </c>
      <c r="H150" t="s">
        <v>8433</v>
      </c>
      <c r="J150">
        <v>46049</v>
      </c>
      <c r="L150">
        <v>22993</v>
      </c>
      <c r="O150">
        <v>149</v>
      </c>
    </row>
    <row r="151" spans="1:15" x14ac:dyDescent="0.25">
      <c r="A151" t="s">
        <v>564</v>
      </c>
      <c r="B151" t="s">
        <v>28</v>
      </c>
      <c r="C151" t="s">
        <v>349</v>
      </c>
      <c r="D151" t="s">
        <v>76</v>
      </c>
      <c r="E151" t="s">
        <v>1072</v>
      </c>
      <c r="F151" t="s">
        <v>78</v>
      </c>
      <c r="G151" t="s">
        <v>1073</v>
      </c>
      <c r="H151" t="s">
        <v>8462</v>
      </c>
      <c r="J151">
        <v>46049</v>
      </c>
      <c r="L151">
        <v>22993</v>
      </c>
      <c r="O151">
        <v>150</v>
      </c>
    </row>
    <row r="152" spans="1:15" x14ac:dyDescent="0.25">
      <c r="A152" t="s">
        <v>564</v>
      </c>
      <c r="B152" t="s">
        <v>28</v>
      </c>
      <c r="C152" t="s">
        <v>349</v>
      </c>
      <c r="D152" t="s">
        <v>76</v>
      </c>
      <c r="E152" t="s">
        <v>1075</v>
      </c>
      <c r="F152" t="s">
        <v>78</v>
      </c>
      <c r="G152" t="s">
        <v>1076</v>
      </c>
      <c r="H152" t="s">
        <v>8461</v>
      </c>
      <c r="J152">
        <v>46049</v>
      </c>
      <c r="L152">
        <v>22993</v>
      </c>
      <c r="O152">
        <v>151</v>
      </c>
    </row>
    <row r="153" spans="1:15" x14ac:dyDescent="0.25">
      <c r="A153" t="s">
        <v>564</v>
      </c>
      <c r="B153" t="s">
        <v>28</v>
      </c>
      <c r="C153" t="s">
        <v>349</v>
      </c>
      <c r="D153" t="s">
        <v>76</v>
      </c>
      <c r="E153" t="s">
        <v>1078</v>
      </c>
      <c r="F153" t="s">
        <v>78</v>
      </c>
      <c r="G153" t="s">
        <v>1079</v>
      </c>
      <c r="H153" t="s">
        <v>8429</v>
      </c>
      <c r="J153">
        <v>46049</v>
      </c>
      <c r="L153">
        <v>22993</v>
      </c>
      <c r="O153">
        <v>152</v>
      </c>
    </row>
    <row r="154" spans="1:15" x14ac:dyDescent="0.25">
      <c r="A154" t="s">
        <v>564</v>
      </c>
      <c r="B154" t="s">
        <v>28</v>
      </c>
      <c r="C154" t="s">
        <v>349</v>
      </c>
      <c r="D154" t="s">
        <v>76</v>
      </c>
      <c r="E154" t="s">
        <v>1081</v>
      </c>
      <c r="F154" t="s">
        <v>78</v>
      </c>
      <c r="G154" t="s">
        <v>1082</v>
      </c>
      <c r="H154" t="s">
        <v>8415</v>
      </c>
      <c r="J154">
        <v>46049</v>
      </c>
      <c r="L154">
        <v>22993</v>
      </c>
      <c r="O154">
        <v>153</v>
      </c>
    </row>
    <row r="155" spans="1:15" x14ac:dyDescent="0.25">
      <c r="A155" t="s">
        <v>564</v>
      </c>
      <c r="B155" t="s">
        <v>28</v>
      </c>
      <c r="C155" t="s">
        <v>349</v>
      </c>
      <c r="D155" t="s">
        <v>76</v>
      </c>
      <c r="E155" t="s">
        <v>1093</v>
      </c>
      <c r="F155" t="s">
        <v>78</v>
      </c>
      <c r="G155" t="s">
        <v>1094</v>
      </c>
      <c r="H155" t="s">
        <v>8417</v>
      </c>
      <c r="J155">
        <v>46049</v>
      </c>
      <c r="L155">
        <v>22993</v>
      </c>
      <c r="O155">
        <v>154</v>
      </c>
    </row>
    <row r="156" spans="1:15" x14ac:dyDescent="0.25">
      <c r="A156" t="s">
        <v>564</v>
      </c>
      <c r="B156" t="s">
        <v>28</v>
      </c>
      <c r="C156" t="s">
        <v>349</v>
      </c>
      <c r="D156" t="s">
        <v>76</v>
      </c>
      <c r="E156" t="s">
        <v>1096</v>
      </c>
      <c r="F156" t="s">
        <v>78</v>
      </c>
      <c r="G156" t="s">
        <v>1097</v>
      </c>
      <c r="H156" t="s">
        <v>8458</v>
      </c>
      <c r="J156">
        <v>46049</v>
      </c>
      <c r="L156">
        <v>22993</v>
      </c>
      <c r="O156">
        <v>155</v>
      </c>
    </row>
    <row r="157" spans="1:15" x14ac:dyDescent="0.25">
      <c r="A157" t="s">
        <v>564</v>
      </c>
      <c r="B157" t="s">
        <v>28</v>
      </c>
      <c r="C157" t="s">
        <v>349</v>
      </c>
      <c r="D157" t="s">
        <v>76</v>
      </c>
      <c r="E157" t="s">
        <v>8468</v>
      </c>
      <c r="F157" t="s">
        <v>78</v>
      </c>
      <c r="G157" t="s">
        <v>8469</v>
      </c>
      <c r="H157" t="s">
        <v>8470</v>
      </c>
      <c r="J157">
        <v>46049</v>
      </c>
      <c r="L157">
        <v>22993</v>
      </c>
      <c r="O157">
        <v>156</v>
      </c>
    </row>
    <row r="158" spans="1:15" x14ac:dyDescent="0.25">
      <c r="A158" t="s">
        <v>564</v>
      </c>
      <c r="B158" t="s">
        <v>28</v>
      </c>
      <c r="C158" t="s">
        <v>349</v>
      </c>
      <c r="D158" t="s">
        <v>76</v>
      </c>
      <c r="E158" t="s">
        <v>688</v>
      </c>
      <c r="F158" t="s">
        <v>78</v>
      </c>
      <c r="G158" t="s">
        <v>689</v>
      </c>
      <c r="H158" t="s">
        <v>8501</v>
      </c>
      <c r="J158">
        <v>46049</v>
      </c>
      <c r="L158">
        <v>22993</v>
      </c>
      <c r="O158">
        <v>157</v>
      </c>
    </row>
    <row r="159" spans="1:15" x14ac:dyDescent="0.25">
      <c r="A159" t="s">
        <v>564</v>
      </c>
      <c r="B159" t="s">
        <v>28</v>
      </c>
      <c r="C159" t="s">
        <v>349</v>
      </c>
      <c r="D159" t="s">
        <v>76</v>
      </c>
      <c r="E159" t="s">
        <v>858</v>
      </c>
      <c r="F159" t="s">
        <v>78</v>
      </c>
      <c r="G159" t="s">
        <v>859</v>
      </c>
      <c r="H159" t="s">
        <v>8515</v>
      </c>
      <c r="J159">
        <v>46049</v>
      </c>
      <c r="L159">
        <v>22993</v>
      </c>
      <c r="O159">
        <v>158</v>
      </c>
    </row>
    <row r="160" spans="1:15" x14ac:dyDescent="0.25">
      <c r="A160" t="s">
        <v>564</v>
      </c>
      <c r="B160" t="s">
        <v>28</v>
      </c>
      <c r="C160" t="s">
        <v>349</v>
      </c>
      <c r="D160" t="s">
        <v>76</v>
      </c>
      <c r="E160" t="s">
        <v>861</v>
      </c>
      <c r="F160" t="s">
        <v>78</v>
      </c>
      <c r="G160" t="s">
        <v>862</v>
      </c>
      <c r="H160" t="s">
        <v>8494</v>
      </c>
      <c r="J160">
        <v>46049</v>
      </c>
      <c r="L160">
        <v>22993</v>
      </c>
      <c r="O160">
        <v>159</v>
      </c>
    </row>
    <row r="161" spans="1:17" x14ac:dyDescent="0.25">
      <c r="A161" t="s">
        <v>564</v>
      </c>
      <c r="B161" t="s">
        <v>28</v>
      </c>
      <c r="C161" t="s">
        <v>349</v>
      </c>
      <c r="D161" t="s">
        <v>76</v>
      </c>
      <c r="E161" t="s">
        <v>873</v>
      </c>
      <c r="F161" t="s">
        <v>78</v>
      </c>
      <c r="G161" t="s">
        <v>874</v>
      </c>
      <c r="H161" t="s">
        <v>8452</v>
      </c>
      <c r="J161">
        <v>46049</v>
      </c>
      <c r="L161">
        <v>22993</v>
      </c>
      <c r="O161">
        <v>160</v>
      </c>
    </row>
    <row r="162" spans="1:17" x14ac:dyDescent="0.25">
      <c r="A162" t="s">
        <v>564</v>
      </c>
      <c r="B162" t="s">
        <v>28</v>
      </c>
      <c r="C162" t="s">
        <v>349</v>
      </c>
      <c r="D162" t="s">
        <v>76</v>
      </c>
      <c r="E162" t="s">
        <v>636</v>
      </c>
      <c r="F162" t="s">
        <v>78</v>
      </c>
      <c r="G162" t="s">
        <v>637</v>
      </c>
      <c r="H162" t="s">
        <v>8457</v>
      </c>
      <c r="J162">
        <v>46049</v>
      </c>
      <c r="L162">
        <v>22993</v>
      </c>
      <c r="O162">
        <v>161</v>
      </c>
    </row>
    <row r="163" spans="1:17" x14ac:dyDescent="0.25">
      <c r="A163" t="s">
        <v>564</v>
      </c>
      <c r="B163" t="s">
        <v>28</v>
      </c>
      <c r="C163" t="s">
        <v>349</v>
      </c>
      <c r="D163" t="s">
        <v>76</v>
      </c>
      <c r="E163" t="s">
        <v>694</v>
      </c>
      <c r="F163" t="s">
        <v>78</v>
      </c>
      <c r="G163" t="s">
        <v>695</v>
      </c>
      <c r="H163" t="s">
        <v>8384</v>
      </c>
      <c r="J163">
        <v>46049</v>
      </c>
      <c r="L163">
        <v>22993</v>
      </c>
      <c r="O163">
        <v>162</v>
      </c>
    </row>
    <row r="164" spans="1:17" x14ac:dyDescent="0.25">
      <c r="A164" t="s">
        <v>564</v>
      </c>
      <c r="B164" t="s">
        <v>28</v>
      </c>
      <c r="C164" t="s">
        <v>349</v>
      </c>
      <c r="D164" t="s">
        <v>76</v>
      </c>
      <c r="E164" t="s">
        <v>886</v>
      </c>
      <c r="F164" t="s">
        <v>78</v>
      </c>
      <c r="G164" t="s">
        <v>887</v>
      </c>
      <c r="H164" t="s">
        <v>8483</v>
      </c>
      <c r="J164">
        <v>46049</v>
      </c>
      <c r="L164">
        <v>22993</v>
      </c>
      <c r="O164">
        <v>163</v>
      </c>
    </row>
    <row r="165" spans="1:17" x14ac:dyDescent="0.25">
      <c r="A165" t="s">
        <v>564</v>
      </c>
      <c r="B165" t="s">
        <v>28</v>
      </c>
      <c r="C165" t="s">
        <v>349</v>
      </c>
      <c r="D165" t="s">
        <v>76</v>
      </c>
      <c r="E165" t="s">
        <v>684</v>
      </c>
      <c r="F165" t="s">
        <v>78</v>
      </c>
      <c r="G165" t="s">
        <v>685</v>
      </c>
      <c r="H165" t="s">
        <v>8477</v>
      </c>
      <c r="J165">
        <v>46049</v>
      </c>
      <c r="L165">
        <v>22993</v>
      </c>
      <c r="O165">
        <v>164</v>
      </c>
    </row>
    <row r="166" spans="1:17" x14ac:dyDescent="0.25">
      <c r="A166" t="s">
        <v>564</v>
      </c>
      <c r="B166" t="s">
        <v>28</v>
      </c>
      <c r="C166" t="s">
        <v>349</v>
      </c>
      <c r="D166" t="s">
        <v>76</v>
      </c>
      <c r="E166" t="s">
        <v>890</v>
      </c>
      <c r="F166" t="s">
        <v>78</v>
      </c>
      <c r="G166" t="s">
        <v>891</v>
      </c>
      <c r="H166" t="s">
        <v>8411</v>
      </c>
      <c r="J166">
        <v>46049</v>
      </c>
      <c r="L166">
        <v>22993</v>
      </c>
      <c r="O166">
        <v>165</v>
      </c>
    </row>
    <row r="167" spans="1:17" x14ac:dyDescent="0.25">
      <c r="A167" t="s">
        <v>564</v>
      </c>
      <c r="B167" t="s">
        <v>28</v>
      </c>
      <c r="C167" t="s">
        <v>349</v>
      </c>
      <c r="D167" t="s">
        <v>76</v>
      </c>
      <c r="E167" t="s">
        <v>686</v>
      </c>
      <c r="F167" t="s">
        <v>78</v>
      </c>
      <c r="G167" t="s">
        <v>687</v>
      </c>
      <c r="H167" t="s">
        <v>8447</v>
      </c>
      <c r="J167">
        <v>46049</v>
      </c>
      <c r="L167">
        <v>22993</v>
      </c>
      <c r="O167">
        <v>166</v>
      </c>
    </row>
    <row r="168" spans="1:17" x14ac:dyDescent="0.25">
      <c r="A168" t="s">
        <v>564</v>
      </c>
      <c r="B168" t="s">
        <v>28</v>
      </c>
      <c r="C168" t="s">
        <v>349</v>
      </c>
      <c r="D168" t="s">
        <v>59</v>
      </c>
      <c r="E168" t="s">
        <v>78</v>
      </c>
      <c r="F168" t="s">
        <v>78</v>
      </c>
      <c r="G168" t="s">
        <v>696</v>
      </c>
      <c r="H168" t="s">
        <v>8521</v>
      </c>
      <c r="I168">
        <v>0.50068405394253945</v>
      </c>
      <c r="J168">
        <v>46049</v>
      </c>
      <c r="K168">
        <v>1</v>
      </c>
      <c r="L168">
        <v>23056</v>
      </c>
      <c r="M168">
        <v>23056</v>
      </c>
      <c r="N168">
        <v>1.2200000000000001E-2</v>
      </c>
      <c r="O168">
        <v>1</v>
      </c>
    </row>
    <row r="169" spans="1:17" x14ac:dyDescent="0.25">
      <c r="A169" t="s">
        <v>564</v>
      </c>
      <c r="B169" t="s">
        <v>28</v>
      </c>
      <c r="C169" t="s">
        <v>349</v>
      </c>
      <c r="D169" t="s">
        <v>59</v>
      </c>
      <c r="E169" t="s">
        <v>60</v>
      </c>
      <c r="F169" t="s">
        <v>78</v>
      </c>
      <c r="G169" t="s">
        <v>697</v>
      </c>
      <c r="H169" t="s">
        <v>8522</v>
      </c>
      <c r="I169">
        <v>0.4372733392690395</v>
      </c>
      <c r="J169">
        <v>46049</v>
      </c>
      <c r="K169">
        <v>0.87335183900069391</v>
      </c>
      <c r="L169">
        <v>23056</v>
      </c>
      <c r="M169">
        <v>20136</v>
      </c>
      <c r="N169">
        <v>1.15E-2</v>
      </c>
      <c r="O169">
        <v>2</v>
      </c>
    </row>
    <row r="170" spans="1:17" x14ac:dyDescent="0.25">
      <c r="A170" t="s">
        <v>564</v>
      </c>
      <c r="B170" t="s">
        <v>28</v>
      </c>
      <c r="C170" t="s">
        <v>349</v>
      </c>
      <c r="D170" t="s">
        <v>59</v>
      </c>
      <c r="E170" t="s">
        <v>60</v>
      </c>
      <c r="F170" t="s">
        <v>63</v>
      </c>
      <c r="G170" t="s">
        <v>702</v>
      </c>
      <c r="H170" t="s">
        <v>8523</v>
      </c>
      <c r="I170">
        <v>0.26741080153749269</v>
      </c>
      <c r="J170">
        <v>46049</v>
      </c>
      <c r="K170">
        <v>0.53409090909090906</v>
      </c>
      <c r="L170">
        <v>23056</v>
      </c>
      <c r="M170">
        <v>12314</v>
      </c>
      <c r="N170">
        <v>5.4000000000000003E-3</v>
      </c>
      <c r="O170">
        <v>3</v>
      </c>
      <c r="Q170">
        <v>3</v>
      </c>
    </row>
    <row r="171" spans="1:17" x14ac:dyDescent="0.25">
      <c r="A171" t="s">
        <v>564</v>
      </c>
      <c r="B171" t="s">
        <v>28</v>
      </c>
      <c r="C171" t="s">
        <v>349</v>
      </c>
      <c r="D171" t="s">
        <v>59</v>
      </c>
      <c r="E171" t="s">
        <v>60</v>
      </c>
      <c r="F171" t="s">
        <v>61</v>
      </c>
      <c r="G171" t="s">
        <v>698</v>
      </c>
      <c r="H171" t="s">
        <v>8525</v>
      </c>
      <c r="I171">
        <v>0.20430411083845471</v>
      </c>
      <c r="J171">
        <v>46049</v>
      </c>
      <c r="K171">
        <v>0.40804996530187371</v>
      </c>
      <c r="L171">
        <v>23056</v>
      </c>
      <c r="M171">
        <v>9408</v>
      </c>
      <c r="N171">
        <v>1.9099999999999999E-2</v>
      </c>
      <c r="O171">
        <v>4</v>
      </c>
      <c r="Q171">
        <v>1</v>
      </c>
    </row>
    <row r="172" spans="1:17" x14ac:dyDescent="0.25">
      <c r="A172" t="s">
        <v>564</v>
      </c>
      <c r="B172" t="s">
        <v>28</v>
      </c>
      <c r="C172" t="s">
        <v>349</v>
      </c>
      <c r="D172" t="s">
        <v>59</v>
      </c>
      <c r="E172" t="s">
        <v>64</v>
      </c>
      <c r="F172" t="s">
        <v>78</v>
      </c>
      <c r="G172" t="s">
        <v>703</v>
      </c>
      <c r="H172" t="s">
        <v>8526</v>
      </c>
      <c r="I172">
        <v>7.1771373971204588E-2</v>
      </c>
      <c r="J172">
        <v>46049</v>
      </c>
      <c r="K172">
        <v>0.14334663428174879</v>
      </c>
      <c r="L172">
        <v>23056</v>
      </c>
      <c r="M172">
        <v>3305</v>
      </c>
      <c r="N172">
        <v>1.18E-2</v>
      </c>
      <c r="O172">
        <v>5</v>
      </c>
    </row>
    <row r="173" spans="1:17" x14ac:dyDescent="0.25">
      <c r="A173" t="s">
        <v>564</v>
      </c>
      <c r="B173" t="s">
        <v>28</v>
      </c>
      <c r="C173" t="s">
        <v>349</v>
      </c>
      <c r="D173" t="s">
        <v>59</v>
      </c>
      <c r="E173" t="s">
        <v>64</v>
      </c>
      <c r="F173" t="s">
        <v>65</v>
      </c>
      <c r="G173" t="s">
        <v>704</v>
      </c>
      <c r="H173" t="s">
        <v>8527</v>
      </c>
      <c r="I173">
        <v>7.1749657973028735E-2</v>
      </c>
      <c r="J173">
        <v>46049</v>
      </c>
      <c r="K173">
        <v>0.1433032616238723</v>
      </c>
      <c r="L173">
        <v>23056</v>
      </c>
      <c r="M173">
        <v>3304</v>
      </c>
      <c r="N173">
        <v>1.18E-2</v>
      </c>
      <c r="O173">
        <v>6</v>
      </c>
      <c r="Q173">
        <v>4</v>
      </c>
    </row>
    <row r="174" spans="1:17" x14ac:dyDescent="0.25">
      <c r="A174" t="s">
        <v>564</v>
      </c>
      <c r="B174" t="s">
        <v>28</v>
      </c>
      <c r="C174" t="s">
        <v>349</v>
      </c>
      <c r="D174" t="s">
        <v>59</v>
      </c>
      <c r="E174" t="s">
        <v>72</v>
      </c>
      <c r="F174" t="s">
        <v>78</v>
      </c>
      <c r="G174" t="s">
        <v>705</v>
      </c>
      <c r="H174" t="s">
        <v>8528</v>
      </c>
      <c r="I174">
        <v>1.6591022606354099E-2</v>
      </c>
      <c r="J174">
        <v>46049</v>
      </c>
      <c r="K174">
        <v>3.3136710617626651E-2</v>
      </c>
      <c r="L174">
        <v>23056</v>
      </c>
      <c r="M174">
        <v>764</v>
      </c>
      <c r="N174">
        <v>6.6699999999999995E-2</v>
      </c>
      <c r="O174">
        <v>7</v>
      </c>
    </row>
    <row r="175" spans="1:17" x14ac:dyDescent="0.25">
      <c r="A175" t="s">
        <v>564</v>
      </c>
      <c r="B175" t="s">
        <v>28</v>
      </c>
      <c r="C175" t="s">
        <v>349</v>
      </c>
      <c r="D175" t="s">
        <v>59</v>
      </c>
      <c r="E175" t="s">
        <v>72</v>
      </c>
      <c r="F175" t="s">
        <v>73</v>
      </c>
      <c r="G175" t="s">
        <v>706</v>
      </c>
      <c r="H175" t="s">
        <v>8529</v>
      </c>
      <c r="I175">
        <v>1.6395578622771391E-2</v>
      </c>
      <c r="J175">
        <v>46049</v>
      </c>
      <c r="K175">
        <v>3.274635669673838E-2</v>
      </c>
      <c r="L175">
        <v>23056</v>
      </c>
      <c r="M175">
        <v>755</v>
      </c>
      <c r="N175">
        <v>6.6199999999999995E-2</v>
      </c>
      <c r="O175">
        <v>8</v>
      </c>
      <c r="Q175">
        <v>6</v>
      </c>
    </row>
    <row r="176" spans="1:17" x14ac:dyDescent="0.25">
      <c r="A176" t="s">
        <v>564</v>
      </c>
      <c r="B176" t="s">
        <v>28</v>
      </c>
      <c r="C176" t="s">
        <v>349</v>
      </c>
      <c r="D176" t="s">
        <v>59</v>
      </c>
      <c r="E176" t="s">
        <v>68</v>
      </c>
      <c r="F176" t="s">
        <v>70</v>
      </c>
      <c r="G176" t="s">
        <v>707</v>
      </c>
      <c r="H176" t="s">
        <v>8531</v>
      </c>
      <c r="I176">
        <v>9.555039197376707E-4</v>
      </c>
      <c r="J176">
        <v>46049</v>
      </c>
      <c r="K176">
        <v>1.908396946564885E-3</v>
      </c>
      <c r="L176">
        <v>23056</v>
      </c>
      <c r="M176">
        <v>44</v>
      </c>
      <c r="O176">
        <v>9</v>
      </c>
      <c r="Q176">
        <v>10</v>
      </c>
    </row>
    <row r="177" spans="1:17" x14ac:dyDescent="0.25">
      <c r="A177" t="s">
        <v>564</v>
      </c>
      <c r="B177" t="s">
        <v>28</v>
      </c>
      <c r="C177" t="s">
        <v>349</v>
      </c>
      <c r="D177" t="s">
        <v>59</v>
      </c>
      <c r="E177" t="s">
        <v>68</v>
      </c>
      <c r="F177" t="s">
        <v>78</v>
      </c>
      <c r="G177" t="s">
        <v>700</v>
      </c>
      <c r="H177" t="s">
        <v>8530</v>
      </c>
      <c r="I177">
        <v>9.555039197376707E-4</v>
      </c>
      <c r="J177">
        <v>46049</v>
      </c>
      <c r="K177">
        <v>1.908396946564885E-3</v>
      </c>
      <c r="L177">
        <v>23056</v>
      </c>
      <c r="M177">
        <v>44</v>
      </c>
      <c r="O177">
        <v>10</v>
      </c>
    </row>
    <row r="178" spans="1:17" x14ac:dyDescent="0.25">
      <c r="A178" t="s">
        <v>564</v>
      </c>
      <c r="B178" t="s">
        <v>28</v>
      </c>
      <c r="C178" t="s">
        <v>349</v>
      </c>
      <c r="D178" t="s">
        <v>59</v>
      </c>
      <c r="E178" t="s">
        <v>60</v>
      </c>
      <c r="F178" t="s">
        <v>62</v>
      </c>
      <c r="G178" t="s">
        <v>699</v>
      </c>
      <c r="H178" t="s">
        <v>8524</v>
      </c>
      <c r="I178">
        <v>5.2118395622054766E-4</v>
      </c>
      <c r="J178">
        <v>46049</v>
      </c>
      <c r="K178">
        <v>1.040943789035392E-3</v>
      </c>
      <c r="L178">
        <v>23056</v>
      </c>
      <c r="M178">
        <v>24</v>
      </c>
      <c r="O178">
        <v>11</v>
      </c>
      <c r="Q178">
        <v>2</v>
      </c>
    </row>
    <row r="179" spans="1:17" x14ac:dyDescent="0.25">
      <c r="A179" t="s">
        <v>564</v>
      </c>
      <c r="B179" t="s">
        <v>28</v>
      </c>
      <c r="C179" t="s">
        <v>349</v>
      </c>
      <c r="D179" t="s">
        <v>59</v>
      </c>
      <c r="E179" t="s">
        <v>72</v>
      </c>
      <c r="F179" t="s">
        <v>75</v>
      </c>
      <c r="G179" t="s">
        <v>710</v>
      </c>
      <c r="H179" t="s">
        <v>8532</v>
      </c>
      <c r="I179">
        <v>1.520119872309931E-4</v>
      </c>
      <c r="J179">
        <v>46049</v>
      </c>
      <c r="K179">
        <v>3.0360860513532268E-4</v>
      </c>
      <c r="L179">
        <v>23056</v>
      </c>
      <c r="M179">
        <v>7</v>
      </c>
      <c r="N179">
        <v>0.125</v>
      </c>
      <c r="O179">
        <v>12</v>
      </c>
      <c r="Q179">
        <v>7</v>
      </c>
    </row>
    <row r="180" spans="1:17" x14ac:dyDescent="0.25">
      <c r="A180" t="s">
        <v>564</v>
      </c>
      <c r="B180" t="s">
        <v>28</v>
      </c>
      <c r="C180" t="s">
        <v>349</v>
      </c>
      <c r="D180" t="s">
        <v>59</v>
      </c>
      <c r="E180" t="s">
        <v>64</v>
      </c>
      <c r="F180" t="s">
        <v>8535</v>
      </c>
      <c r="G180" t="s">
        <v>8536</v>
      </c>
      <c r="H180" t="s">
        <v>8537</v>
      </c>
      <c r="I180">
        <v>2.171599817585615E-5</v>
      </c>
      <c r="J180">
        <v>46049</v>
      </c>
      <c r="K180">
        <v>4.3372657876474669E-5</v>
      </c>
      <c r="L180">
        <v>23056</v>
      </c>
      <c r="M180">
        <v>1</v>
      </c>
      <c r="O180">
        <v>13</v>
      </c>
    </row>
    <row r="181" spans="1:17" x14ac:dyDescent="0.25">
      <c r="A181" t="s">
        <v>564</v>
      </c>
      <c r="B181" t="s">
        <v>28</v>
      </c>
      <c r="C181" t="s">
        <v>349</v>
      </c>
      <c r="D181" t="s">
        <v>59</v>
      </c>
      <c r="E181" t="s">
        <v>72</v>
      </c>
      <c r="F181" t="s">
        <v>74</v>
      </c>
      <c r="G181" t="s">
        <v>708</v>
      </c>
      <c r="H181" t="s">
        <v>8533</v>
      </c>
      <c r="I181">
        <v>2.171599817585615E-5</v>
      </c>
      <c r="J181">
        <v>46049</v>
      </c>
      <c r="K181">
        <v>4.3372657876474669E-5</v>
      </c>
      <c r="L181">
        <v>23056</v>
      </c>
      <c r="M181">
        <v>1</v>
      </c>
      <c r="O181">
        <v>14</v>
      </c>
      <c r="Q181">
        <v>9</v>
      </c>
    </row>
    <row r="182" spans="1:17" x14ac:dyDescent="0.25">
      <c r="A182" t="s">
        <v>564</v>
      </c>
      <c r="B182" t="s">
        <v>28</v>
      </c>
      <c r="C182" t="s">
        <v>349</v>
      </c>
      <c r="D182" t="s">
        <v>59</v>
      </c>
      <c r="E182" t="s">
        <v>68</v>
      </c>
      <c r="F182" t="s">
        <v>69</v>
      </c>
      <c r="G182" t="s">
        <v>701</v>
      </c>
      <c r="H182" t="s">
        <v>8542</v>
      </c>
      <c r="J182">
        <v>46049</v>
      </c>
      <c r="L182">
        <v>23056</v>
      </c>
      <c r="O182">
        <v>15</v>
      </c>
      <c r="Q182">
        <v>11</v>
      </c>
    </row>
    <row r="183" spans="1:17" x14ac:dyDescent="0.25">
      <c r="A183" t="s">
        <v>564</v>
      </c>
      <c r="B183" t="s">
        <v>28</v>
      </c>
      <c r="C183" t="s">
        <v>349</v>
      </c>
      <c r="D183" t="s">
        <v>59</v>
      </c>
      <c r="E183" t="s">
        <v>64</v>
      </c>
      <c r="F183" t="s">
        <v>8547</v>
      </c>
      <c r="G183" t="s">
        <v>8548</v>
      </c>
      <c r="H183" t="s">
        <v>8549</v>
      </c>
      <c r="J183">
        <v>46049</v>
      </c>
      <c r="L183">
        <v>23056</v>
      </c>
      <c r="O183">
        <v>16</v>
      </c>
    </row>
    <row r="184" spans="1:17" x14ac:dyDescent="0.25">
      <c r="A184" t="s">
        <v>564</v>
      </c>
      <c r="B184" t="s">
        <v>28</v>
      </c>
      <c r="C184" t="s">
        <v>349</v>
      </c>
      <c r="D184" t="s">
        <v>59</v>
      </c>
      <c r="E184" t="s">
        <v>64</v>
      </c>
      <c r="F184" t="s">
        <v>470</v>
      </c>
      <c r="G184" t="s">
        <v>8540</v>
      </c>
      <c r="H184" t="s">
        <v>8541</v>
      </c>
      <c r="J184">
        <v>46049</v>
      </c>
      <c r="L184">
        <v>23056</v>
      </c>
      <c r="O184">
        <v>17</v>
      </c>
    </row>
    <row r="185" spans="1:17" x14ac:dyDescent="0.25">
      <c r="A185" t="s">
        <v>564</v>
      </c>
      <c r="B185" t="s">
        <v>28</v>
      </c>
      <c r="C185" t="s">
        <v>349</v>
      </c>
      <c r="D185" t="s">
        <v>59</v>
      </c>
      <c r="E185" t="s">
        <v>64</v>
      </c>
      <c r="F185" t="s">
        <v>8543</v>
      </c>
      <c r="G185" t="s">
        <v>8544</v>
      </c>
      <c r="H185" t="s">
        <v>8545</v>
      </c>
      <c r="J185">
        <v>46049</v>
      </c>
      <c r="L185">
        <v>23056</v>
      </c>
      <c r="O185">
        <v>18</v>
      </c>
    </row>
    <row r="186" spans="1:17" x14ac:dyDescent="0.25">
      <c r="A186" t="s">
        <v>564</v>
      </c>
      <c r="B186" t="s">
        <v>28</v>
      </c>
      <c r="C186" t="s">
        <v>349</v>
      </c>
      <c r="D186" t="s">
        <v>59</v>
      </c>
      <c r="E186" t="s">
        <v>68</v>
      </c>
      <c r="F186" t="s">
        <v>71</v>
      </c>
      <c r="G186" t="s">
        <v>8538</v>
      </c>
      <c r="H186" t="s">
        <v>8539</v>
      </c>
      <c r="J186">
        <v>46049</v>
      </c>
      <c r="L186">
        <v>23056</v>
      </c>
      <c r="O186">
        <v>19</v>
      </c>
    </row>
    <row r="187" spans="1:17" x14ac:dyDescent="0.25">
      <c r="A187" t="s">
        <v>564</v>
      </c>
      <c r="B187" t="s">
        <v>28</v>
      </c>
      <c r="C187" t="s">
        <v>349</v>
      </c>
      <c r="D187" t="s">
        <v>59</v>
      </c>
      <c r="E187" t="s">
        <v>72</v>
      </c>
      <c r="F187" t="s">
        <v>352</v>
      </c>
      <c r="G187" t="s">
        <v>1117</v>
      </c>
      <c r="H187" t="s">
        <v>8546</v>
      </c>
      <c r="J187">
        <v>46049</v>
      </c>
      <c r="L187">
        <v>23056</v>
      </c>
      <c r="O187">
        <v>20</v>
      </c>
      <c r="Q187">
        <v>8</v>
      </c>
    </row>
    <row r="188" spans="1:17" x14ac:dyDescent="0.25">
      <c r="A188" t="s">
        <v>564</v>
      </c>
      <c r="B188" t="s">
        <v>28</v>
      </c>
      <c r="C188" t="s">
        <v>349</v>
      </c>
      <c r="D188" t="s">
        <v>59</v>
      </c>
      <c r="E188" t="s">
        <v>64</v>
      </c>
      <c r="F188" t="s">
        <v>67</v>
      </c>
      <c r="G188" t="s">
        <v>709</v>
      </c>
      <c r="H188" t="s">
        <v>8534</v>
      </c>
      <c r="J188">
        <v>46049</v>
      </c>
      <c r="L188">
        <v>23056</v>
      </c>
      <c r="O188">
        <v>21</v>
      </c>
      <c r="Q188">
        <v>5</v>
      </c>
    </row>
    <row r="189" spans="1:17" x14ac:dyDescent="0.25">
      <c r="A189" t="s">
        <v>564</v>
      </c>
      <c r="B189" t="s">
        <v>28</v>
      </c>
      <c r="C189" t="s">
        <v>260</v>
      </c>
      <c r="D189" t="s">
        <v>76</v>
      </c>
      <c r="E189" t="s">
        <v>78</v>
      </c>
      <c r="F189" t="s">
        <v>78</v>
      </c>
      <c r="G189" t="s">
        <v>575</v>
      </c>
      <c r="H189" t="s">
        <v>8550</v>
      </c>
      <c r="I189">
        <v>0.35637907351269421</v>
      </c>
      <c r="J189">
        <v>337792</v>
      </c>
      <c r="K189">
        <v>1</v>
      </c>
      <c r="L189">
        <v>120382</v>
      </c>
      <c r="M189">
        <v>120382</v>
      </c>
      <c r="N189">
        <v>2.06E-2</v>
      </c>
      <c r="O189">
        <v>1</v>
      </c>
    </row>
    <row r="190" spans="1:17" x14ac:dyDescent="0.25">
      <c r="A190" t="s">
        <v>564</v>
      </c>
      <c r="B190" t="s">
        <v>28</v>
      </c>
      <c r="C190" t="s">
        <v>260</v>
      </c>
      <c r="D190" t="s">
        <v>76</v>
      </c>
      <c r="E190" t="s">
        <v>80</v>
      </c>
      <c r="F190" t="s">
        <v>78</v>
      </c>
      <c r="G190" t="s">
        <v>576</v>
      </c>
      <c r="H190" t="s">
        <v>8551</v>
      </c>
      <c r="I190">
        <v>0.1604034435392194</v>
      </c>
      <c r="J190">
        <v>337792</v>
      </c>
      <c r="K190">
        <v>0.45009220647605119</v>
      </c>
      <c r="L190">
        <v>120382</v>
      </c>
      <c r="M190">
        <v>54183</v>
      </c>
      <c r="N190">
        <v>1.54E-2</v>
      </c>
      <c r="O190">
        <v>2</v>
      </c>
      <c r="P190">
        <v>1</v>
      </c>
    </row>
    <row r="191" spans="1:17" x14ac:dyDescent="0.25">
      <c r="A191" t="s">
        <v>564</v>
      </c>
      <c r="B191" t="s">
        <v>28</v>
      </c>
      <c r="C191" t="s">
        <v>260</v>
      </c>
      <c r="D191" t="s">
        <v>76</v>
      </c>
      <c r="E191" t="s">
        <v>80</v>
      </c>
      <c r="F191" t="s">
        <v>8326</v>
      </c>
      <c r="G191" t="s">
        <v>8327</v>
      </c>
      <c r="H191" t="s">
        <v>8552</v>
      </c>
      <c r="I191">
        <v>0.1598853732474422</v>
      </c>
      <c r="J191">
        <v>337792</v>
      </c>
      <c r="K191">
        <v>0.44863850077254069</v>
      </c>
      <c r="L191">
        <v>120382</v>
      </c>
      <c r="M191">
        <v>54008</v>
      </c>
      <c r="N191">
        <v>1.54E-2</v>
      </c>
      <c r="O191">
        <v>3</v>
      </c>
    </row>
    <row r="192" spans="1:17" x14ac:dyDescent="0.25">
      <c r="A192" t="s">
        <v>564</v>
      </c>
      <c r="B192" t="s">
        <v>28</v>
      </c>
      <c r="C192" t="s">
        <v>260</v>
      </c>
      <c r="D192" t="s">
        <v>76</v>
      </c>
      <c r="E192" t="s">
        <v>79</v>
      </c>
      <c r="F192" t="s">
        <v>78</v>
      </c>
      <c r="G192" t="s">
        <v>577</v>
      </c>
      <c r="H192" t="s">
        <v>8553</v>
      </c>
      <c r="I192">
        <v>6.8941834028040924E-2</v>
      </c>
      <c r="J192">
        <v>337792</v>
      </c>
      <c r="K192">
        <v>0.1934508481334419</v>
      </c>
      <c r="L192">
        <v>120382</v>
      </c>
      <c r="M192">
        <v>23288</v>
      </c>
      <c r="N192">
        <v>5.1999999999999998E-3</v>
      </c>
      <c r="O192">
        <v>4</v>
      </c>
      <c r="P192">
        <v>4</v>
      </c>
    </row>
    <row r="193" spans="1:16" x14ac:dyDescent="0.25">
      <c r="A193" t="s">
        <v>564</v>
      </c>
      <c r="B193" t="s">
        <v>28</v>
      </c>
      <c r="C193" t="s">
        <v>260</v>
      </c>
      <c r="D193" t="s">
        <v>76</v>
      </c>
      <c r="E193" t="s">
        <v>82</v>
      </c>
      <c r="F193" t="s">
        <v>78</v>
      </c>
      <c r="G193" t="s">
        <v>579</v>
      </c>
      <c r="H193" t="s">
        <v>8555</v>
      </c>
      <c r="I193">
        <v>3.992989768851838E-2</v>
      </c>
      <c r="J193">
        <v>337792</v>
      </c>
      <c r="K193">
        <v>0.11204332873685439</v>
      </c>
      <c r="L193">
        <v>120382</v>
      </c>
      <c r="M193">
        <v>13488</v>
      </c>
      <c r="N193">
        <v>3.0099999999999998E-2</v>
      </c>
      <c r="O193">
        <v>5</v>
      </c>
      <c r="P193">
        <v>2</v>
      </c>
    </row>
    <row r="194" spans="1:16" x14ac:dyDescent="0.25">
      <c r="A194" t="s">
        <v>564</v>
      </c>
      <c r="B194" t="s">
        <v>28</v>
      </c>
      <c r="C194" t="s">
        <v>260</v>
      </c>
      <c r="D194" t="s">
        <v>76</v>
      </c>
      <c r="E194" t="s">
        <v>83</v>
      </c>
      <c r="F194" t="s">
        <v>78</v>
      </c>
      <c r="G194" t="s">
        <v>580</v>
      </c>
      <c r="H194" t="s">
        <v>8556</v>
      </c>
      <c r="I194">
        <v>3.3763381015536192E-2</v>
      </c>
      <c r="J194">
        <v>337792</v>
      </c>
      <c r="K194">
        <v>9.4740077420212329E-2</v>
      </c>
      <c r="L194">
        <v>120382</v>
      </c>
      <c r="M194">
        <v>11405</v>
      </c>
      <c r="N194">
        <v>0.1192</v>
      </c>
      <c r="O194">
        <v>6</v>
      </c>
      <c r="P194">
        <v>3</v>
      </c>
    </row>
    <row r="195" spans="1:16" x14ac:dyDescent="0.25">
      <c r="A195" t="s">
        <v>564</v>
      </c>
      <c r="B195" t="s">
        <v>28</v>
      </c>
      <c r="C195" t="s">
        <v>260</v>
      </c>
      <c r="D195" t="s">
        <v>76</v>
      </c>
      <c r="E195" t="s">
        <v>346</v>
      </c>
      <c r="F195" t="s">
        <v>78</v>
      </c>
      <c r="G195" t="s">
        <v>584</v>
      </c>
      <c r="H195" t="s">
        <v>8558</v>
      </c>
      <c r="I195">
        <v>2.8413935202728311E-2</v>
      </c>
      <c r="J195">
        <v>337792</v>
      </c>
      <c r="K195">
        <v>7.9729527670249711E-2</v>
      </c>
      <c r="L195">
        <v>120382</v>
      </c>
      <c r="M195">
        <v>9598</v>
      </c>
      <c r="N195">
        <v>8.2000000000000007E-3</v>
      </c>
      <c r="O195">
        <v>7</v>
      </c>
      <c r="P195">
        <v>6</v>
      </c>
    </row>
    <row r="196" spans="1:16" x14ac:dyDescent="0.25">
      <c r="A196" t="s">
        <v>564</v>
      </c>
      <c r="B196" t="s">
        <v>28</v>
      </c>
      <c r="C196" t="s">
        <v>260</v>
      </c>
      <c r="D196" t="s">
        <v>76</v>
      </c>
      <c r="E196" t="s">
        <v>77</v>
      </c>
      <c r="F196" t="s">
        <v>78</v>
      </c>
      <c r="G196" t="s">
        <v>581</v>
      </c>
      <c r="H196" t="s">
        <v>8554</v>
      </c>
      <c r="I196">
        <v>1.9121234369079199E-2</v>
      </c>
      <c r="J196">
        <v>337792</v>
      </c>
      <c r="K196">
        <v>5.3654200794138657E-2</v>
      </c>
      <c r="L196">
        <v>120382</v>
      </c>
      <c r="M196">
        <v>6459</v>
      </c>
      <c r="N196">
        <v>5.4699999999999999E-2</v>
      </c>
      <c r="O196">
        <v>8</v>
      </c>
      <c r="P196">
        <v>7</v>
      </c>
    </row>
    <row r="197" spans="1:16" x14ac:dyDescent="0.25">
      <c r="A197" t="s">
        <v>564</v>
      </c>
      <c r="B197" t="s">
        <v>28</v>
      </c>
      <c r="C197" t="s">
        <v>260</v>
      </c>
      <c r="D197" t="s">
        <v>76</v>
      </c>
      <c r="E197" t="s">
        <v>84</v>
      </c>
      <c r="F197" t="s">
        <v>78</v>
      </c>
      <c r="G197" t="s">
        <v>589</v>
      </c>
      <c r="H197" t="s">
        <v>8560</v>
      </c>
      <c r="I197">
        <v>1.730650814702539E-2</v>
      </c>
      <c r="J197">
        <v>337792</v>
      </c>
      <c r="K197">
        <v>4.8562077386984773E-2</v>
      </c>
      <c r="L197">
        <v>120382</v>
      </c>
      <c r="M197">
        <v>5846</v>
      </c>
      <c r="N197">
        <v>6.7900000000000002E-2</v>
      </c>
      <c r="O197">
        <v>9</v>
      </c>
    </row>
    <row r="198" spans="1:16" x14ac:dyDescent="0.25">
      <c r="A198" t="s">
        <v>564</v>
      </c>
      <c r="B198" t="s">
        <v>28</v>
      </c>
      <c r="C198" t="s">
        <v>260</v>
      </c>
      <c r="D198" t="s">
        <v>76</v>
      </c>
      <c r="E198" t="s">
        <v>81</v>
      </c>
      <c r="F198" t="s">
        <v>78</v>
      </c>
      <c r="G198" t="s">
        <v>578</v>
      </c>
      <c r="H198" t="s">
        <v>8557</v>
      </c>
      <c r="I198">
        <v>1.5965446191739299E-2</v>
      </c>
      <c r="J198">
        <v>337792</v>
      </c>
      <c r="K198">
        <v>4.4799056337326178E-2</v>
      </c>
      <c r="L198">
        <v>120382</v>
      </c>
      <c r="M198">
        <v>5393</v>
      </c>
      <c r="N198">
        <v>2.9499999999999998E-2</v>
      </c>
      <c r="O198">
        <v>10</v>
      </c>
      <c r="P198">
        <v>5</v>
      </c>
    </row>
    <row r="199" spans="1:16" x14ac:dyDescent="0.25">
      <c r="A199" t="s">
        <v>564</v>
      </c>
      <c r="B199" t="s">
        <v>28</v>
      </c>
      <c r="C199" t="s">
        <v>260</v>
      </c>
      <c r="D199" t="s">
        <v>76</v>
      </c>
      <c r="E199" t="s">
        <v>587</v>
      </c>
      <c r="F199" t="s">
        <v>78</v>
      </c>
      <c r="G199" t="s">
        <v>588</v>
      </c>
      <c r="H199" t="s">
        <v>8564</v>
      </c>
      <c r="I199">
        <v>1.4719117089806749E-2</v>
      </c>
      <c r="J199">
        <v>337792</v>
      </c>
      <c r="K199">
        <v>4.1301855759166652E-2</v>
      </c>
      <c r="L199">
        <v>120382</v>
      </c>
      <c r="M199">
        <v>4972</v>
      </c>
      <c r="O199">
        <v>11</v>
      </c>
    </row>
    <row r="200" spans="1:16" x14ac:dyDescent="0.25">
      <c r="A200" t="s">
        <v>564</v>
      </c>
      <c r="B200" t="s">
        <v>28</v>
      </c>
      <c r="C200" t="s">
        <v>260</v>
      </c>
      <c r="D200" t="s">
        <v>76</v>
      </c>
      <c r="E200" t="s">
        <v>592</v>
      </c>
      <c r="F200" t="s">
        <v>78</v>
      </c>
      <c r="G200" t="s">
        <v>593</v>
      </c>
      <c r="H200" t="s">
        <v>8561</v>
      </c>
      <c r="I200">
        <v>1.0180821333838569E-2</v>
      </c>
      <c r="J200">
        <v>337792</v>
      </c>
      <c r="K200">
        <v>2.856739379641475E-2</v>
      </c>
      <c r="L200">
        <v>120382</v>
      </c>
      <c r="M200">
        <v>3439</v>
      </c>
      <c r="N200">
        <v>1.4200000000000001E-2</v>
      </c>
      <c r="O200">
        <v>12</v>
      </c>
    </row>
    <row r="201" spans="1:16" x14ac:dyDescent="0.25">
      <c r="A201" t="s">
        <v>564</v>
      </c>
      <c r="B201" t="s">
        <v>28</v>
      </c>
      <c r="C201" t="s">
        <v>260</v>
      </c>
      <c r="D201" t="s">
        <v>76</v>
      </c>
      <c r="E201" t="s">
        <v>81</v>
      </c>
      <c r="F201" t="s">
        <v>590</v>
      </c>
      <c r="G201" t="s">
        <v>591</v>
      </c>
      <c r="H201" t="s">
        <v>8562</v>
      </c>
      <c r="I201">
        <v>9.5028893520272828E-3</v>
      </c>
      <c r="J201">
        <v>337792</v>
      </c>
      <c r="K201">
        <v>2.6665116047249589E-2</v>
      </c>
      <c r="L201">
        <v>120382</v>
      </c>
      <c r="M201">
        <v>3210</v>
      </c>
      <c r="N201">
        <v>4.3900000000000002E-2</v>
      </c>
      <c r="O201">
        <v>13</v>
      </c>
    </row>
    <row r="202" spans="1:16" x14ac:dyDescent="0.25">
      <c r="A202" t="s">
        <v>564</v>
      </c>
      <c r="B202" t="s">
        <v>28</v>
      </c>
      <c r="C202" t="s">
        <v>260</v>
      </c>
      <c r="D202" t="s">
        <v>76</v>
      </c>
      <c r="E202" t="s">
        <v>598</v>
      </c>
      <c r="F202" t="s">
        <v>78</v>
      </c>
      <c r="G202" t="s">
        <v>599</v>
      </c>
      <c r="H202" t="s">
        <v>8577</v>
      </c>
      <c r="I202">
        <v>6.1073086396362256E-3</v>
      </c>
      <c r="J202">
        <v>337792</v>
      </c>
      <c r="K202">
        <v>1.713711352195511E-2</v>
      </c>
      <c r="L202">
        <v>120382</v>
      </c>
      <c r="M202">
        <v>2063</v>
      </c>
      <c r="N202">
        <v>6.7999999999999996E-3</v>
      </c>
      <c r="O202">
        <v>14</v>
      </c>
    </row>
    <row r="203" spans="1:16" x14ac:dyDescent="0.25">
      <c r="A203" t="s">
        <v>564</v>
      </c>
      <c r="B203" t="s">
        <v>28</v>
      </c>
      <c r="C203" t="s">
        <v>260</v>
      </c>
      <c r="D203" t="s">
        <v>76</v>
      </c>
      <c r="E203" t="s">
        <v>81</v>
      </c>
      <c r="F203" t="s">
        <v>585</v>
      </c>
      <c r="G203" t="s">
        <v>586</v>
      </c>
      <c r="H203" t="s">
        <v>8559</v>
      </c>
      <c r="I203">
        <v>5.2043861311102694E-3</v>
      </c>
      <c r="J203">
        <v>337792</v>
      </c>
      <c r="K203">
        <v>1.460351215297968E-2</v>
      </c>
      <c r="L203">
        <v>120382</v>
      </c>
      <c r="M203">
        <v>1758</v>
      </c>
      <c r="N203">
        <v>5.1000000000000004E-3</v>
      </c>
      <c r="O203">
        <v>15</v>
      </c>
    </row>
    <row r="204" spans="1:16" x14ac:dyDescent="0.25">
      <c r="A204" t="s">
        <v>564</v>
      </c>
      <c r="B204" t="s">
        <v>28</v>
      </c>
      <c r="C204" t="s">
        <v>260</v>
      </c>
      <c r="D204" t="s">
        <v>76</v>
      </c>
      <c r="E204" t="s">
        <v>592</v>
      </c>
      <c r="F204" t="s">
        <v>803</v>
      </c>
      <c r="G204" t="s">
        <v>804</v>
      </c>
      <c r="H204" t="s">
        <v>8574</v>
      </c>
      <c r="I204">
        <v>5.0622868510799548E-3</v>
      </c>
      <c r="J204">
        <v>337792</v>
      </c>
      <c r="K204">
        <v>1.4204781445731091E-2</v>
      </c>
      <c r="L204">
        <v>120382</v>
      </c>
      <c r="M204">
        <v>1710</v>
      </c>
      <c r="N204">
        <v>1.34E-2</v>
      </c>
      <c r="O204">
        <v>16</v>
      </c>
    </row>
    <row r="205" spans="1:16" x14ac:dyDescent="0.25">
      <c r="A205" t="s">
        <v>564</v>
      </c>
      <c r="B205" t="s">
        <v>28</v>
      </c>
      <c r="C205" t="s">
        <v>260</v>
      </c>
      <c r="D205" t="s">
        <v>76</v>
      </c>
      <c r="E205" t="s">
        <v>610</v>
      </c>
      <c r="F205" t="s">
        <v>78</v>
      </c>
      <c r="G205" t="s">
        <v>611</v>
      </c>
      <c r="H205" t="s">
        <v>8571</v>
      </c>
      <c r="I205">
        <v>4.828415119363395E-3</v>
      </c>
      <c r="J205">
        <v>337792</v>
      </c>
      <c r="K205">
        <v>1.354853715671778E-2</v>
      </c>
      <c r="L205">
        <v>120382</v>
      </c>
      <c r="M205">
        <v>1631</v>
      </c>
      <c r="N205">
        <v>7.7799999999999994E-2</v>
      </c>
      <c r="O205">
        <v>17</v>
      </c>
    </row>
    <row r="206" spans="1:16" x14ac:dyDescent="0.25">
      <c r="A206" t="s">
        <v>564</v>
      </c>
      <c r="B206" t="s">
        <v>28</v>
      </c>
      <c r="C206" t="s">
        <v>260</v>
      </c>
      <c r="D206" t="s">
        <v>76</v>
      </c>
      <c r="E206" t="s">
        <v>8368</v>
      </c>
      <c r="F206" t="s">
        <v>78</v>
      </c>
      <c r="G206" t="s">
        <v>8369</v>
      </c>
      <c r="H206" t="s">
        <v>8583</v>
      </c>
      <c r="I206">
        <v>4.4317212959454344E-3</v>
      </c>
      <c r="J206">
        <v>337792</v>
      </c>
      <c r="K206">
        <v>1.243541393231546E-2</v>
      </c>
      <c r="L206">
        <v>120382</v>
      </c>
      <c r="M206">
        <v>1497</v>
      </c>
      <c r="N206">
        <v>1.2E-2</v>
      </c>
      <c r="O206">
        <v>18</v>
      </c>
    </row>
    <row r="207" spans="1:16" x14ac:dyDescent="0.25">
      <c r="A207" t="s">
        <v>564</v>
      </c>
      <c r="B207" t="s">
        <v>28</v>
      </c>
      <c r="C207" t="s">
        <v>260</v>
      </c>
      <c r="D207" t="s">
        <v>76</v>
      </c>
      <c r="E207" t="s">
        <v>600</v>
      </c>
      <c r="F207" t="s">
        <v>78</v>
      </c>
      <c r="G207" t="s">
        <v>601</v>
      </c>
      <c r="H207" t="s">
        <v>8567</v>
      </c>
      <c r="I207">
        <v>4.402117279272452E-3</v>
      </c>
      <c r="J207">
        <v>337792</v>
      </c>
      <c r="K207">
        <v>1.235234503497201E-2</v>
      </c>
      <c r="L207">
        <v>120382</v>
      </c>
      <c r="M207">
        <v>1487</v>
      </c>
      <c r="N207">
        <v>2.35E-2</v>
      </c>
      <c r="O207">
        <v>19</v>
      </c>
    </row>
    <row r="208" spans="1:16" x14ac:dyDescent="0.25">
      <c r="A208" t="s">
        <v>564</v>
      </c>
      <c r="B208" t="s">
        <v>28</v>
      </c>
      <c r="C208" t="s">
        <v>260</v>
      </c>
      <c r="D208" t="s">
        <v>76</v>
      </c>
      <c r="E208" t="s">
        <v>602</v>
      </c>
      <c r="F208" t="s">
        <v>78</v>
      </c>
      <c r="G208" t="s">
        <v>603</v>
      </c>
      <c r="H208" t="s">
        <v>8573</v>
      </c>
      <c r="I208">
        <v>4.3873152709359596E-3</v>
      </c>
      <c r="J208">
        <v>337792</v>
      </c>
      <c r="K208">
        <v>1.2310810586300279E-2</v>
      </c>
      <c r="L208">
        <v>120382</v>
      </c>
      <c r="M208">
        <v>1482</v>
      </c>
      <c r="N208">
        <v>2.76E-2</v>
      </c>
      <c r="O208">
        <v>20</v>
      </c>
    </row>
    <row r="209" spans="1:15" x14ac:dyDescent="0.25">
      <c r="A209" t="s">
        <v>564</v>
      </c>
      <c r="B209" t="s">
        <v>28</v>
      </c>
      <c r="C209" t="s">
        <v>260</v>
      </c>
      <c r="D209" t="s">
        <v>76</v>
      </c>
      <c r="E209" t="s">
        <v>618</v>
      </c>
      <c r="F209" t="s">
        <v>78</v>
      </c>
      <c r="G209" t="s">
        <v>619</v>
      </c>
      <c r="H209" t="s">
        <v>8578</v>
      </c>
      <c r="I209">
        <v>3.499194770746495E-3</v>
      </c>
      <c r="J209">
        <v>337792</v>
      </c>
      <c r="K209">
        <v>9.8187436659965769E-3</v>
      </c>
      <c r="L209">
        <v>120382</v>
      </c>
      <c r="M209">
        <v>1182</v>
      </c>
      <c r="N209">
        <v>2.6200000000000001E-2</v>
      </c>
      <c r="O209">
        <v>21</v>
      </c>
    </row>
    <row r="210" spans="1:15" x14ac:dyDescent="0.25">
      <c r="A210" t="s">
        <v>564</v>
      </c>
      <c r="B210" t="s">
        <v>28</v>
      </c>
      <c r="C210" t="s">
        <v>260</v>
      </c>
      <c r="D210" t="s">
        <v>76</v>
      </c>
      <c r="E210" t="s">
        <v>606</v>
      </c>
      <c r="F210" t="s">
        <v>78</v>
      </c>
      <c r="G210" t="s">
        <v>607</v>
      </c>
      <c r="H210" t="s">
        <v>8563</v>
      </c>
      <c r="I210">
        <v>3.1735505873436909E-3</v>
      </c>
      <c r="J210">
        <v>337792</v>
      </c>
      <c r="K210">
        <v>8.9049857952185549E-3</v>
      </c>
      <c r="L210">
        <v>120382</v>
      </c>
      <c r="M210">
        <v>1072</v>
      </c>
      <c r="N210">
        <v>1.77E-2</v>
      </c>
      <c r="O210">
        <v>22</v>
      </c>
    </row>
    <row r="211" spans="1:15" x14ac:dyDescent="0.25">
      <c r="A211" t="s">
        <v>564</v>
      </c>
      <c r="B211" t="s">
        <v>28</v>
      </c>
      <c r="C211" t="s">
        <v>260</v>
      </c>
      <c r="D211" t="s">
        <v>76</v>
      </c>
      <c r="E211" t="s">
        <v>592</v>
      </c>
      <c r="F211" t="s">
        <v>811</v>
      </c>
      <c r="G211" t="s">
        <v>812</v>
      </c>
      <c r="H211" t="s">
        <v>8575</v>
      </c>
      <c r="I211">
        <v>3.1054613489958321E-3</v>
      </c>
      <c r="J211">
        <v>337792</v>
      </c>
      <c r="K211">
        <v>8.7139273313286032E-3</v>
      </c>
      <c r="L211">
        <v>120382</v>
      </c>
      <c r="M211">
        <v>1049</v>
      </c>
      <c r="N211">
        <v>2.3800000000000002E-2</v>
      </c>
      <c r="O211">
        <v>23</v>
      </c>
    </row>
    <row r="212" spans="1:15" x14ac:dyDescent="0.25">
      <c r="A212" t="s">
        <v>564</v>
      </c>
      <c r="B212" t="s">
        <v>28</v>
      </c>
      <c r="C212" t="s">
        <v>260</v>
      </c>
      <c r="D212" t="s">
        <v>76</v>
      </c>
      <c r="E212" t="s">
        <v>602</v>
      </c>
      <c r="F212" t="s">
        <v>616</v>
      </c>
      <c r="G212" t="s">
        <v>617</v>
      </c>
      <c r="H212" t="s">
        <v>8580</v>
      </c>
      <c r="I212">
        <v>3.0847385373247438E-3</v>
      </c>
      <c r="J212">
        <v>337792</v>
      </c>
      <c r="K212">
        <v>8.6557791031881843E-3</v>
      </c>
      <c r="L212">
        <v>120382</v>
      </c>
      <c r="M212">
        <v>1042</v>
      </c>
      <c r="N212">
        <v>2.6800000000000001E-2</v>
      </c>
      <c r="O212">
        <v>24</v>
      </c>
    </row>
    <row r="213" spans="1:15" x14ac:dyDescent="0.25">
      <c r="A213" t="s">
        <v>564</v>
      </c>
      <c r="B213" t="s">
        <v>28</v>
      </c>
      <c r="C213" t="s">
        <v>260</v>
      </c>
      <c r="D213" t="s">
        <v>76</v>
      </c>
      <c r="E213" t="s">
        <v>600</v>
      </c>
      <c r="F213" t="s">
        <v>614</v>
      </c>
      <c r="G213" t="s">
        <v>615</v>
      </c>
      <c r="H213" t="s">
        <v>8568</v>
      </c>
      <c r="I213">
        <v>2.9337580522925352E-3</v>
      </c>
      <c r="J213">
        <v>337792</v>
      </c>
      <c r="K213">
        <v>8.2321277267365552E-3</v>
      </c>
      <c r="L213">
        <v>120382</v>
      </c>
      <c r="M213">
        <v>991</v>
      </c>
      <c r="N213">
        <v>1.41E-2</v>
      </c>
      <c r="O213">
        <v>25</v>
      </c>
    </row>
    <row r="214" spans="1:15" x14ac:dyDescent="0.25">
      <c r="A214" t="s">
        <v>564</v>
      </c>
      <c r="B214" t="s">
        <v>28</v>
      </c>
      <c r="C214" t="s">
        <v>260</v>
      </c>
      <c r="D214" t="s">
        <v>76</v>
      </c>
      <c r="E214" t="s">
        <v>608</v>
      </c>
      <c r="F214" t="s">
        <v>78</v>
      </c>
      <c r="G214" t="s">
        <v>609</v>
      </c>
      <c r="H214" t="s">
        <v>8569</v>
      </c>
      <c r="I214">
        <v>2.8893520272830621E-3</v>
      </c>
      <c r="J214">
        <v>337792</v>
      </c>
      <c r="K214">
        <v>8.1075243807213707E-3</v>
      </c>
      <c r="L214">
        <v>120382</v>
      </c>
      <c r="M214">
        <v>976</v>
      </c>
      <c r="N214">
        <v>0.12379999999999999</v>
      </c>
      <c r="O214">
        <v>26</v>
      </c>
    </row>
    <row r="215" spans="1:15" x14ac:dyDescent="0.25">
      <c r="A215" t="s">
        <v>564</v>
      </c>
      <c r="B215" t="s">
        <v>28</v>
      </c>
      <c r="C215" t="s">
        <v>260</v>
      </c>
      <c r="D215" t="s">
        <v>76</v>
      </c>
      <c r="E215" t="s">
        <v>594</v>
      </c>
      <c r="F215" t="s">
        <v>78</v>
      </c>
      <c r="G215" t="s">
        <v>595</v>
      </c>
      <c r="H215" t="s">
        <v>8584</v>
      </c>
      <c r="I215">
        <v>2.6969259189086781E-3</v>
      </c>
      <c r="J215">
        <v>337792</v>
      </c>
      <c r="K215">
        <v>7.567576547988902E-3</v>
      </c>
      <c r="L215">
        <v>120382</v>
      </c>
      <c r="M215">
        <v>911</v>
      </c>
      <c r="N215">
        <v>8.8000000000000005E-3</v>
      </c>
      <c r="O215">
        <v>27</v>
      </c>
    </row>
    <row r="216" spans="1:15" x14ac:dyDescent="0.25">
      <c r="A216" t="s">
        <v>564</v>
      </c>
      <c r="B216" t="s">
        <v>28</v>
      </c>
      <c r="C216" t="s">
        <v>260</v>
      </c>
      <c r="D216" t="s">
        <v>76</v>
      </c>
      <c r="E216" t="s">
        <v>592</v>
      </c>
      <c r="F216" t="s">
        <v>624</v>
      </c>
      <c r="G216" t="s">
        <v>625</v>
      </c>
      <c r="H216" t="s">
        <v>8566</v>
      </c>
      <c r="I216">
        <v>2.2291824554755589E-3</v>
      </c>
      <c r="J216">
        <v>337792</v>
      </c>
      <c r="K216">
        <v>6.255087969962287E-3</v>
      </c>
      <c r="L216">
        <v>120382</v>
      </c>
      <c r="M216">
        <v>753</v>
      </c>
      <c r="N216">
        <v>4.0000000000000001E-3</v>
      </c>
      <c r="O216">
        <v>28</v>
      </c>
    </row>
    <row r="217" spans="1:15" x14ac:dyDescent="0.25">
      <c r="A217" t="s">
        <v>564</v>
      </c>
      <c r="B217" t="s">
        <v>28</v>
      </c>
      <c r="C217" t="s">
        <v>260</v>
      </c>
      <c r="D217" t="s">
        <v>76</v>
      </c>
      <c r="E217" t="s">
        <v>620</v>
      </c>
      <c r="F217" t="s">
        <v>78</v>
      </c>
      <c r="G217" t="s">
        <v>621</v>
      </c>
      <c r="H217" t="s">
        <v>8579</v>
      </c>
      <c r="I217">
        <v>2.169974422129595E-3</v>
      </c>
      <c r="J217">
        <v>337792</v>
      </c>
      <c r="K217">
        <v>6.0889501752753733E-3</v>
      </c>
      <c r="L217">
        <v>120382</v>
      </c>
      <c r="M217">
        <v>733</v>
      </c>
      <c r="N217">
        <v>0.06</v>
      </c>
      <c r="O217">
        <v>29</v>
      </c>
    </row>
    <row r="218" spans="1:15" x14ac:dyDescent="0.25">
      <c r="A218" t="s">
        <v>564</v>
      </c>
      <c r="B218" t="s">
        <v>28</v>
      </c>
      <c r="C218" t="s">
        <v>260</v>
      </c>
      <c r="D218" t="s">
        <v>76</v>
      </c>
      <c r="E218" t="s">
        <v>626</v>
      </c>
      <c r="F218" t="s">
        <v>78</v>
      </c>
      <c r="G218" t="s">
        <v>627</v>
      </c>
      <c r="H218" t="s">
        <v>8586</v>
      </c>
      <c r="I218">
        <v>1.974587912087912E-3</v>
      </c>
      <c r="J218">
        <v>337792</v>
      </c>
      <c r="K218">
        <v>5.5406954528085597E-3</v>
      </c>
      <c r="L218">
        <v>120382</v>
      </c>
      <c r="M218">
        <v>667</v>
      </c>
      <c r="N218">
        <v>2.24E-2</v>
      </c>
      <c r="O218">
        <v>30</v>
      </c>
    </row>
    <row r="219" spans="1:15" x14ac:dyDescent="0.25">
      <c r="A219" t="s">
        <v>564</v>
      </c>
      <c r="B219" t="s">
        <v>28</v>
      </c>
      <c r="C219" t="s">
        <v>260</v>
      </c>
      <c r="D219" t="s">
        <v>76</v>
      </c>
      <c r="E219" t="s">
        <v>630</v>
      </c>
      <c r="F219" t="s">
        <v>78</v>
      </c>
      <c r="G219" t="s">
        <v>631</v>
      </c>
      <c r="H219" t="s">
        <v>8565</v>
      </c>
      <c r="I219">
        <v>1.791043008715422E-3</v>
      </c>
      <c r="J219">
        <v>337792</v>
      </c>
      <c r="K219">
        <v>5.0256682892791281E-3</v>
      </c>
      <c r="L219">
        <v>120382</v>
      </c>
      <c r="M219">
        <v>605</v>
      </c>
      <c r="O219">
        <v>31</v>
      </c>
    </row>
    <row r="220" spans="1:15" x14ac:dyDescent="0.25">
      <c r="A220" t="s">
        <v>564</v>
      </c>
      <c r="B220" t="s">
        <v>28</v>
      </c>
      <c r="C220" t="s">
        <v>260</v>
      </c>
      <c r="D220" t="s">
        <v>76</v>
      </c>
      <c r="E220" t="s">
        <v>600</v>
      </c>
      <c r="F220" t="s">
        <v>612</v>
      </c>
      <c r="G220" t="s">
        <v>613</v>
      </c>
      <c r="H220" t="s">
        <v>8587</v>
      </c>
      <c r="I220">
        <v>1.5305276619931791E-3</v>
      </c>
      <c r="J220">
        <v>337792</v>
      </c>
      <c r="K220">
        <v>4.2946619926567094E-3</v>
      </c>
      <c r="L220">
        <v>120382</v>
      </c>
      <c r="M220">
        <v>517</v>
      </c>
      <c r="N220">
        <v>4.0599999999999997E-2</v>
      </c>
      <c r="O220">
        <v>32</v>
      </c>
    </row>
    <row r="221" spans="1:15" x14ac:dyDescent="0.25">
      <c r="A221" t="s">
        <v>564</v>
      </c>
      <c r="B221" t="s">
        <v>28</v>
      </c>
      <c r="C221" t="s">
        <v>260</v>
      </c>
      <c r="D221" t="s">
        <v>76</v>
      </c>
      <c r="E221" t="s">
        <v>642</v>
      </c>
      <c r="F221" t="s">
        <v>78</v>
      </c>
      <c r="G221" t="s">
        <v>643</v>
      </c>
      <c r="H221" t="s">
        <v>8589</v>
      </c>
      <c r="I221">
        <v>1.4920424403183021E-3</v>
      </c>
      <c r="J221">
        <v>337792</v>
      </c>
      <c r="K221">
        <v>4.1866724261102146E-3</v>
      </c>
      <c r="L221">
        <v>120382</v>
      </c>
      <c r="M221">
        <v>504</v>
      </c>
      <c r="O221">
        <v>33</v>
      </c>
    </row>
    <row r="222" spans="1:15" x14ac:dyDescent="0.25">
      <c r="A222" t="s">
        <v>564</v>
      </c>
      <c r="B222" t="s">
        <v>28</v>
      </c>
      <c r="C222" t="s">
        <v>260</v>
      </c>
      <c r="D222" t="s">
        <v>76</v>
      </c>
      <c r="E222" t="s">
        <v>81</v>
      </c>
      <c r="F222" t="s">
        <v>582</v>
      </c>
      <c r="G222" t="s">
        <v>583</v>
      </c>
      <c r="H222" t="s">
        <v>8570</v>
      </c>
      <c r="I222">
        <v>1.1989626752557791E-3</v>
      </c>
      <c r="J222">
        <v>337792</v>
      </c>
      <c r="K222">
        <v>3.3642903424099951E-3</v>
      </c>
      <c r="L222">
        <v>120382</v>
      </c>
      <c r="M222">
        <v>405</v>
      </c>
      <c r="N222">
        <v>1.9699999999999999E-2</v>
      </c>
      <c r="O222">
        <v>34</v>
      </c>
    </row>
    <row r="223" spans="1:15" x14ac:dyDescent="0.25">
      <c r="A223" t="s">
        <v>564</v>
      </c>
      <c r="B223" t="s">
        <v>28</v>
      </c>
      <c r="C223" t="s">
        <v>260</v>
      </c>
      <c r="D223" t="s">
        <v>76</v>
      </c>
      <c r="E223" t="s">
        <v>636</v>
      </c>
      <c r="F223" t="s">
        <v>78</v>
      </c>
      <c r="G223" t="s">
        <v>637</v>
      </c>
      <c r="H223" t="s">
        <v>8596</v>
      </c>
      <c r="I223">
        <v>1.1782398635846909E-3</v>
      </c>
      <c r="J223">
        <v>337792</v>
      </c>
      <c r="K223">
        <v>3.3061421142695749E-3</v>
      </c>
      <c r="L223">
        <v>120382</v>
      </c>
      <c r="M223">
        <v>398</v>
      </c>
      <c r="N223">
        <v>2.5100000000000001E-2</v>
      </c>
      <c r="O223">
        <v>35</v>
      </c>
    </row>
    <row r="224" spans="1:15" x14ac:dyDescent="0.25">
      <c r="A224" t="s">
        <v>564</v>
      </c>
      <c r="B224" t="s">
        <v>28</v>
      </c>
      <c r="C224" t="s">
        <v>260</v>
      </c>
      <c r="D224" t="s">
        <v>76</v>
      </c>
      <c r="E224" t="s">
        <v>80</v>
      </c>
      <c r="F224" t="s">
        <v>8354</v>
      </c>
      <c r="G224" t="s">
        <v>8355</v>
      </c>
      <c r="H224" t="s">
        <v>8582</v>
      </c>
      <c r="I224">
        <v>1.1190318302387271E-3</v>
      </c>
      <c r="J224">
        <v>337792</v>
      </c>
      <c r="K224">
        <v>3.140004319582662E-3</v>
      </c>
      <c r="L224">
        <v>120382</v>
      </c>
      <c r="M224">
        <v>378</v>
      </c>
      <c r="N224">
        <v>2.1100000000000001E-2</v>
      </c>
      <c r="O224">
        <v>36</v>
      </c>
    </row>
    <row r="225" spans="1:15" x14ac:dyDescent="0.25">
      <c r="A225" t="s">
        <v>564</v>
      </c>
      <c r="B225" t="s">
        <v>28</v>
      </c>
      <c r="C225" t="s">
        <v>260</v>
      </c>
      <c r="D225" t="s">
        <v>76</v>
      </c>
      <c r="E225" t="s">
        <v>632</v>
      </c>
      <c r="F225" t="s">
        <v>78</v>
      </c>
      <c r="G225" t="s">
        <v>633</v>
      </c>
      <c r="H225" t="s">
        <v>8572</v>
      </c>
      <c r="I225">
        <v>9.3548692686623721E-4</v>
      </c>
      <c r="J225">
        <v>337792</v>
      </c>
      <c r="K225">
        <v>2.6249771560532299E-3</v>
      </c>
      <c r="L225">
        <v>120382</v>
      </c>
      <c r="M225">
        <v>316</v>
      </c>
      <c r="O225">
        <v>37</v>
      </c>
    </row>
    <row r="226" spans="1:15" x14ac:dyDescent="0.25">
      <c r="A226" t="s">
        <v>564</v>
      </c>
      <c r="B226" t="s">
        <v>28</v>
      </c>
      <c r="C226" t="s">
        <v>260</v>
      </c>
      <c r="D226" t="s">
        <v>76</v>
      </c>
      <c r="E226" t="s">
        <v>602</v>
      </c>
      <c r="F226" t="s">
        <v>628</v>
      </c>
      <c r="G226" t="s">
        <v>629</v>
      </c>
      <c r="H226" t="s">
        <v>8593</v>
      </c>
      <c r="I226">
        <v>7.8154604016672979E-4</v>
      </c>
      <c r="J226">
        <v>337792</v>
      </c>
      <c r="K226">
        <v>2.193018889867256E-3</v>
      </c>
      <c r="L226">
        <v>120382</v>
      </c>
      <c r="M226">
        <v>264</v>
      </c>
      <c r="N226">
        <v>5.6599999999999998E-2</v>
      </c>
      <c r="O226">
        <v>38</v>
      </c>
    </row>
    <row r="227" spans="1:15" x14ac:dyDescent="0.25">
      <c r="A227" t="s">
        <v>564</v>
      </c>
      <c r="B227" t="s">
        <v>28</v>
      </c>
      <c r="C227" t="s">
        <v>260</v>
      </c>
      <c r="D227" t="s">
        <v>76</v>
      </c>
      <c r="E227" t="s">
        <v>644</v>
      </c>
      <c r="F227" t="s">
        <v>78</v>
      </c>
      <c r="G227" t="s">
        <v>645</v>
      </c>
      <c r="H227" t="s">
        <v>8594</v>
      </c>
      <c r="I227">
        <v>7.3714001515725659E-4</v>
      </c>
      <c r="J227">
        <v>337792</v>
      </c>
      <c r="K227">
        <v>2.0684155438520711E-3</v>
      </c>
      <c r="L227">
        <v>120382</v>
      </c>
      <c r="M227">
        <v>249</v>
      </c>
      <c r="N227">
        <v>2.8000000000000001E-2</v>
      </c>
      <c r="O227">
        <v>39</v>
      </c>
    </row>
    <row r="228" spans="1:15" x14ac:dyDescent="0.25">
      <c r="A228" t="s">
        <v>564</v>
      </c>
      <c r="B228" t="s">
        <v>28</v>
      </c>
      <c r="C228" t="s">
        <v>260</v>
      </c>
      <c r="D228" t="s">
        <v>76</v>
      </c>
      <c r="E228" t="s">
        <v>602</v>
      </c>
      <c r="F228" t="s">
        <v>640</v>
      </c>
      <c r="G228" t="s">
        <v>641</v>
      </c>
      <c r="H228" t="s">
        <v>8590</v>
      </c>
      <c r="I228">
        <v>6.6016957180750288E-4</v>
      </c>
      <c r="J228">
        <v>337792</v>
      </c>
      <c r="K228">
        <v>1.8524364107590831E-3</v>
      </c>
      <c r="L228">
        <v>120382</v>
      </c>
      <c r="M228">
        <v>223</v>
      </c>
      <c r="O228">
        <v>40</v>
      </c>
    </row>
    <row r="229" spans="1:15" x14ac:dyDescent="0.25">
      <c r="A229" t="s">
        <v>564</v>
      </c>
      <c r="B229" t="s">
        <v>28</v>
      </c>
      <c r="C229" t="s">
        <v>260</v>
      </c>
      <c r="D229" t="s">
        <v>76</v>
      </c>
      <c r="E229" t="s">
        <v>634</v>
      </c>
      <c r="F229" t="s">
        <v>78</v>
      </c>
      <c r="G229" t="s">
        <v>635</v>
      </c>
      <c r="H229" t="s">
        <v>8576</v>
      </c>
      <c r="I229">
        <v>5.4471390678287226E-4</v>
      </c>
      <c r="J229">
        <v>337792</v>
      </c>
      <c r="K229">
        <v>1.528467711119603E-3</v>
      </c>
      <c r="L229">
        <v>120382</v>
      </c>
      <c r="M229">
        <v>184</v>
      </c>
      <c r="N229">
        <v>4.3499999999999997E-2</v>
      </c>
      <c r="O229">
        <v>41</v>
      </c>
    </row>
    <row r="230" spans="1:15" x14ac:dyDescent="0.25">
      <c r="A230" t="s">
        <v>564</v>
      </c>
      <c r="B230" t="s">
        <v>28</v>
      </c>
      <c r="C230" t="s">
        <v>260</v>
      </c>
      <c r="D230" t="s">
        <v>76</v>
      </c>
      <c r="E230" t="s">
        <v>634</v>
      </c>
      <c r="F230" t="s">
        <v>638</v>
      </c>
      <c r="G230" t="s">
        <v>639</v>
      </c>
      <c r="H230" t="s">
        <v>8588</v>
      </c>
      <c r="I230">
        <v>5.2695149677908304E-4</v>
      </c>
      <c r="J230">
        <v>337792</v>
      </c>
      <c r="K230">
        <v>1.4786263727135289E-3</v>
      </c>
      <c r="L230">
        <v>120382</v>
      </c>
      <c r="M230">
        <v>178</v>
      </c>
      <c r="N230">
        <v>4.4699999999999997E-2</v>
      </c>
      <c r="O230">
        <v>42</v>
      </c>
    </row>
    <row r="231" spans="1:15" x14ac:dyDescent="0.25">
      <c r="A231" t="s">
        <v>564</v>
      </c>
      <c r="B231" t="s">
        <v>28</v>
      </c>
      <c r="C231" t="s">
        <v>260</v>
      </c>
      <c r="D231" t="s">
        <v>76</v>
      </c>
      <c r="E231" t="s">
        <v>81</v>
      </c>
      <c r="F231" t="s">
        <v>622</v>
      </c>
      <c r="G231" t="s">
        <v>623</v>
      </c>
      <c r="H231" t="s">
        <v>8585</v>
      </c>
      <c r="I231">
        <v>4.7958507010231153E-4</v>
      </c>
      <c r="J231">
        <v>337792</v>
      </c>
      <c r="K231">
        <v>1.3457161369639979E-3</v>
      </c>
      <c r="L231">
        <v>120382</v>
      </c>
      <c r="M231">
        <v>162</v>
      </c>
      <c r="N231">
        <v>6.1000000000000004E-3</v>
      </c>
      <c r="O231">
        <v>43</v>
      </c>
    </row>
    <row r="232" spans="1:15" x14ac:dyDescent="0.25">
      <c r="A232" t="s">
        <v>564</v>
      </c>
      <c r="B232" t="s">
        <v>28</v>
      </c>
      <c r="C232" t="s">
        <v>260</v>
      </c>
      <c r="D232" t="s">
        <v>76</v>
      </c>
      <c r="E232" t="s">
        <v>80</v>
      </c>
      <c r="F232" t="s">
        <v>8371</v>
      </c>
      <c r="G232" t="s">
        <v>8372</v>
      </c>
      <c r="H232" t="s">
        <v>8599</v>
      </c>
      <c r="I232">
        <v>3.9965422508525961E-4</v>
      </c>
      <c r="J232">
        <v>337792</v>
      </c>
      <c r="K232">
        <v>1.121430114136665E-3</v>
      </c>
      <c r="L232">
        <v>120382</v>
      </c>
      <c r="M232">
        <v>135</v>
      </c>
      <c r="N232">
        <v>3.6799999999999999E-2</v>
      </c>
      <c r="O232">
        <v>44</v>
      </c>
    </row>
    <row r="233" spans="1:15" x14ac:dyDescent="0.25">
      <c r="A233" t="s">
        <v>564</v>
      </c>
      <c r="B233" t="s">
        <v>28</v>
      </c>
      <c r="C233" t="s">
        <v>260</v>
      </c>
      <c r="D233" t="s">
        <v>76</v>
      </c>
      <c r="E233" t="s">
        <v>602</v>
      </c>
      <c r="F233" t="s">
        <v>648</v>
      </c>
      <c r="G233" t="s">
        <v>649</v>
      </c>
      <c r="H233" t="s">
        <v>8600</v>
      </c>
      <c r="I233">
        <v>3.0788177339901478E-4</v>
      </c>
      <c r="J233">
        <v>337792</v>
      </c>
      <c r="K233">
        <v>8.6391653237194931E-4</v>
      </c>
      <c r="L233">
        <v>120382</v>
      </c>
      <c r="M233">
        <v>104</v>
      </c>
      <c r="N233">
        <v>3.8100000000000002E-2</v>
      </c>
      <c r="O233">
        <v>45</v>
      </c>
    </row>
    <row r="234" spans="1:15" x14ac:dyDescent="0.25">
      <c r="A234" t="s">
        <v>564</v>
      </c>
      <c r="B234" t="s">
        <v>28</v>
      </c>
      <c r="C234" t="s">
        <v>260</v>
      </c>
      <c r="D234" t="s">
        <v>76</v>
      </c>
      <c r="E234" t="s">
        <v>602</v>
      </c>
      <c r="F234" t="s">
        <v>650</v>
      </c>
      <c r="G234" t="s">
        <v>651</v>
      </c>
      <c r="H234" t="s">
        <v>8592</v>
      </c>
      <c r="I234">
        <v>1.6282209170140211E-4</v>
      </c>
      <c r="J234">
        <v>337792</v>
      </c>
      <c r="K234">
        <v>4.5687893538901172E-4</v>
      </c>
      <c r="L234">
        <v>120382</v>
      </c>
      <c r="M234">
        <v>55</v>
      </c>
      <c r="N234">
        <v>8.9300000000000004E-2</v>
      </c>
      <c r="O234">
        <v>46</v>
      </c>
    </row>
    <row r="235" spans="1:15" x14ac:dyDescent="0.25">
      <c r="A235" t="s">
        <v>564</v>
      </c>
      <c r="B235" t="s">
        <v>28</v>
      </c>
      <c r="C235" t="s">
        <v>260</v>
      </c>
      <c r="D235" t="s">
        <v>76</v>
      </c>
      <c r="E235" t="s">
        <v>602</v>
      </c>
      <c r="F235" t="s">
        <v>652</v>
      </c>
      <c r="G235" t="s">
        <v>653</v>
      </c>
      <c r="H235" t="s">
        <v>8591</v>
      </c>
      <c r="I235">
        <v>1.3025767336112161E-4</v>
      </c>
      <c r="J235">
        <v>337792</v>
      </c>
      <c r="K235">
        <v>3.6550314831120927E-4</v>
      </c>
      <c r="L235">
        <v>120382</v>
      </c>
      <c r="M235">
        <v>44</v>
      </c>
      <c r="O235">
        <v>47</v>
      </c>
    </row>
    <row r="236" spans="1:15" x14ac:dyDescent="0.25">
      <c r="A236" t="s">
        <v>564</v>
      </c>
      <c r="B236" t="s">
        <v>28</v>
      </c>
      <c r="C236" t="s">
        <v>260</v>
      </c>
      <c r="D236" t="s">
        <v>76</v>
      </c>
      <c r="E236" t="s">
        <v>654</v>
      </c>
      <c r="F236" t="s">
        <v>78</v>
      </c>
      <c r="G236" t="s">
        <v>655</v>
      </c>
      <c r="H236" t="s">
        <v>8603</v>
      </c>
      <c r="I236">
        <v>1.21376468359227E-4</v>
      </c>
      <c r="J236">
        <v>337792</v>
      </c>
      <c r="K236">
        <v>3.4058247910817232E-4</v>
      </c>
      <c r="L236">
        <v>120382</v>
      </c>
      <c r="M236">
        <v>41</v>
      </c>
      <c r="O236">
        <v>48</v>
      </c>
    </row>
    <row r="237" spans="1:15" x14ac:dyDescent="0.25">
      <c r="A237" t="s">
        <v>564</v>
      </c>
      <c r="B237" t="s">
        <v>28</v>
      </c>
      <c r="C237" t="s">
        <v>260</v>
      </c>
      <c r="D237" t="s">
        <v>76</v>
      </c>
      <c r="E237" t="s">
        <v>596</v>
      </c>
      <c r="F237" t="s">
        <v>78</v>
      </c>
      <c r="G237" t="s">
        <v>597</v>
      </c>
      <c r="H237" t="s">
        <v>8614</v>
      </c>
      <c r="I237">
        <v>1.0065365668813949E-4</v>
      </c>
      <c r="J237">
        <v>337792</v>
      </c>
      <c r="K237">
        <v>2.8243425096775257E-4</v>
      </c>
      <c r="L237">
        <v>120382</v>
      </c>
      <c r="M237">
        <v>34</v>
      </c>
      <c r="O237">
        <v>49</v>
      </c>
    </row>
    <row r="238" spans="1:15" x14ac:dyDescent="0.25">
      <c r="A238" t="s">
        <v>564</v>
      </c>
      <c r="B238" t="s">
        <v>28</v>
      </c>
      <c r="C238" t="s">
        <v>260</v>
      </c>
      <c r="D238" t="s">
        <v>76</v>
      </c>
      <c r="E238" t="s">
        <v>654</v>
      </c>
      <c r="F238" t="s">
        <v>8392</v>
      </c>
      <c r="G238" t="s">
        <v>8393</v>
      </c>
      <c r="H238" t="s">
        <v>8605</v>
      </c>
      <c r="I238">
        <v>9.4732853353543008E-5</v>
      </c>
      <c r="J238">
        <v>337792</v>
      </c>
      <c r="K238">
        <v>2.6582047149906131E-4</v>
      </c>
      <c r="L238">
        <v>120382</v>
      </c>
      <c r="M238">
        <v>32</v>
      </c>
      <c r="O238">
        <v>50</v>
      </c>
    </row>
    <row r="239" spans="1:15" x14ac:dyDescent="0.25">
      <c r="A239" t="s">
        <v>564</v>
      </c>
      <c r="B239" t="s">
        <v>28</v>
      </c>
      <c r="C239" t="s">
        <v>260</v>
      </c>
      <c r="D239" t="s">
        <v>76</v>
      </c>
      <c r="E239" t="s">
        <v>660</v>
      </c>
      <c r="F239" t="s">
        <v>78</v>
      </c>
      <c r="G239" t="s">
        <v>661</v>
      </c>
      <c r="H239" t="s">
        <v>8602</v>
      </c>
      <c r="I239">
        <v>8.8812050018946575E-5</v>
      </c>
      <c r="J239">
        <v>337792</v>
      </c>
      <c r="K239">
        <v>2.4920669203036999E-4</v>
      </c>
      <c r="L239">
        <v>120382</v>
      </c>
      <c r="M239">
        <v>30</v>
      </c>
      <c r="O239">
        <v>51</v>
      </c>
    </row>
    <row r="240" spans="1:15" x14ac:dyDescent="0.25">
      <c r="A240" t="s">
        <v>564</v>
      </c>
      <c r="B240" t="s">
        <v>28</v>
      </c>
      <c r="C240" t="s">
        <v>260</v>
      </c>
      <c r="D240" t="s">
        <v>76</v>
      </c>
      <c r="E240" t="s">
        <v>668</v>
      </c>
      <c r="F240" t="s">
        <v>78</v>
      </c>
      <c r="G240" t="s">
        <v>669</v>
      </c>
      <c r="H240" t="s">
        <v>8606</v>
      </c>
      <c r="I240">
        <v>7.1049640015157263E-5</v>
      </c>
      <c r="J240">
        <v>337792</v>
      </c>
      <c r="K240">
        <v>1.9936535362429601E-4</v>
      </c>
      <c r="L240">
        <v>120382</v>
      </c>
      <c r="M240">
        <v>24</v>
      </c>
      <c r="O240">
        <v>52</v>
      </c>
    </row>
    <row r="241" spans="1:15" x14ac:dyDescent="0.25">
      <c r="A241" t="s">
        <v>564</v>
      </c>
      <c r="B241" t="s">
        <v>28</v>
      </c>
      <c r="C241" t="s">
        <v>260</v>
      </c>
      <c r="D241" t="s">
        <v>76</v>
      </c>
      <c r="E241" t="s">
        <v>664</v>
      </c>
      <c r="F241" t="s">
        <v>78</v>
      </c>
      <c r="G241" t="s">
        <v>665</v>
      </c>
      <c r="H241" t="s">
        <v>8624</v>
      </c>
      <c r="I241">
        <v>6.21684350132626E-5</v>
      </c>
      <c r="J241">
        <v>337792</v>
      </c>
      <c r="K241">
        <v>1.7444468442125901E-4</v>
      </c>
      <c r="L241">
        <v>120382</v>
      </c>
      <c r="M241">
        <v>21</v>
      </c>
      <c r="O241">
        <v>53</v>
      </c>
    </row>
    <row r="242" spans="1:15" x14ac:dyDescent="0.25">
      <c r="A242" t="s">
        <v>564</v>
      </c>
      <c r="B242" t="s">
        <v>28</v>
      </c>
      <c r="C242" t="s">
        <v>260</v>
      </c>
      <c r="D242" t="s">
        <v>76</v>
      </c>
      <c r="E242" t="s">
        <v>602</v>
      </c>
      <c r="F242" t="s">
        <v>670</v>
      </c>
      <c r="G242" t="s">
        <v>671</v>
      </c>
      <c r="H242" t="s">
        <v>8607</v>
      </c>
      <c r="I242">
        <v>5.624763167866616E-5</v>
      </c>
      <c r="J242">
        <v>337792</v>
      </c>
      <c r="K242">
        <v>1.5783090495256769E-4</v>
      </c>
      <c r="L242">
        <v>120382</v>
      </c>
      <c r="M242">
        <v>19</v>
      </c>
      <c r="N242">
        <v>0.15790000000000001</v>
      </c>
      <c r="O242">
        <v>54</v>
      </c>
    </row>
    <row r="243" spans="1:15" x14ac:dyDescent="0.25">
      <c r="A243" t="s">
        <v>564</v>
      </c>
      <c r="B243" t="s">
        <v>28</v>
      </c>
      <c r="C243" t="s">
        <v>260</v>
      </c>
      <c r="D243" t="s">
        <v>76</v>
      </c>
      <c r="E243" t="s">
        <v>654</v>
      </c>
      <c r="F243" t="s">
        <v>8395</v>
      </c>
      <c r="G243" t="s">
        <v>8396</v>
      </c>
      <c r="H243" t="s">
        <v>8616</v>
      </c>
      <c r="I243">
        <v>4.7366426676771497E-5</v>
      </c>
      <c r="J243">
        <v>337792</v>
      </c>
      <c r="K243">
        <v>1.3291023574953071E-4</v>
      </c>
      <c r="L243">
        <v>120382</v>
      </c>
      <c r="M243">
        <v>16</v>
      </c>
      <c r="O243">
        <v>55</v>
      </c>
    </row>
    <row r="244" spans="1:15" x14ac:dyDescent="0.25">
      <c r="A244" t="s">
        <v>564</v>
      </c>
      <c r="B244" t="s">
        <v>28</v>
      </c>
      <c r="C244" t="s">
        <v>260</v>
      </c>
      <c r="D244" t="s">
        <v>76</v>
      </c>
      <c r="E244" t="s">
        <v>81</v>
      </c>
      <c r="F244" t="s">
        <v>646</v>
      </c>
      <c r="G244" t="s">
        <v>647</v>
      </c>
      <c r="H244" t="s">
        <v>8601</v>
      </c>
      <c r="I244">
        <v>4.1445623342175057E-5</v>
      </c>
      <c r="J244">
        <v>337792</v>
      </c>
      <c r="K244">
        <v>1.162964562808393E-4</v>
      </c>
      <c r="L244">
        <v>120382</v>
      </c>
      <c r="M244">
        <v>14</v>
      </c>
      <c r="O244">
        <v>56</v>
      </c>
    </row>
    <row r="245" spans="1:15" x14ac:dyDescent="0.25">
      <c r="A245" t="s">
        <v>564</v>
      </c>
      <c r="B245" t="s">
        <v>28</v>
      </c>
      <c r="C245" t="s">
        <v>260</v>
      </c>
      <c r="D245" t="s">
        <v>76</v>
      </c>
      <c r="E245" t="s">
        <v>602</v>
      </c>
      <c r="F245" t="s">
        <v>666</v>
      </c>
      <c r="G245" t="s">
        <v>667</v>
      </c>
      <c r="H245" t="s">
        <v>8618</v>
      </c>
      <c r="I245">
        <v>3.5524820007578631E-5</v>
      </c>
      <c r="J245">
        <v>337792</v>
      </c>
      <c r="K245">
        <v>9.9682676812147991E-5</v>
      </c>
      <c r="L245">
        <v>120382</v>
      </c>
      <c r="M245">
        <v>12</v>
      </c>
      <c r="O245">
        <v>57</v>
      </c>
    </row>
    <row r="246" spans="1:15" x14ac:dyDescent="0.25">
      <c r="A246" t="s">
        <v>564</v>
      </c>
      <c r="B246" t="s">
        <v>28</v>
      </c>
      <c r="C246" t="s">
        <v>260</v>
      </c>
      <c r="D246" t="s">
        <v>76</v>
      </c>
      <c r="E246" t="s">
        <v>674</v>
      </c>
      <c r="F246" t="s">
        <v>78</v>
      </c>
      <c r="G246" t="s">
        <v>675</v>
      </c>
      <c r="H246" t="s">
        <v>8608</v>
      </c>
      <c r="I246">
        <v>3.2564418340280408E-5</v>
      </c>
      <c r="J246">
        <v>337792</v>
      </c>
      <c r="K246">
        <v>9.1375787077802332E-5</v>
      </c>
      <c r="L246">
        <v>120382</v>
      </c>
      <c r="M246">
        <v>11</v>
      </c>
      <c r="O246">
        <v>58</v>
      </c>
    </row>
    <row r="247" spans="1:15" x14ac:dyDescent="0.25">
      <c r="A247" t="s">
        <v>564</v>
      </c>
      <c r="B247" t="s">
        <v>28</v>
      </c>
      <c r="C247" t="s">
        <v>260</v>
      </c>
      <c r="D247" t="s">
        <v>76</v>
      </c>
      <c r="E247" t="s">
        <v>654</v>
      </c>
      <c r="F247" t="s">
        <v>8388</v>
      </c>
      <c r="G247" t="s">
        <v>8389</v>
      </c>
      <c r="H247" t="s">
        <v>8617</v>
      </c>
      <c r="I247">
        <v>3.2564418340280408E-5</v>
      </c>
      <c r="J247">
        <v>337792</v>
      </c>
      <c r="K247">
        <v>9.1375787077802332E-5</v>
      </c>
      <c r="L247">
        <v>120382</v>
      </c>
      <c r="M247">
        <v>11</v>
      </c>
      <c r="O247">
        <v>59</v>
      </c>
    </row>
    <row r="248" spans="1:15" x14ac:dyDescent="0.25">
      <c r="A248" t="s">
        <v>564</v>
      </c>
      <c r="B248" t="s">
        <v>28</v>
      </c>
      <c r="C248" t="s">
        <v>260</v>
      </c>
      <c r="D248" t="s">
        <v>76</v>
      </c>
      <c r="E248" t="s">
        <v>656</v>
      </c>
      <c r="F248" t="s">
        <v>78</v>
      </c>
      <c r="G248" t="s">
        <v>657</v>
      </c>
      <c r="H248" t="s">
        <v>8612</v>
      </c>
      <c r="I248">
        <v>2.9604016672982192E-5</v>
      </c>
      <c r="J248">
        <v>337792</v>
      </c>
      <c r="K248">
        <v>8.306889734345666E-5</v>
      </c>
      <c r="L248">
        <v>120382</v>
      </c>
      <c r="M248">
        <v>10</v>
      </c>
      <c r="O248">
        <v>60</v>
      </c>
    </row>
    <row r="249" spans="1:15" x14ac:dyDescent="0.25">
      <c r="A249" t="s">
        <v>564</v>
      </c>
      <c r="B249" t="s">
        <v>28</v>
      </c>
      <c r="C249" t="s">
        <v>260</v>
      </c>
      <c r="D249" t="s">
        <v>76</v>
      </c>
      <c r="E249" t="s">
        <v>678</v>
      </c>
      <c r="F249" t="s">
        <v>78</v>
      </c>
      <c r="G249" t="s">
        <v>679</v>
      </c>
      <c r="H249" t="s">
        <v>8620</v>
      </c>
      <c r="I249">
        <v>2.0722811671087529E-5</v>
      </c>
      <c r="J249">
        <v>337792</v>
      </c>
      <c r="K249">
        <v>5.8148228140419662E-5</v>
      </c>
      <c r="L249">
        <v>120382</v>
      </c>
      <c r="M249">
        <v>7</v>
      </c>
      <c r="O249">
        <v>61</v>
      </c>
    </row>
    <row r="250" spans="1:15" x14ac:dyDescent="0.25">
      <c r="A250" t="s">
        <v>564</v>
      </c>
      <c r="B250" t="s">
        <v>28</v>
      </c>
      <c r="C250" t="s">
        <v>260</v>
      </c>
      <c r="D250" t="s">
        <v>76</v>
      </c>
      <c r="E250" t="s">
        <v>680</v>
      </c>
      <c r="F250" t="s">
        <v>78</v>
      </c>
      <c r="G250" t="s">
        <v>681</v>
      </c>
      <c r="H250" t="s">
        <v>8610</v>
      </c>
      <c r="I250">
        <v>1.7762410003789319E-5</v>
      </c>
      <c r="J250">
        <v>337792</v>
      </c>
      <c r="K250">
        <v>4.9841338406074002E-5</v>
      </c>
      <c r="L250">
        <v>120382</v>
      </c>
      <c r="M250">
        <v>6</v>
      </c>
      <c r="O250">
        <v>62</v>
      </c>
    </row>
    <row r="251" spans="1:15" x14ac:dyDescent="0.25">
      <c r="A251" t="s">
        <v>564</v>
      </c>
      <c r="B251" t="s">
        <v>28</v>
      </c>
      <c r="C251" t="s">
        <v>260</v>
      </c>
      <c r="D251" t="s">
        <v>76</v>
      </c>
      <c r="E251" t="s">
        <v>676</v>
      </c>
      <c r="F251" t="s">
        <v>78</v>
      </c>
      <c r="G251" t="s">
        <v>677</v>
      </c>
      <c r="H251" t="s">
        <v>8619</v>
      </c>
      <c r="I251">
        <v>1.7762410003789319E-5</v>
      </c>
      <c r="J251">
        <v>337792</v>
      </c>
      <c r="K251">
        <v>4.9841338406074002E-5</v>
      </c>
      <c r="L251">
        <v>120382</v>
      </c>
      <c r="M251">
        <v>6</v>
      </c>
      <c r="O251">
        <v>63</v>
      </c>
    </row>
    <row r="252" spans="1:15" x14ac:dyDescent="0.25">
      <c r="A252" t="s">
        <v>564</v>
      </c>
      <c r="B252" t="s">
        <v>28</v>
      </c>
      <c r="C252" t="s">
        <v>260</v>
      </c>
      <c r="D252" t="s">
        <v>76</v>
      </c>
      <c r="E252" t="s">
        <v>634</v>
      </c>
      <c r="F252" t="s">
        <v>658</v>
      </c>
      <c r="G252" t="s">
        <v>659</v>
      </c>
      <c r="H252" t="s">
        <v>8581</v>
      </c>
      <c r="I252">
        <v>1.1841606669192879E-5</v>
      </c>
      <c r="J252">
        <v>337792</v>
      </c>
      <c r="K252">
        <v>3.3227558937382657E-5</v>
      </c>
      <c r="L252">
        <v>120382</v>
      </c>
      <c r="M252">
        <v>4</v>
      </c>
      <c r="O252">
        <v>64</v>
      </c>
    </row>
    <row r="253" spans="1:15" x14ac:dyDescent="0.25">
      <c r="A253" t="s">
        <v>564</v>
      </c>
      <c r="B253" t="s">
        <v>28</v>
      </c>
      <c r="C253" t="s">
        <v>260</v>
      </c>
      <c r="D253" t="s">
        <v>76</v>
      </c>
      <c r="E253" t="s">
        <v>682</v>
      </c>
      <c r="F253" t="s">
        <v>78</v>
      </c>
      <c r="G253" t="s">
        <v>683</v>
      </c>
      <c r="H253" t="s">
        <v>8604</v>
      </c>
      <c r="I253">
        <v>8.8812050018946578E-6</v>
      </c>
      <c r="J253">
        <v>337792</v>
      </c>
      <c r="K253">
        <v>2.4920669203037001E-5</v>
      </c>
      <c r="L253">
        <v>120382</v>
      </c>
      <c r="M253">
        <v>3</v>
      </c>
      <c r="N253">
        <v>0.66669999999999996</v>
      </c>
      <c r="O253">
        <v>65</v>
      </c>
    </row>
    <row r="254" spans="1:15" x14ac:dyDescent="0.25">
      <c r="A254" t="s">
        <v>564</v>
      </c>
      <c r="B254" t="s">
        <v>28</v>
      </c>
      <c r="C254" t="s">
        <v>260</v>
      </c>
      <c r="D254" t="s">
        <v>76</v>
      </c>
      <c r="E254" t="s">
        <v>672</v>
      </c>
      <c r="F254" t="s">
        <v>78</v>
      </c>
      <c r="G254" t="s">
        <v>673</v>
      </c>
      <c r="H254" t="s">
        <v>8609</v>
      </c>
      <c r="I254">
        <v>8.8812050018946578E-6</v>
      </c>
      <c r="J254">
        <v>337792</v>
      </c>
      <c r="K254">
        <v>2.4920669203037001E-5</v>
      </c>
      <c r="L254">
        <v>120382</v>
      </c>
      <c r="M254">
        <v>3</v>
      </c>
      <c r="O254">
        <v>66</v>
      </c>
    </row>
    <row r="255" spans="1:15" x14ac:dyDescent="0.25">
      <c r="A255" t="s">
        <v>564</v>
      </c>
      <c r="B255" t="s">
        <v>28</v>
      </c>
      <c r="C255" t="s">
        <v>260</v>
      </c>
      <c r="D255" t="s">
        <v>76</v>
      </c>
      <c r="E255" t="s">
        <v>81</v>
      </c>
      <c r="F255" t="s">
        <v>604</v>
      </c>
      <c r="G255" t="s">
        <v>605</v>
      </c>
      <c r="H255" t="s">
        <v>8613</v>
      </c>
      <c r="I255">
        <v>8.8812050018946578E-6</v>
      </c>
      <c r="J255">
        <v>337792</v>
      </c>
      <c r="K255">
        <v>2.4920669203037001E-5</v>
      </c>
      <c r="L255">
        <v>120382</v>
      </c>
      <c r="M255">
        <v>3</v>
      </c>
      <c r="O255">
        <v>67</v>
      </c>
    </row>
    <row r="256" spans="1:15" x14ac:dyDescent="0.25">
      <c r="A256" t="s">
        <v>564</v>
      </c>
      <c r="B256" t="s">
        <v>28</v>
      </c>
      <c r="C256" t="s">
        <v>260</v>
      </c>
      <c r="D256" t="s">
        <v>76</v>
      </c>
      <c r="E256" t="s">
        <v>654</v>
      </c>
      <c r="F256" t="s">
        <v>8471</v>
      </c>
      <c r="G256" t="s">
        <v>8472</v>
      </c>
      <c r="H256" t="s">
        <v>8622</v>
      </c>
      <c r="I256">
        <v>5.920803334596438E-6</v>
      </c>
      <c r="J256">
        <v>337792</v>
      </c>
      <c r="K256">
        <v>1.6613779468691329E-5</v>
      </c>
      <c r="L256">
        <v>120382</v>
      </c>
      <c r="M256">
        <v>2</v>
      </c>
      <c r="O256">
        <v>68</v>
      </c>
    </row>
    <row r="257" spans="1:15" x14ac:dyDescent="0.25">
      <c r="A257" t="s">
        <v>564</v>
      </c>
      <c r="B257" t="s">
        <v>28</v>
      </c>
      <c r="C257" t="s">
        <v>260</v>
      </c>
      <c r="D257" t="s">
        <v>76</v>
      </c>
      <c r="E257" t="s">
        <v>8399</v>
      </c>
      <c r="F257" t="s">
        <v>78</v>
      </c>
      <c r="G257" t="s">
        <v>8400</v>
      </c>
      <c r="H257" t="s">
        <v>8615</v>
      </c>
      <c r="I257">
        <v>2.960401667298219E-6</v>
      </c>
      <c r="J257">
        <v>337792</v>
      </c>
      <c r="K257">
        <v>8.306889734345666E-6</v>
      </c>
      <c r="L257">
        <v>120382</v>
      </c>
      <c r="M257">
        <v>1</v>
      </c>
      <c r="O257">
        <v>69</v>
      </c>
    </row>
    <row r="258" spans="1:15" x14ac:dyDescent="0.25">
      <c r="A258" t="s">
        <v>564</v>
      </c>
      <c r="B258" t="s">
        <v>28</v>
      </c>
      <c r="C258" t="s">
        <v>260</v>
      </c>
      <c r="D258" t="s">
        <v>76</v>
      </c>
      <c r="E258" t="s">
        <v>662</v>
      </c>
      <c r="F258" t="s">
        <v>78</v>
      </c>
      <c r="G258" t="s">
        <v>663</v>
      </c>
      <c r="H258" t="s">
        <v>8621</v>
      </c>
      <c r="I258">
        <v>2.960401667298219E-6</v>
      </c>
      <c r="J258">
        <v>337792</v>
      </c>
      <c r="K258">
        <v>8.306889734345666E-6</v>
      </c>
      <c r="L258">
        <v>120382</v>
      </c>
      <c r="M258">
        <v>1</v>
      </c>
      <c r="O258">
        <v>70</v>
      </c>
    </row>
    <row r="259" spans="1:15" x14ac:dyDescent="0.25">
      <c r="A259" t="s">
        <v>564</v>
      </c>
      <c r="B259" t="s">
        <v>28</v>
      </c>
      <c r="C259" t="s">
        <v>260</v>
      </c>
      <c r="D259" t="s">
        <v>76</v>
      </c>
      <c r="E259" t="s">
        <v>692</v>
      </c>
      <c r="F259" t="s">
        <v>78</v>
      </c>
      <c r="G259" t="s">
        <v>693</v>
      </c>
      <c r="H259" t="s">
        <v>8623</v>
      </c>
      <c r="I259">
        <v>2.960401667298219E-6</v>
      </c>
      <c r="J259">
        <v>337792</v>
      </c>
      <c r="K259">
        <v>8.306889734345666E-6</v>
      </c>
      <c r="L259">
        <v>120382</v>
      </c>
      <c r="M259">
        <v>1</v>
      </c>
      <c r="O259">
        <v>71</v>
      </c>
    </row>
    <row r="260" spans="1:15" x14ac:dyDescent="0.25">
      <c r="A260" t="s">
        <v>564</v>
      </c>
      <c r="B260" t="s">
        <v>28</v>
      </c>
      <c r="C260" t="s">
        <v>260</v>
      </c>
      <c r="D260" t="s">
        <v>76</v>
      </c>
      <c r="E260" t="s">
        <v>684</v>
      </c>
      <c r="F260" t="s">
        <v>78</v>
      </c>
      <c r="G260" t="s">
        <v>685</v>
      </c>
      <c r="H260" t="s">
        <v>8661</v>
      </c>
      <c r="J260">
        <v>337792</v>
      </c>
      <c r="L260">
        <v>120382</v>
      </c>
      <c r="O260">
        <v>72</v>
      </c>
    </row>
    <row r="261" spans="1:15" x14ac:dyDescent="0.25">
      <c r="A261" t="s">
        <v>564</v>
      </c>
      <c r="B261" t="s">
        <v>28</v>
      </c>
      <c r="C261" t="s">
        <v>260</v>
      </c>
      <c r="D261" t="s">
        <v>76</v>
      </c>
      <c r="E261" t="s">
        <v>634</v>
      </c>
      <c r="F261" t="s">
        <v>883</v>
      </c>
      <c r="G261" t="s">
        <v>884</v>
      </c>
      <c r="H261" t="s">
        <v>8674</v>
      </c>
      <c r="J261">
        <v>337792</v>
      </c>
      <c r="L261">
        <v>120382</v>
      </c>
      <c r="O261">
        <v>73</v>
      </c>
    </row>
    <row r="262" spans="1:15" x14ac:dyDescent="0.25">
      <c r="A262" t="s">
        <v>564</v>
      </c>
      <c r="B262" t="s">
        <v>28</v>
      </c>
      <c r="C262" t="s">
        <v>260</v>
      </c>
      <c r="D262" t="s">
        <v>76</v>
      </c>
      <c r="E262" t="s">
        <v>634</v>
      </c>
      <c r="F262" t="s">
        <v>880</v>
      </c>
      <c r="G262" t="s">
        <v>881</v>
      </c>
      <c r="H262" t="s">
        <v>8611</v>
      </c>
      <c r="J262">
        <v>337792</v>
      </c>
      <c r="L262">
        <v>120382</v>
      </c>
      <c r="O262">
        <v>74</v>
      </c>
    </row>
    <row r="263" spans="1:15" x14ac:dyDescent="0.25">
      <c r="A263" t="s">
        <v>564</v>
      </c>
      <c r="B263" t="s">
        <v>28</v>
      </c>
      <c r="C263" t="s">
        <v>260</v>
      </c>
      <c r="D263" t="s">
        <v>76</v>
      </c>
      <c r="E263" t="s">
        <v>602</v>
      </c>
      <c r="F263" t="s">
        <v>876</v>
      </c>
      <c r="G263" t="s">
        <v>877</v>
      </c>
      <c r="H263" t="s">
        <v>8681</v>
      </c>
      <c r="J263">
        <v>337792</v>
      </c>
      <c r="L263">
        <v>120382</v>
      </c>
      <c r="O263">
        <v>75</v>
      </c>
    </row>
    <row r="264" spans="1:15" x14ac:dyDescent="0.25">
      <c r="A264" t="s">
        <v>564</v>
      </c>
      <c r="B264" t="s">
        <v>28</v>
      </c>
      <c r="C264" t="s">
        <v>260</v>
      </c>
      <c r="D264" t="s">
        <v>76</v>
      </c>
      <c r="E264" t="s">
        <v>602</v>
      </c>
      <c r="F264" t="s">
        <v>870</v>
      </c>
      <c r="G264" t="s">
        <v>871</v>
      </c>
      <c r="H264" t="s">
        <v>8677</v>
      </c>
      <c r="J264">
        <v>337792</v>
      </c>
      <c r="L264">
        <v>120382</v>
      </c>
      <c r="O264">
        <v>76</v>
      </c>
    </row>
    <row r="265" spans="1:15" x14ac:dyDescent="0.25">
      <c r="A265" t="s">
        <v>564</v>
      </c>
      <c r="B265" t="s">
        <v>28</v>
      </c>
      <c r="C265" t="s">
        <v>260</v>
      </c>
      <c r="D265" t="s">
        <v>76</v>
      </c>
      <c r="E265" t="s">
        <v>602</v>
      </c>
      <c r="F265" t="s">
        <v>867</v>
      </c>
      <c r="G265" t="s">
        <v>868</v>
      </c>
      <c r="H265" t="s">
        <v>8675</v>
      </c>
      <c r="J265">
        <v>337792</v>
      </c>
      <c r="L265">
        <v>120382</v>
      </c>
      <c r="O265">
        <v>77</v>
      </c>
    </row>
    <row r="266" spans="1:15" x14ac:dyDescent="0.25">
      <c r="A266" t="s">
        <v>564</v>
      </c>
      <c r="B266" t="s">
        <v>28</v>
      </c>
      <c r="C266" t="s">
        <v>260</v>
      </c>
      <c r="D266" t="s">
        <v>76</v>
      </c>
      <c r="E266" t="s">
        <v>602</v>
      </c>
      <c r="F266" t="s">
        <v>864</v>
      </c>
      <c r="G266" t="s">
        <v>865</v>
      </c>
      <c r="H266" t="s">
        <v>8678</v>
      </c>
      <c r="J266">
        <v>337792</v>
      </c>
      <c r="L266">
        <v>120382</v>
      </c>
      <c r="O266">
        <v>78</v>
      </c>
    </row>
    <row r="267" spans="1:15" x14ac:dyDescent="0.25">
      <c r="A267" t="s">
        <v>564</v>
      </c>
      <c r="B267" t="s">
        <v>28</v>
      </c>
      <c r="C267" t="s">
        <v>260</v>
      </c>
      <c r="D267" t="s">
        <v>76</v>
      </c>
      <c r="E267" t="s">
        <v>602</v>
      </c>
      <c r="F267" t="s">
        <v>854</v>
      </c>
      <c r="G267" t="s">
        <v>855</v>
      </c>
      <c r="H267" t="s">
        <v>8682</v>
      </c>
      <c r="J267">
        <v>337792</v>
      </c>
      <c r="L267">
        <v>120382</v>
      </c>
      <c r="O267">
        <v>79</v>
      </c>
    </row>
    <row r="268" spans="1:15" x14ac:dyDescent="0.25">
      <c r="A268" t="s">
        <v>564</v>
      </c>
      <c r="B268" t="s">
        <v>28</v>
      </c>
      <c r="C268" t="s">
        <v>260</v>
      </c>
      <c r="D268" t="s">
        <v>76</v>
      </c>
      <c r="E268" t="s">
        <v>602</v>
      </c>
      <c r="F268" t="s">
        <v>1099</v>
      </c>
      <c r="G268" t="s">
        <v>1100</v>
      </c>
      <c r="H268" t="s">
        <v>8679</v>
      </c>
      <c r="J268">
        <v>337792</v>
      </c>
      <c r="L268">
        <v>120382</v>
      </c>
      <c r="O268">
        <v>80</v>
      </c>
    </row>
    <row r="269" spans="1:15" x14ac:dyDescent="0.25">
      <c r="A269" t="s">
        <v>564</v>
      </c>
      <c r="B269" t="s">
        <v>28</v>
      </c>
      <c r="C269" t="s">
        <v>260</v>
      </c>
      <c r="D269" t="s">
        <v>76</v>
      </c>
      <c r="E269" t="s">
        <v>602</v>
      </c>
      <c r="F269" t="s">
        <v>1090</v>
      </c>
      <c r="G269" t="s">
        <v>1091</v>
      </c>
      <c r="H269" t="s">
        <v>8680</v>
      </c>
      <c r="J269">
        <v>337792</v>
      </c>
      <c r="L269">
        <v>120382</v>
      </c>
      <c r="O269">
        <v>81</v>
      </c>
    </row>
    <row r="270" spans="1:15" x14ac:dyDescent="0.25">
      <c r="A270" t="s">
        <v>564</v>
      </c>
      <c r="B270" t="s">
        <v>28</v>
      </c>
      <c r="C270" t="s">
        <v>260</v>
      </c>
      <c r="D270" t="s">
        <v>76</v>
      </c>
      <c r="E270" t="s">
        <v>602</v>
      </c>
      <c r="F270" t="s">
        <v>1087</v>
      </c>
      <c r="G270" t="s">
        <v>1088</v>
      </c>
      <c r="H270" t="s">
        <v>8676</v>
      </c>
      <c r="J270">
        <v>337792</v>
      </c>
      <c r="L270">
        <v>120382</v>
      </c>
      <c r="O270">
        <v>82</v>
      </c>
    </row>
    <row r="271" spans="1:15" x14ac:dyDescent="0.25">
      <c r="A271" t="s">
        <v>564</v>
      </c>
      <c r="B271" t="s">
        <v>28</v>
      </c>
      <c r="C271" t="s">
        <v>260</v>
      </c>
      <c r="D271" t="s">
        <v>76</v>
      </c>
      <c r="E271" t="s">
        <v>81</v>
      </c>
      <c r="F271" t="s">
        <v>851</v>
      </c>
      <c r="G271" t="s">
        <v>852</v>
      </c>
      <c r="H271" t="s">
        <v>8660</v>
      </c>
      <c r="J271">
        <v>337792</v>
      </c>
      <c r="L271">
        <v>120382</v>
      </c>
      <c r="O271">
        <v>83</v>
      </c>
    </row>
    <row r="272" spans="1:15" x14ac:dyDescent="0.25">
      <c r="A272" t="s">
        <v>564</v>
      </c>
      <c r="B272" t="s">
        <v>28</v>
      </c>
      <c r="C272" t="s">
        <v>260</v>
      </c>
      <c r="D272" t="s">
        <v>76</v>
      </c>
      <c r="E272" t="s">
        <v>654</v>
      </c>
      <c r="F272" t="s">
        <v>8507</v>
      </c>
      <c r="G272" t="s">
        <v>8508</v>
      </c>
      <c r="H272" t="s">
        <v>8710</v>
      </c>
      <c r="J272">
        <v>337792</v>
      </c>
      <c r="L272">
        <v>120382</v>
      </c>
      <c r="O272">
        <v>84</v>
      </c>
    </row>
    <row r="273" spans="1:15" x14ac:dyDescent="0.25">
      <c r="A273" t="s">
        <v>564</v>
      </c>
      <c r="B273" t="s">
        <v>28</v>
      </c>
      <c r="C273" t="s">
        <v>260</v>
      </c>
      <c r="D273" t="s">
        <v>76</v>
      </c>
      <c r="E273" t="s">
        <v>654</v>
      </c>
      <c r="F273" t="s">
        <v>8518</v>
      </c>
      <c r="G273" t="s">
        <v>8519</v>
      </c>
      <c r="H273" t="s">
        <v>8711</v>
      </c>
      <c r="J273">
        <v>337792</v>
      </c>
      <c r="L273">
        <v>120382</v>
      </c>
      <c r="O273">
        <v>85</v>
      </c>
    </row>
    <row r="274" spans="1:15" x14ac:dyDescent="0.25">
      <c r="A274" t="s">
        <v>564</v>
      </c>
      <c r="B274" t="s">
        <v>28</v>
      </c>
      <c r="C274" t="s">
        <v>260</v>
      </c>
      <c r="D274" t="s">
        <v>76</v>
      </c>
      <c r="E274" t="s">
        <v>654</v>
      </c>
      <c r="F274" t="s">
        <v>8465</v>
      </c>
      <c r="G274" t="s">
        <v>8466</v>
      </c>
      <c r="H274" t="s">
        <v>8712</v>
      </c>
      <c r="J274">
        <v>337792</v>
      </c>
      <c r="L274">
        <v>120382</v>
      </c>
      <c r="O274">
        <v>86</v>
      </c>
    </row>
    <row r="275" spans="1:15" x14ac:dyDescent="0.25">
      <c r="A275" t="s">
        <v>564</v>
      </c>
      <c r="B275" t="s">
        <v>28</v>
      </c>
      <c r="C275" t="s">
        <v>260</v>
      </c>
      <c r="D275" t="s">
        <v>76</v>
      </c>
      <c r="E275" t="s">
        <v>886</v>
      </c>
      <c r="F275" t="s">
        <v>8512</v>
      </c>
      <c r="G275" t="s">
        <v>8513</v>
      </c>
      <c r="H275" t="s">
        <v>8625</v>
      </c>
      <c r="J275">
        <v>337792</v>
      </c>
      <c r="L275">
        <v>120382</v>
      </c>
      <c r="O275">
        <v>87</v>
      </c>
    </row>
    <row r="276" spans="1:15" x14ac:dyDescent="0.25">
      <c r="A276" t="s">
        <v>564</v>
      </c>
      <c r="B276" t="s">
        <v>28</v>
      </c>
      <c r="C276" t="s">
        <v>260</v>
      </c>
      <c r="D276" t="s">
        <v>76</v>
      </c>
      <c r="E276" t="s">
        <v>886</v>
      </c>
      <c r="F276" t="s">
        <v>8495</v>
      </c>
      <c r="G276" t="s">
        <v>8496</v>
      </c>
      <c r="H276" t="s">
        <v>8709</v>
      </c>
      <c r="J276">
        <v>337792</v>
      </c>
      <c r="L276">
        <v>120382</v>
      </c>
      <c r="O276">
        <v>88</v>
      </c>
    </row>
    <row r="277" spans="1:15" x14ac:dyDescent="0.25">
      <c r="A277" t="s">
        <v>564</v>
      </c>
      <c r="B277" t="s">
        <v>28</v>
      </c>
      <c r="C277" t="s">
        <v>260</v>
      </c>
      <c r="D277" t="s">
        <v>76</v>
      </c>
      <c r="E277" t="s">
        <v>886</v>
      </c>
      <c r="F277" t="s">
        <v>8504</v>
      </c>
      <c r="G277" t="s">
        <v>8505</v>
      </c>
      <c r="H277" t="s">
        <v>8598</v>
      </c>
      <c r="J277">
        <v>337792</v>
      </c>
      <c r="L277">
        <v>120382</v>
      </c>
      <c r="O277">
        <v>89</v>
      </c>
    </row>
    <row r="278" spans="1:15" x14ac:dyDescent="0.25">
      <c r="A278" t="s">
        <v>564</v>
      </c>
      <c r="B278" t="s">
        <v>28</v>
      </c>
      <c r="C278" t="s">
        <v>260</v>
      </c>
      <c r="D278" t="s">
        <v>76</v>
      </c>
      <c r="E278" t="s">
        <v>686</v>
      </c>
      <c r="F278" t="s">
        <v>1084</v>
      </c>
      <c r="G278" t="s">
        <v>1085</v>
      </c>
      <c r="H278" t="s">
        <v>8689</v>
      </c>
      <c r="J278">
        <v>337792</v>
      </c>
      <c r="L278">
        <v>120382</v>
      </c>
      <c r="O278">
        <v>90</v>
      </c>
    </row>
    <row r="279" spans="1:15" x14ac:dyDescent="0.25">
      <c r="A279" t="s">
        <v>564</v>
      </c>
      <c r="B279" t="s">
        <v>28</v>
      </c>
      <c r="C279" t="s">
        <v>260</v>
      </c>
      <c r="D279" t="s">
        <v>76</v>
      </c>
      <c r="E279" t="s">
        <v>686</v>
      </c>
      <c r="F279" t="s">
        <v>1069</v>
      </c>
      <c r="G279" t="s">
        <v>1070</v>
      </c>
      <c r="H279" t="s">
        <v>8626</v>
      </c>
      <c r="J279">
        <v>337792</v>
      </c>
      <c r="L279">
        <v>120382</v>
      </c>
      <c r="O279">
        <v>91</v>
      </c>
    </row>
    <row r="280" spans="1:15" x14ac:dyDescent="0.25">
      <c r="A280" t="s">
        <v>564</v>
      </c>
      <c r="B280" t="s">
        <v>28</v>
      </c>
      <c r="C280" t="s">
        <v>260</v>
      </c>
      <c r="D280" t="s">
        <v>76</v>
      </c>
      <c r="E280" t="s">
        <v>686</v>
      </c>
      <c r="F280" t="s">
        <v>1063</v>
      </c>
      <c r="G280" t="s">
        <v>1064</v>
      </c>
      <c r="H280" t="s">
        <v>8708</v>
      </c>
      <c r="J280">
        <v>337792</v>
      </c>
      <c r="L280">
        <v>120382</v>
      </c>
      <c r="O280">
        <v>92</v>
      </c>
    </row>
    <row r="281" spans="1:15" x14ac:dyDescent="0.25">
      <c r="A281" t="s">
        <v>564</v>
      </c>
      <c r="B281" t="s">
        <v>28</v>
      </c>
      <c r="C281" t="s">
        <v>260</v>
      </c>
      <c r="D281" t="s">
        <v>76</v>
      </c>
      <c r="E281" t="s">
        <v>686</v>
      </c>
      <c r="F281" t="s">
        <v>1045</v>
      </c>
      <c r="G281" t="s">
        <v>1046</v>
      </c>
      <c r="H281" t="s">
        <v>8697</v>
      </c>
      <c r="J281">
        <v>337792</v>
      </c>
      <c r="L281">
        <v>120382</v>
      </c>
      <c r="O281">
        <v>93</v>
      </c>
    </row>
    <row r="282" spans="1:15" x14ac:dyDescent="0.25">
      <c r="A282" t="s">
        <v>564</v>
      </c>
      <c r="B282" t="s">
        <v>28</v>
      </c>
      <c r="C282" t="s">
        <v>260</v>
      </c>
      <c r="D282" t="s">
        <v>76</v>
      </c>
      <c r="E282" t="s">
        <v>686</v>
      </c>
      <c r="F282" t="s">
        <v>1039</v>
      </c>
      <c r="G282" t="s">
        <v>1040</v>
      </c>
      <c r="H282" t="s">
        <v>8714</v>
      </c>
      <c r="J282">
        <v>337792</v>
      </c>
      <c r="L282">
        <v>120382</v>
      </c>
      <c r="O282">
        <v>94</v>
      </c>
    </row>
    <row r="283" spans="1:15" x14ac:dyDescent="0.25">
      <c r="A283" t="s">
        <v>564</v>
      </c>
      <c r="B283" t="s">
        <v>28</v>
      </c>
      <c r="C283" t="s">
        <v>260</v>
      </c>
      <c r="D283" t="s">
        <v>76</v>
      </c>
      <c r="E283" t="s">
        <v>686</v>
      </c>
      <c r="F283" t="s">
        <v>1036</v>
      </c>
      <c r="G283" t="s">
        <v>1037</v>
      </c>
      <c r="H283" t="s">
        <v>8694</v>
      </c>
      <c r="J283">
        <v>337792</v>
      </c>
      <c r="L283">
        <v>120382</v>
      </c>
      <c r="O283">
        <v>95</v>
      </c>
    </row>
    <row r="284" spans="1:15" x14ac:dyDescent="0.25">
      <c r="A284" t="s">
        <v>564</v>
      </c>
      <c r="B284" t="s">
        <v>28</v>
      </c>
      <c r="C284" t="s">
        <v>260</v>
      </c>
      <c r="D284" t="s">
        <v>76</v>
      </c>
      <c r="E284" t="s">
        <v>686</v>
      </c>
      <c r="F284" t="s">
        <v>1024</v>
      </c>
      <c r="G284" t="s">
        <v>1025</v>
      </c>
      <c r="H284" t="s">
        <v>8699</v>
      </c>
      <c r="J284">
        <v>337792</v>
      </c>
      <c r="L284">
        <v>120382</v>
      </c>
      <c r="O284">
        <v>96</v>
      </c>
    </row>
    <row r="285" spans="1:15" x14ac:dyDescent="0.25">
      <c r="A285" t="s">
        <v>564</v>
      </c>
      <c r="B285" t="s">
        <v>28</v>
      </c>
      <c r="C285" t="s">
        <v>260</v>
      </c>
      <c r="D285" t="s">
        <v>76</v>
      </c>
      <c r="E285" t="s">
        <v>686</v>
      </c>
      <c r="F285" t="s">
        <v>1021</v>
      </c>
      <c r="G285" t="s">
        <v>1022</v>
      </c>
      <c r="H285" t="s">
        <v>8685</v>
      </c>
      <c r="J285">
        <v>337792</v>
      </c>
      <c r="L285">
        <v>120382</v>
      </c>
      <c r="O285">
        <v>97</v>
      </c>
    </row>
    <row r="286" spans="1:15" x14ac:dyDescent="0.25">
      <c r="A286" t="s">
        <v>564</v>
      </c>
      <c r="B286" t="s">
        <v>28</v>
      </c>
      <c r="C286" t="s">
        <v>260</v>
      </c>
      <c r="D286" t="s">
        <v>76</v>
      </c>
      <c r="E286" t="s">
        <v>686</v>
      </c>
      <c r="F286" t="s">
        <v>1012</v>
      </c>
      <c r="G286" t="s">
        <v>1013</v>
      </c>
      <c r="H286" t="s">
        <v>8696</v>
      </c>
      <c r="J286">
        <v>337792</v>
      </c>
      <c r="L286">
        <v>120382</v>
      </c>
      <c r="O286">
        <v>98</v>
      </c>
    </row>
    <row r="287" spans="1:15" x14ac:dyDescent="0.25">
      <c r="A287" t="s">
        <v>564</v>
      </c>
      <c r="B287" t="s">
        <v>28</v>
      </c>
      <c r="C287" t="s">
        <v>260</v>
      </c>
      <c r="D287" t="s">
        <v>76</v>
      </c>
      <c r="E287" t="s">
        <v>686</v>
      </c>
      <c r="F287" t="s">
        <v>1009</v>
      </c>
      <c r="G287" t="s">
        <v>1010</v>
      </c>
      <c r="H287" t="s">
        <v>8706</v>
      </c>
      <c r="J287">
        <v>337792</v>
      </c>
      <c r="L287">
        <v>120382</v>
      </c>
      <c r="O287">
        <v>99</v>
      </c>
    </row>
    <row r="288" spans="1:15" x14ac:dyDescent="0.25">
      <c r="A288" t="s">
        <v>564</v>
      </c>
      <c r="B288" t="s">
        <v>28</v>
      </c>
      <c r="C288" t="s">
        <v>260</v>
      </c>
      <c r="D288" t="s">
        <v>76</v>
      </c>
      <c r="E288" t="s">
        <v>686</v>
      </c>
      <c r="F288" t="s">
        <v>1006</v>
      </c>
      <c r="G288" t="s">
        <v>1007</v>
      </c>
      <c r="H288" t="s">
        <v>8704</v>
      </c>
      <c r="J288">
        <v>337792</v>
      </c>
      <c r="L288">
        <v>120382</v>
      </c>
      <c r="O288">
        <v>100</v>
      </c>
    </row>
    <row r="289" spans="1:15" x14ac:dyDescent="0.25">
      <c r="A289" t="s">
        <v>564</v>
      </c>
      <c r="B289" t="s">
        <v>28</v>
      </c>
      <c r="C289" t="s">
        <v>260</v>
      </c>
      <c r="D289" t="s">
        <v>76</v>
      </c>
      <c r="E289" t="s">
        <v>686</v>
      </c>
      <c r="F289" t="s">
        <v>991</v>
      </c>
      <c r="G289" t="s">
        <v>992</v>
      </c>
      <c r="H289" t="s">
        <v>8702</v>
      </c>
      <c r="J289">
        <v>337792</v>
      </c>
      <c r="L289">
        <v>120382</v>
      </c>
      <c r="O289">
        <v>101</v>
      </c>
    </row>
    <row r="290" spans="1:15" x14ac:dyDescent="0.25">
      <c r="A290" t="s">
        <v>564</v>
      </c>
      <c r="B290" t="s">
        <v>28</v>
      </c>
      <c r="C290" t="s">
        <v>260</v>
      </c>
      <c r="D290" t="s">
        <v>76</v>
      </c>
      <c r="E290" t="s">
        <v>686</v>
      </c>
      <c r="F290" t="s">
        <v>958</v>
      </c>
      <c r="G290" t="s">
        <v>959</v>
      </c>
      <c r="H290" t="s">
        <v>8687</v>
      </c>
      <c r="J290">
        <v>337792</v>
      </c>
      <c r="L290">
        <v>120382</v>
      </c>
      <c r="O290">
        <v>102</v>
      </c>
    </row>
    <row r="291" spans="1:15" x14ac:dyDescent="0.25">
      <c r="A291" t="s">
        <v>564</v>
      </c>
      <c r="B291" t="s">
        <v>28</v>
      </c>
      <c r="C291" t="s">
        <v>260</v>
      </c>
      <c r="D291" t="s">
        <v>76</v>
      </c>
      <c r="E291" t="s">
        <v>686</v>
      </c>
      <c r="F291" t="s">
        <v>952</v>
      </c>
      <c r="G291" t="s">
        <v>953</v>
      </c>
      <c r="H291" t="s">
        <v>8692</v>
      </c>
      <c r="J291">
        <v>337792</v>
      </c>
      <c r="L291">
        <v>120382</v>
      </c>
      <c r="O291">
        <v>103</v>
      </c>
    </row>
    <row r="292" spans="1:15" x14ac:dyDescent="0.25">
      <c r="A292" t="s">
        <v>564</v>
      </c>
      <c r="B292" t="s">
        <v>28</v>
      </c>
      <c r="C292" t="s">
        <v>260</v>
      </c>
      <c r="D292" t="s">
        <v>76</v>
      </c>
      <c r="E292" t="s">
        <v>686</v>
      </c>
      <c r="F292" t="s">
        <v>940</v>
      </c>
      <c r="G292" t="s">
        <v>941</v>
      </c>
      <c r="H292" t="s">
        <v>8707</v>
      </c>
      <c r="J292">
        <v>337792</v>
      </c>
      <c r="L292">
        <v>120382</v>
      </c>
      <c r="O292">
        <v>104</v>
      </c>
    </row>
    <row r="293" spans="1:15" x14ac:dyDescent="0.25">
      <c r="A293" t="s">
        <v>564</v>
      </c>
      <c r="B293" t="s">
        <v>28</v>
      </c>
      <c r="C293" t="s">
        <v>260</v>
      </c>
      <c r="D293" t="s">
        <v>76</v>
      </c>
      <c r="E293" t="s">
        <v>686</v>
      </c>
      <c r="F293" t="s">
        <v>937</v>
      </c>
      <c r="G293" t="s">
        <v>938</v>
      </c>
      <c r="H293" t="s">
        <v>8688</v>
      </c>
      <c r="J293">
        <v>337792</v>
      </c>
      <c r="L293">
        <v>120382</v>
      </c>
      <c r="O293">
        <v>105</v>
      </c>
    </row>
    <row r="294" spans="1:15" x14ac:dyDescent="0.25">
      <c r="A294" t="s">
        <v>564</v>
      </c>
      <c r="B294" t="s">
        <v>28</v>
      </c>
      <c r="C294" t="s">
        <v>260</v>
      </c>
      <c r="D294" t="s">
        <v>76</v>
      </c>
      <c r="E294" t="s">
        <v>686</v>
      </c>
      <c r="F294" t="s">
        <v>934</v>
      </c>
      <c r="G294" t="s">
        <v>935</v>
      </c>
      <c r="H294" t="s">
        <v>8693</v>
      </c>
      <c r="J294">
        <v>337792</v>
      </c>
      <c r="L294">
        <v>120382</v>
      </c>
      <c r="O294">
        <v>106</v>
      </c>
    </row>
    <row r="295" spans="1:15" x14ac:dyDescent="0.25">
      <c r="A295" t="s">
        <v>564</v>
      </c>
      <c r="B295" t="s">
        <v>28</v>
      </c>
      <c r="C295" t="s">
        <v>260</v>
      </c>
      <c r="D295" t="s">
        <v>76</v>
      </c>
      <c r="E295" t="s">
        <v>686</v>
      </c>
      <c r="F295" t="s">
        <v>924</v>
      </c>
      <c r="G295" t="s">
        <v>925</v>
      </c>
      <c r="H295" t="s">
        <v>8686</v>
      </c>
      <c r="J295">
        <v>337792</v>
      </c>
      <c r="L295">
        <v>120382</v>
      </c>
      <c r="O295">
        <v>107</v>
      </c>
    </row>
    <row r="296" spans="1:15" x14ac:dyDescent="0.25">
      <c r="A296" t="s">
        <v>564</v>
      </c>
      <c r="B296" t="s">
        <v>28</v>
      </c>
      <c r="C296" t="s">
        <v>260</v>
      </c>
      <c r="D296" t="s">
        <v>76</v>
      </c>
      <c r="E296" t="s">
        <v>686</v>
      </c>
      <c r="F296" t="s">
        <v>921</v>
      </c>
      <c r="G296" t="s">
        <v>922</v>
      </c>
      <c r="H296" t="s">
        <v>8690</v>
      </c>
      <c r="J296">
        <v>337792</v>
      </c>
      <c r="L296">
        <v>120382</v>
      </c>
      <c r="O296">
        <v>108</v>
      </c>
    </row>
    <row r="297" spans="1:15" x14ac:dyDescent="0.25">
      <c r="A297" t="s">
        <v>564</v>
      </c>
      <c r="B297" t="s">
        <v>28</v>
      </c>
      <c r="C297" t="s">
        <v>260</v>
      </c>
      <c r="D297" t="s">
        <v>76</v>
      </c>
      <c r="E297" t="s">
        <v>686</v>
      </c>
      <c r="F297" t="s">
        <v>915</v>
      </c>
      <c r="G297" t="s">
        <v>916</v>
      </c>
      <c r="H297" t="s">
        <v>8700</v>
      </c>
      <c r="J297">
        <v>337792</v>
      </c>
      <c r="L297">
        <v>120382</v>
      </c>
      <c r="O297">
        <v>109</v>
      </c>
    </row>
    <row r="298" spans="1:15" x14ac:dyDescent="0.25">
      <c r="A298" t="s">
        <v>564</v>
      </c>
      <c r="B298" t="s">
        <v>28</v>
      </c>
      <c r="C298" t="s">
        <v>260</v>
      </c>
      <c r="D298" t="s">
        <v>76</v>
      </c>
      <c r="E298" t="s">
        <v>686</v>
      </c>
      <c r="F298" t="s">
        <v>909</v>
      </c>
      <c r="G298" t="s">
        <v>910</v>
      </c>
      <c r="H298" t="s">
        <v>8684</v>
      </c>
      <c r="J298">
        <v>337792</v>
      </c>
      <c r="L298">
        <v>120382</v>
      </c>
      <c r="O298">
        <v>110</v>
      </c>
    </row>
    <row r="299" spans="1:15" x14ac:dyDescent="0.25">
      <c r="A299" t="s">
        <v>564</v>
      </c>
      <c r="B299" t="s">
        <v>28</v>
      </c>
      <c r="C299" t="s">
        <v>260</v>
      </c>
      <c r="D299" t="s">
        <v>76</v>
      </c>
      <c r="E299" t="s">
        <v>686</v>
      </c>
      <c r="F299" t="s">
        <v>894</v>
      </c>
      <c r="G299" t="s">
        <v>895</v>
      </c>
      <c r="H299" t="s">
        <v>8683</v>
      </c>
      <c r="J299">
        <v>337792</v>
      </c>
      <c r="L299">
        <v>120382</v>
      </c>
      <c r="O299">
        <v>111</v>
      </c>
    </row>
    <row r="300" spans="1:15" x14ac:dyDescent="0.25">
      <c r="A300" t="s">
        <v>564</v>
      </c>
      <c r="B300" t="s">
        <v>28</v>
      </c>
      <c r="C300" t="s">
        <v>260</v>
      </c>
      <c r="D300" t="s">
        <v>76</v>
      </c>
      <c r="E300" t="s">
        <v>897</v>
      </c>
      <c r="F300" t="s">
        <v>78</v>
      </c>
      <c r="G300" t="s">
        <v>898</v>
      </c>
      <c r="H300" t="s">
        <v>8635</v>
      </c>
      <c r="J300">
        <v>337792</v>
      </c>
      <c r="L300">
        <v>120382</v>
      </c>
      <c r="O300">
        <v>112</v>
      </c>
    </row>
    <row r="301" spans="1:15" x14ac:dyDescent="0.25">
      <c r="A301" t="s">
        <v>564</v>
      </c>
      <c r="B301" t="s">
        <v>28</v>
      </c>
      <c r="C301" t="s">
        <v>260</v>
      </c>
      <c r="D301" t="s">
        <v>76</v>
      </c>
      <c r="E301" t="s">
        <v>900</v>
      </c>
      <c r="F301" t="s">
        <v>78</v>
      </c>
      <c r="G301" t="s">
        <v>901</v>
      </c>
      <c r="H301" t="s">
        <v>8638</v>
      </c>
      <c r="J301">
        <v>337792</v>
      </c>
      <c r="L301">
        <v>120382</v>
      </c>
      <c r="O301">
        <v>113</v>
      </c>
    </row>
    <row r="302" spans="1:15" x14ac:dyDescent="0.25">
      <c r="A302" t="s">
        <v>564</v>
      </c>
      <c r="B302" t="s">
        <v>28</v>
      </c>
      <c r="C302" t="s">
        <v>260</v>
      </c>
      <c r="D302" t="s">
        <v>76</v>
      </c>
      <c r="E302" t="s">
        <v>903</v>
      </c>
      <c r="F302" t="s">
        <v>78</v>
      </c>
      <c r="G302" t="s">
        <v>904</v>
      </c>
      <c r="H302" t="s">
        <v>8657</v>
      </c>
      <c r="J302">
        <v>337792</v>
      </c>
      <c r="L302">
        <v>120382</v>
      </c>
      <c r="O302">
        <v>114</v>
      </c>
    </row>
    <row r="303" spans="1:15" x14ac:dyDescent="0.25">
      <c r="A303" t="s">
        <v>564</v>
      </c>
      <c r="B303" t="s">
        <v>28</v>
      </c>
      <c r="C303" t="s">
        <v>260</v>
      </c>
      <c r="D303" t="s">
        <v>76</v>
      </c>
      <c r="E303" t="s">
        <v>906</v>
      </c>
      <c r="F303" t="s">
        <v>78</v>
      </c>
      <c r="G303" t="s">
        <v>907</v>
      </c>
      <c r="H303" t="s">
        <v>8669</v>
      </c>
      <c r="J303">
        <v>337792</v>
      </c>
      <c r="L303">
        <v>120382</v>
      </c>
      <c r="O303">
        <v>115</v>
      </c>
    </row>
    <row r="304" spans="1:15" x14ac:dyDescent="0.25">
      <c r="A304" t="s">
        <v>564</v>
      </c>
      <c r="B304" t="s">
        <v>28</v>
      </c>
      <c r="C304" t="s">
        <v>260</v>
      </c>
      <c r="D304" t="s">
        <v>76</v>
      </c>
      <c r="E304" t="s">
        <v>912</v>
      </c>
      <c r="F304" t="s">
        <v>78</v>
      </c>
      <c r="G304" t="s">
        <v>913</v>
      </c>
      <c r="H304" t="s">
        <v>8647</v>
      </c>
      <c r="J304">
        <v>337792</v>
      </c>
      <c r="L304">
        <v>120382</v>
      </c>
      <c r="O304">
        <v>116</v>
      </c>
    </row>
    <row r="305" spans="1:15" x14ac:dyDescent="0.25">
      <c r="A305" t="s">
        <v>564</v>
      </c>
      <c r="B305" t="s">
        <v>28</v>
      </c>
      <c r="C305" t="s">
        <v>260</v>
      </c>
      <c r="D305" t="s">
        <v>76</v>
      </c>
      <c r="E305" t="s">
        <v>918</v>
      </c>
      <c r="F305" t="s">
        <v>78</v>
      </c>
      <c r="G305" t="s">
        <v>919</v>
      </c>
      <c r="H305" t="s">
        <v>8641</v>
      </c>
      <c r="J305">
        <v>337792</v>
      </c>
      <c r="L305">
        <v>120382</v>
      </c>
      <c r="O305">
        <v>117</v>
      </c>
    </row>
    <row r="306" spans="1:15" x14ac:dyDescent="0.25">
      <c r="A306" t="s">
        <v>564</v>
      </c>
      <c r="B306" t="s">
        <v>28</v>
      </c>
      <c r="C306" t="s">
        <v>260</v>
      </c>
      <c r="D306" t="s">
        <v>76</v>
      </c>
      <c r="E306" t="s">
        <v>927</v>
      </c>
      <c r="F306" t="s">
        <v>78</v>
      </c>
      <c r="G306" t="s">
        <v>928</v>
      </c>
      <c r="H306" t="s">
        <v>8643</v>
      </c>
      <c r="J306">
        <v>337792</v>
      </c>
      <c r="L306">
        <v>120382</v>
      </c>
      <c r="O306">
        <v>118</v>
      </c>
    </row>
    <row r="307" spans="1:15" x14ac:dyDescent="0.25">
      <c r="A307" t="s">
        <v>564</v>
      </c>
      <c r="B307" t="s">
        <v>28</v>
      </c>
      <c r="C307" t="s">
        <v>260</v>
      </c>
      <c r="D307" t="s">
        <v>76</v>
      </c>
      <c r="E307" t="s">
        <v>690</v>
      </c>
      <c r="F307" t="s">
        <v>78</v>
      </c>
      <c r="G307" t="s">
        <v>691</v>
      </c>
      <c r="H307" t="s">
        <v>8650</v>
      </c>
      <c r="J307">
        <v>337792</v>
      </c>
      <c r="L307">
        <v>120382</v>
      </c>
      <c r="O307">
        <v>119</v>
      </c>
    </row>
    <row r="308" spans="1:15" x14ac:dyDescent="0.25">
      <c r="A308" t="s">
        <v>564</v>
      </c>
      <c r="B308" t="s">
        <v>28</v>
      </c>
      <c r="C308" t="s">
        <v>260</v>
      </c>
      <c r="D308" t="s">
        <v>76</v>
      </c>
      <c r="E308" t="s">
        <v>931</v>
      </c>
      <c r="F308" t="s">
        <v>78</v>
      </c>
      <c r="G308" t="s">
        <v>932</v>
      </c>
      <c r="H308" t="s">
        <v>8701</v>
      </c>
      <c r="J308">
        <v>337792</v>
      </c>
      <c r="L308">
        <v>120382</v>
      </c>
      <c r="O308">
        <v>120</v>
      </c>
    </row>
    <row r="309" spans="1:15" x14ac:dyDescent="0.25">
      <c r="A309" t="s">
        <v>564</v>
      </c>
      <c r="B309" t="s">
        <v>28</v>
      </c>
      <c r="C309" t="s">
        <v>260</v>
      </c>
      <c r="D309" t="s">
        <v>76</v>
      </c>
      <c r="E309" t="s">
        <v>943</v>
      </c>
      <c r="F309" t="s">
        <v>78</v>
      </c>
      <c r="G309" t="s">
        <v>944</v>
      </c>
      <c r="H309" t="s">
        <v>8703</v>
      </c>
      <c r="J309">
        <v>337792</v>
      </c>
      <c r="L309">
        <v>120382</v>
      </c>
      <c r="O309">
        <v>121</v>
      </c>
    </row>
    <row r="310" spans="1:15" x14ac:dyDescent="0.25">
      <c r="A310" t="s">
        <v>564</v>
      </c>
      <c r="B310" t="s">
        <v>28</v>
      </c>
      <c r="C310" t="s">
        <v>260</v>
      </c>
      <c r="D310" t="s">
        <v>76</v>
      </c>
      <c r="E310" t="s">
        <v>946</v>
      </c>
      <c r="F310" t="s">
        <v>78</v>
      </c>
      <c r="G310" t="s">
        <v>947</v>
      </c>
      <c r="H310" t="s">
        <v>8655</v>
      </c>
      <c r="J310">
        <v>337792</v>
      </c>
      <c r="L310">
        <v>120382</v>
      </c>
      <c r="O310">
        <v>122</v>
      </c>
    </row>
    <row r="311" spans="1:15" x14ac:dyDescent="0.25">
      <c r="A311" t="s">
        <v>564</v>
      </c>
      <c r="B311" t="s">
        <v>28</v>
      </c>
      <c r="C311" t="s">
        <v>260</v>
      </c>
      <c r="D311" t="s">
        <v>76</v>
      </c>
      <c r="E311" t="s">
        <v>949</v>
      </c>
      <c r="F311" t="s">
        <v>78</v>
      </c>
      <c r="G311" t="s">
        <v>950</v>
      </c>
      <c r="H311" t="s">
        <v>8654</v>
      </c>
      <c r="J311">
        <v>337792</v>
      </c>
      <c r="L311">
        <v>120382</v>
      </c>
      <c r="O311">
        <v>123</v>
      </c>
    </row>
    <row r="312" spans="1:15" x14ac:dyDescent="0.25">
      <c r="A312" t="s">
        <v>564</v>
      </c>
      <c r="B312" t="s">
        <v>28</v>
      </c>
      <c r="C312" t="s">
        <v>260</v>
      </c>
      <c r="D312" t="s">
        <v>76</v>
      </c>
      <c r="E312" t="s">
        <v>955</v>
      </c>
      <c r="F312" t="s">
        <v>78</v>
      </c>
      <c r="G312" t="s">
        <v>956</v>
      </c>
      <c r="H312" t="s">
        <v>8651</v>
      </c>
      <c r="J312">
        <v>337792</v>
      </c>
      <c r="L312">
        <v>120382</v>
      </c>
      <c r="O312">
        <v>124</v>
      </c>
    </row>
    <row r="313" spans="1:15" x14ac:dyDescent="0.25">
      <c r="A313" t="s">
        <v>564</v>
      </c>
      <c r="B313" t="s">
        <v>28</v>
      </c>
      <c r="C313" t="s">
        <v>260</v>
      </c>
      <c r="D313" t="s">
        <v>76</v>
      </c>
      <c r="E313" t="s">
        <v>961</v>
      </c>
      <c r="F313" t="s">
        <v>78</v>
      </c>
      <c r="G313" t="s">
        <v>962</v>
      </c>
      <c r="H313" t="s">
        <v>8653</v>
      </c>
      <c r="J313">
        <v>337792</v>
      </c>
      <c r="L313">
        <v>120382</v>
      </c>
      <c r="O313">
        <v>125</v>
      </c>
    </row>
    <row r="314" spans="1:15" x14ac:dyDescent="0.25">
      <c r="A314" t="s">
        <v>564</v>
      </c>
      <c r="B314" t="s">
        <v>28</v>
      </c>
      <c r="C314" t="s">
        <v>260</v>
      </c>
      <c r="D314" t="s">
        <v>76</v>
      </c>
      <c r="E314" t="s">
        <v>964</v>
      </c>
      <c r="F314" t="s">
        <v>78</v>
      </c>
      <c r="G314" t="s">
        <v>965</v>
      </c>
      <c r="H314" t="s">
        <v>8642</v>
      </c>
      <c r="J314">
        <v>337792</v>
      </c>
      <c r="L314">
        <v>120382</v>
      </c>
      <c r="O314">
        <v>126</v>
      </c>
    </row>
    <row r="315" spans="1:15" x14ac:dyDescent="0.25">
      <c r="A315" t="s">
        <v>564</v>
      </c>
      <c r="B315" t="s">
        <v>28</v>
      </c>
      <c r="C315" t="s">
        <v>260</v>
      </c>
      <c r="D315" t="s">
        <v>76</v>
      </c>
      <c r="E315" t="s">
        <v>967</v>
      </c>
      <c r="F315" t="s">
        <v>78</v>
      </c>
      <c r="G315" t="s">
        <v>968</v>
      </c>
      <c r="H315" t="s">
        <v>8666</v>
      </c>
      <c r="J315">
        <v>337792</v>
      </c>
      <c r="L315">
        <v>120382</v>
      </c>
      <c r="O315">
        <v>127</v>
      </c>
    </row>
    <row r="316" spans="1:15" x14ac:dyDescent="0.25">
      <c r="A316" t="s">
        <v>564</v>
      </c>
      <c r="B316" t="s">
        <v>28</v>
      </c>
      <c r="C316" t="s">
        <v>260</v>
      </c>
      <c r="D316" t="s">
        <v>76</v>
      </c>
      <c r="E316" t="s">
        <v>970</v>
      </c>
      <c r="F316" t="s">
        <v>78</v>
      </c>
      <c r="G316" t="s">
        <v>971</v>
      </c>
      <c r="H316" t="s">
        <v>8659</v>
      </c>
      <c r="J316">
        <v>337792</v>
      </c>
      <c r="L316">
        <v>120382</v>
      </c>
      <c r="O316">
        <v>128</v>
      </c>
    </row>
    <row r="317" spans="1:15" x14ac:dyDescent="0.25">
      <c r="A317" t="s">
        <v>564</v>
      </c>
      <c r="B317" t="s">
        <v>28</v>
      </c>
      <c r="C317" t="s">
        <v>260</v>
      </c>
      <c r="D317" t="s">
        <v>76</v>
      </c>
      <c r="E317" t="s">
        <v>973</v>
      </c>
      <c r="F317" t="s">
        <v>78</v>
      </c>
      <c r="G317" t="s">
        <v>974</v>
      </c>
      <c r="H317" t="s">
        <v>8672</v>
      </c>
      <c r="J317">
        <v>337792</v>
      </c>
      <c r="L317">
        <v>120382</v>
      </c>
      <c r="O317">
        <v>129</v>
      </c>
    </row>
    <row r="318" spans="1:15" x14ac:dyDescent="0.25">
      <c r="A318" t="s">
        <v>564</v>
      </c>
      <c r="B318" t="s">
        <v>28</v>
      </c>
      <c r="C318" t="s">
        <v>260</v>
      </c>
      <c r="D318" t="s">
        <v>76</v>
      </c>
      <c r="E318" t="s">
        <v>976</v>
      </c>
      <c r="F318" t="s">
        <v>78</v>
      </c>
      <c r="G318" t="s">
        <v>977</v>
      </c>
      <c r="H318" t="s">
        <v>8658</v>
      </c>
      <c r="J318">
        <v>337792</v>
      </c>
      <c r="L318">
        <v>120382</v>
      </c>
      <c r="O318">
        <v>130</v>
      </c>
    </row>
    <row r="319" spans="1:15" x14ac:dyDescent="0.25">
      <c r="A319" t="s">
        <v>564</v>
      </c>
      <c r="B319" t="s">
        <v>28</v>
      </c>
      <c r="C319" t="s">
        <v>260</v>
      </c>
      <c r="D319" t="s">
        <v>76</v>
      </c>
      <c r="E319" t="s">
        <v>979</v>
      </c>
      <c r="F319" t="s">
        <v>78</v>
      </c>
      <c r="G319" t="s">
        <v>980</v>
      </c>
      <c r="H319" t="s">
        <v>8649</v>
      </c>
      <c r="J319">
        <v>337792</v>
      </c>
      <c r="L319">
        <v>120382</v>
      </c>
      <c r="O319">
        <v>131</v>
      </c>
    </row>
    <row r="320" spans="1:15" x14ac:dyDescent="0.25">
      <c r="A320" t="s">
        <v>564</v>
      </c>
      <c r="B320" t="s">
        <v>28</v>
      </c>
      <c r="C320" t="s">
        <v>260</v>
      </c>
      <c r="D320" t="s">
        <v>76</v>
      </c>
      <c r="E320" t="s">
        <v>982</v>
      </c>
      <c r="F320" t="s">
        <v>78</v>
      </c>
      <c r="G320" t="s">
        <v>983</v>
      </c>
      <c r="H320" t="s">
        <v>8644</v>
      </c>
      <c r="J320">
        <v>337792</v>
      </c>
      <c r="L320">
        <v>120382</v>
      </c>
      <c r="O320">
        <v>132</v>
      </c>
    </row>
    <row r="321" spans="1:15" x14ac:dyDescent="0.25">
      <c r="A321" t="s">
        <v>564</v>
      </c>
      <c r="B321" t="s">
        <v>28</v>
      </c>
      <c r="C321" t="s">
        <v>260</v>
      </c>
      <c r="D321" t="s">
        <v>76</v>
      </c>
      <c r="E321" t="s">
        <v>985</v>
      </c>
      <c r="F321" t="s">
        <v>78</v>
      </c>
      <c r="G321" t="s">
        <v>986</v>
      </c>
      <c r="H321" t="s">
        <v>8671</v>
      </c>
      <c r="J321">
        <v>337792</v>
      </c>
      <c r="L321">
        <v>120382</v>
      </c>
      <c r="O321">
        <v>133</v>
      </c>
    </row>
    <row r="322" spans="1:15" x14ac:dyDescent="0.25">
      <c r="A322" t="s">
        <v>564</v>
      </c>
      <c r="B322" t="s">
        <v>28</v>
      </c>
      <c r="C322" t="s">
        <v>260</v>
      </c>
      <c r="D322" t="s">
        <v>76</v>
      </c>
      <c r="E322" t="s">
        <v>988</v>
      </c>
      <c r="F322" t="s">
        <v>78</v>
      </c>
      <c r="G322" t="s">
        <v>989</v>
      </c>
      <c r="H322" t="s">
        <v>8663</v>
      </c>
      <c r="J322">
        <v>337792</v>
      </c>
      <c r="L322">
        <v>120382</v>
      </c>
      <c r="O322">
        <v>134</v>
      </c>
    </row>
    <row r="323" spans="1:15" x14ac:dyDescent="0.25">
      <c r="A323" t="s">
        <v>564</v>
      </c>
      <c r="B323" t="s">
        <v>28</v>
      </c>
      <c r="C323" t="s">
        <v>260</v>
      </c>
      <c r="D323" t="s">
        <v>76</v>
      </c>
      <c r="E323" t="s">
        <v>994</v>
      </c>
      <c r="F323" t="s">
        <v>78</v>
      </c>
      <c r="G323" t="s">
        <v>995</v>
      </c>
      <c r="H323" t="s">
        <v>8640</v>
      </c>
      <c r="J323">
        <v>337792</v>
      </c>
      <c r="L323">
        <v>120382</v>
      </c>
      <c r="O323">
        <v>135</v>
      </c>
    </row>
    <row r="324" spans="1:15" x14ac:dyDescent="0.25">
      <c r="A324" t="s">
        <v>564</v>
      </c>
      <c r="B324" t="s">
        <v>28</v>
      </c>
      <c r="C324" t="s">
        <v>260</v>
      </c>
      <c r="D324" t="s">
        <v>76</v>
      </c>
      <c r="E324" t="s">
        <v>997</v>
      </c>
      <c r="F324" t="s">
        <v>78</v>
      </c>
      <c r="G324" t="s">
        <v>998</v>
      </c>
      <c r="H324" t="s">
        <v>8662</v>
      </c>
      <c r="J324">
        <v>337792</v>
      </c>
      <c r="L324">
        <v>120382</v>
      </c>
      <c r="O324">
        <v>136</v>
      </c>
    </row>
    <row r="325" spans="1:15" x14ac:dyDescent="0.25">
      <c r="A325" t="s">
        <v>564</v>
      </c>
      <c r="B325" t="s">
        <v>28</v>
      </c>
      <c r="C325" t="s">
        <v>260</v>
      </c>
      <c r="D325" t="s">
        <v>76</v>
      </c>
      <c r="E325" t="s">
        <v>1000</v>
      </c>
      <c r="F325" t="s">
        <v>78</v>
      </c>
      <c r="G325" t="s">
        <v>1001</v>
      </c>
      <c r="H325" t="s">
        <v>8656</v>
      </c>
      <c r="J325">
        <v>337792</v>
      </c>
      <c r="L325">
        <v>120382</v>
      </c>
      <c r="O325">
        <v>137</v>
      </c>
    </row>
    <row r="326" spans="1:15" x14ac:dyDescent="0.25">
      <c r="A326" t="s">
        <v>564</v>
      </c>
      <c r="B326" t="s">
        <v>28</v>
      </c>
      <c r="C326" t="s">
        <v>260</v>
      </c>
      <c r="D326" t="s">
        <v>76</v>
      </c>
      <c r="E326" t="s">
        <v>1003</v>
      </c>
      <c r="F326" t="s">
        <v>78</v>
      </c>
      <c r="G326" t="s">
        <v>1004</v>
      </c>
      <c r="H326" t="s">
        <v>8670</v>
      </c>
      <c r="J326">
        <v>337792</v>
      </c>
      <c r="L326">
        <v>120382</v>
      </c>
      <c r="O326">
        <v>138</v>
      </c>
    </row>
    <row r="327" spans="1:15" x14ac:dyDescent="0.25">
      <c r="A327" t="s">
        <v>564</v>
      </c>
      <c r="B327" t="s">
        <v>28</v>
      </c>
      <c r="C327" t="s">
        <v>260</v>
      </c>
      <c r="D327" t="s">
        <v>76</v>
      </c>
      <c r="E327" t="s">
        <v>1015</v>
      </c>
      <c r="F327" t="s">
        <v>78</v>
      </c>
      <c r="G327" t="s">
        <v>1016</v>
      </c>
      <c r="H327" t="s">
        <v>8705</v>
      </c>
      <c r="J327">
        <v>337792</v>
      </c>
      <c r="L327">
        <v>120382</v>
      </c>
      <c r="O327">
        <v>139</v>
      </c>
    </row>
    <row r="328" spans="1:15" x14ac:dyDescent="0.25">
      <c r="A328" t="s">
        <v>564</v>
      </c>
      <c r="B328" t="s">
        <v>28</v>
      </c>
      <c r="C328" t="s">
        <v>260</v>
      </c>
      <c r="D328" t="s">
        <v>76</v>
      </c>
      <c r="E328" t="s">
        <v>1018</v>
      </c>
      <c r="F328" t="s">
        <v>78</v>
      </c>
      <c r="G328" t="s">
        <v>1019</v>
      </c>
      <c r="H328" t="s">
        <v>8629</v>
      </c>
      <c r="J328">
        <v>337792</v>
      </c>
      <c r="L328">
        <v>120382</v>
      </c>
      <c r="O328">
        <v>140</v>
      </c>
    </row>
    <row r="329" spans="1:15" x14ac:dyDescent="0.25">
      <c r="A329" t="s">
        <v>564</v>
      </c>
      <c r="B329" t="s">
        <v>28</v>
      </c>
      <c r="C329" t="s">
        <v>260</v>
      </c>
      <c r="D329" t="s">
        <v>76</v>
      </c>
      <c r="E329" t="s">
        <v>1027</v>
      </c>
      <c r="F329" t="s">
        <v>78</v>
      </c>
      <c r="G329" t="s">
        <v>1028</v>
      </c>
      <c r="H329" t="s">
        <v>8665</v>
      </c>
      <c r="J329">
        <v>337792</v>
      </c>
      <c r="L329">
        <v>120382</v>
      </c>
      <c r="O329">
        <v>141</v>
      </c>
    </row>
    <row r="330" spans="1:15" x14ac:dyDescent="0.25">
      <c r="A330" t="s">
        <v>564</v>
      </c>
      <c r="B330" t="s">
        <v>28</v>
      </c>
      <c r="C330" t="s">
        <v>260</v>
      </c>
      <c r="D330" t="s">
        <v>76</v>
      </c>
      <c r="E330" t="s">
        <v>1030</v>
      </c>
      <c r="F330" t="s">
        <v>78</v>
      </c>
      <c r="G330" t="s">
        <v>1031</v>
      </c>
      <c r="H330" t="s">
        <v>8646</v>
      </c>
      <c r="J330">
        <v>337792</v>
      </c>
      <c r="L330">
        <v>120382</v>
      </c>
      <c r="O330">
        <v>142</v>
      </c>
    </row>
    <row r="331" spans="1:15" x14ac:dyDescent="0.25">
      <c r="A331" t="s">
        <v>564</v>
      </c>
      <c r="B331" t="s">
        <v>28</v>
      </c>
      <c r="C331" t="s">
        <v>260</v>
      </c>
      <c r="D331" t="s">
        <v>76</v>
      </c>
      <c r="E331" t="s">
        <v>1033</v>
      </c>
      <c r="F331" t="s">
        <v>78</v>
      </c>
      <c r="G331" t="s">
        <v>1034</v>
      </c>
      <c r="H331" t="s">
        <v>8673</v>
      </c>
      <c r="J331">
        <v>337792</v>
      </c>
      <c r="L331">
        <v>120382</v>
      </c>
      <c r="O331">
        <v>143</v>
      </c>
    </row>
    <row r="332" spans="1:15" x14ac:dyDescent="0.25">
      <c r="A332" t="s">
        <v>564</v>
      </c>
      <c r="B332" t="s">
        <v>28</v>
      </c>
      <c r="C332" t="s">
        <v>260</v>
      </c>
      <c r="D332" t="s">
        <v>76</v>
      </c>
      <c r="E332" t="s">
        <v>1042</v>
      </c>
      <c r="F332" t="s">
        <v>78</v>
      </c>
      <c r="G332" t="s">
        <v>1043</v>
      </c>
      <c r="H332" t="s">
        <v>8631</v>
      </c>
      <c r="J332">
        <v>337792</v>
      </c>
      <c r="L332">
        <v>120382</v>
      </c>
      <c r="O332">
        <v>144</v>
      </c>
    </row>
    <row r="333" spans="1:15" x14ac:dyDescent="0.25">
      <c r="A333" t="s">
        <v>564</v>
      </c>
      <c r="B333" t="s">
        <v>28</v>
      </c>
      <c r="C333" t="s">
        <v>260</v>
      </c>
      <c r="D333" t="s">
        <v>76</v>
      </c>
      <c r="E333" t="s">
        <v>10855</v>
      </c>
      <c r="F333" t="s">
        <v>78</v>
      </c>
      <c r="G333" t="s">
        <v>10856</v>
      </c>
      <c r="H333" t="s">
        <v>10858</v>
      </c>
      <c r="J333">
        <v>337792</v>
      </c>
      <c r="L333">
        <v>120382</v>
      </c>
      <c r="O333">
        <v>145</v>
      </c>
    </row>
    <row r="334" spans="1:15" x14ac:dyDescent="0.25">
      <c r="A334" t="s">
        <v>564</v>
      </c>
      <c r="B334" t="s">
        <v>28</v>
      </c>
      <c r="C334" t="s">
        <v>260</v>
      </c>
      <c r="D334" t="s">
        <v>76</v>
      </c>
      <c r="E334" t="s">
        <v>1048</v>
      </c>
      <c r="F334" t="s">
        <v>78</v>
      </c>
      <c r="G334" t="s">
        <v>1049</v>
      </c>
      <c r="H334" t="s">
        <v>8668</v>
      </c>
      <c r="J334">
        <v>337792</v>
      </c>
      <c r="L334">
        <v>120382</v>
      </c>
      <c r="O334">
        <v>146</v>
      </c>
    </row>
    <row r="335" spans="1:15" x14ac:dyDescent="0.25">
      <c r="A335" t="s">
        <v>564</v>
      </c>
      <c r="B335" t="s">
        <v>28</v>
      </c>
      <c r="C335" t="s">
        <v>260</v>
      </c>
      <c r="D335" t="s">
        <v>76</v>
      </c>
      <c r="E335" t="s">
        <v>1051</v>
      </c>
      <c r="F335" t="s">
        <v>78</v>
      </c>
      <c r="G335" t="s">
        <v>1052</v>
      </c>
      <c r="H335" t="s">
        <v>8664</v>
      </c>
      <c r="J335">
        <v>337792</v>
      </c>
      <c r="L335">
        <v>120382</v>
      </c>
      <c r="O335">
        <v>147</v>
      </c>
    </row>
    <row r="336" spans="1:15" x14ac:dyDescent="0.25">
      <c r="A336" t="s">
        <v>564</v>
      </c>
      <c r="B336" t="s">
        <v>28</v>
      </c>
      <c r="C336" t="s">
        <v>260</v>
      </c>
      <c r="D336" t="s">
        <v>76</v>
      </c>
      <c r="E336" t="s">
        <v>1054</v>
      </c>
      <c r="F336" t="s">
        <v>78</v>
      </c>
      <c r="G336" t="s">
        <v>1055</v>
      </c>
      <c r="H336" t="s">
        <v>8637</v>
      </c>
      <c r="J336">
        <v>337792</v>
      </c>
      <c r="L336">
        <v>120382</v>
      </c>
      <c r="O336">
        <v>148</v>
      </c>
    </row>
    <row r="337" spans="1:15" x14ac:dyDescent="0.25">
      <c r="A337" t="s">
        <v>564</v>
      </c>
      <c r="B337" t="s">
        <v>28</v>
      </c>
      <c r="C337" t="s">
        <v>260</v>
      </c>
      <c r="D337" t="s">
        <v>76</v>
      </c>
      <c r="E337" t="s">
        <v>1057</v>
      </c>
      <c r="F337" t="s">
        <v>78</v>
      </c>
      <c r="G337" t="s">
        <v>1058</v>
      </c>
      <c r="H337" t="s">
        <v>8652</v>
      </c>
      <c r="J337">
        <v>337792</v>
      </c>
      <c r="L337">
        <v>120382</v>
      </c>
      <c r="O337">
        <v>149</v>
      </c>
    </row>
    <row r="338" spans="1:15" x14ac:dyDescent="0.25">
      <c r="A338" t="s">
        <v>564</v>
      </c>
      <c r="B338" t="s">
        <v>28</v>
      </c>
      <c r="C338" t="s">
        <v>260</v>
      </c>
      <c r="D338" t="s">
        <v>76</v>
      </c>
      <c r="E338" t="s">
        <v>1060</v>
      </c>
      <c r="F338" t="s">
        <v>78</v>
      </c>
      <c r="G338" t="s">
        <v>1061</v>
      </c>
      <c r="H338" t="s">
        <v>8633</v>
      </c>
      <c r="J338">
        <v>337792</v>
      </c>
      <c r="L338">
        <v>120382</v>
      </c>
      <c r="O338">
        <v>150</v>
      </c>
    </row>
    <row r="339" spans="1:15" x14ac:dyDescent="0.25">
      <c r="A339" t="s">
        <v>564</v>
      </c>
      <c r="B339" t="s">
        <v>28</v>
      </c>
      <c r="C339" t="s">
        <v>260</v>
      </c>
      <c r="D339" t="s">
        <v>76</v>
      </c>
      <c r="E339" t="s">
        <v>1066</v>
      </c>
      <c r="F339" t="s">
        <v>78</v>
      </c>
      <c r="G339" t="s">
        <v>1067</v>
      </c>
      <c r="H339" t="s">
        <v>8630</v>
      </c>
      <c r="J339">
        <v>337792</v>
      </c>
      <c r="L339">
        <v>120382</v>
      </c>
      <c r="O339">
        <v>151</v>
      </c>
    </row>
    <row r="340" spans="1:15" x14ac:dyDescent="0.25">
      <c r="A340" t="s">
        <v>564</v>
      </c>
      <c r="B340" t="s">
        <v>28</v>
      </c>
      <c r="C340" t="s">
        <v>260</v>
      </c>
      <c r="D340" t="s">
        <v>76</v>
      </c>
      <c r="E340" t="s">
        <v>1072</v>
      </c>
      <c r="F340" t="s">
        <v>78</v>
      </c>
      <c r="G340" t="s">
        <v>1073</v>
      </c>
      <c r="H340" t="s">
        <v>8632</v>
      </c>
      <c r="J340">
        <v>337792</v>
      </c>
      <c r="L340">
        <v>120382</v>
      </c>
      <c r="O340">
        <v>152</v>
      </c>
    </row>
    <row r="341" spans="1:15" x14ac:dyDescent="0.25">
      <c r="A341" t="s">
        <v>564</v>
      </c>
      <c r="B341" t="s">
        <v>28</v>
      </c>
      <c r="C341" t="s">
        <v>260</v>
      </c>
      <c r="D341" t="s">
        <v>76</v>
      </c>
      <c r="E341" t="s">
        <v>1075</v>
      </c>
      <c r="F341" t="s">
        <v>78</v>
      </c>
      <c r="G341" t="s">
        <v>1076</v>
      </c>
      <c r="H341" t="s">
        <v>8634</v>
      </c>
      <c r="J341">
        <v>337792</v>
      </c>
      <c r="L341">
        <v>120382</v>
      </c>
      <c r="O341">
        <v>153</v>
      </c>
    </row>
    <row r="342" spans="1:15" x14ac:dyDescent="0.25">
      <c r="A342" t="s">
        <v>564</v>
      </c>
      <c r="B342" t="s">
        <v>28</v>
      </c>
      <c r="C342" t="s">
        <v>260</v>
      </c>
      <c r="D342" t="s">
        <v>76</v>
      </c>
      <c r="E342" t="s">
        <v>1078</v>
      </c>
      <c r="F342" t="s">
        <v>78</v>
      </c>
      <c r="G342" t="s">
        <v>1079</v>
      </c>
      <c r="H342" t="s">
        <v>8667</v>
      </c>
      <c r="J342">
        <v>337792</v>
      </c>
      <c r="L342">
        <v>120382</v>
      </c>
      <c r="O342">
        <v>154</v>
      </c>
    </row>
    <row r="343" spans="1:15" x14ac:dyDescent="0.25">
      <c r="A343" t="s">
        <v>564</v>
      </c>
      <c r="B343" t="s">
        <v>28</v>
      </c>
      <c r="C343" t="s">
        <v>260</v>
      </c>
      <c r="D343" t="s">
        <v>76</v>
      </c>
      <c r="E343" t="s">
        <v>1081</v>
      </c>
      <c r="F343" t="s">
        <v>78</v>
      </c>
      <c r="G343" t="s">
        <v>1082</v>
      </c>
      <c r="H343" t="s">
        <v>8698</v>
      </c>
      <c r="J343">
        <v>337792</v>
      </c>
      <c r="L343">
        <v>120382</v>
      </c>
      <c r="O343">
        <v>155</v>
      </c>
    </row>
    <row r="344" spans="1:15" x14ac:dyDescent="0.25">
      <c r="A344" t="s">
        <v>564</v>
      </c>
      <c r="B344" t="s">
        <v>28</v>
      </c>
      <c r="C344" t="s">
        <v>260</v>
      </c>
      <c r="D344" t="s">
        <v>76</v>
      </c>
      <c r="E344" t="s">
        <v>1093</v>
      </c>
      <c r="F344" t="s">
        <v>78</v>
      </c>
      <c r="G344" t="s">
        <v>1094</v>
      </c>
      <c r="H344" t="s">
        <v>8628</v>
      </c>
      <c r="J344">
        <v>337792</v>
      </c>
      <c r="L344">
        <v>120382</v>
      </c>
      <c r="O344">
        <v>156</v>
      </c>
    </row>
    <row r="345" spans="1:15" x14ac:dyDescent="0.25">
      <c r="A345" t="s">
        <v>564</v>
      </c>
      <c r="B345" t="s">
        <v>28</v>
      </c>
      <c r="C345" t="s">
        <v>260</v>
      </c>
      <c r="D345" t="s">
        <v>76</v>
      </c>
      <c r="E345" t="s">
        <v>1096</v>
      </c>
      <c r="F345" t="s">
        <v>78</v>
      </c>
      <c r="G345" t="s">
        <v>1097</v>
      </c>
      <c r="H345" t="s">
        <v>8636</v>
      </c>
      <c r="J345">
        <v>337792</v>
      </c>
      <c r="L345">
        <v>120382</v>
      </c>
      <c r="O345">
        <v>157</v>
      </c>
    </row>
    <row r="346" spans="1:15" x14ac:dyDescent="0.25">
      <c r="A346" t="s">
        <v>564</v>
      </c>
      <c r="B346" t="s">
        <v>28</v>
      </c>
      <c r="C346" t="s">
        <v>260</v>
      </c>
      <c r="D346" t="s">
        <v>76</v>
      </c>
      <c r="E346" t="s">
        <v>8468</v>
      </c>
      <c r="F346" t="s">
        <v>78</v>
      </c>
      <c r="G346" t="s">
        <v>8469</v>
      </c>
      <c r="H346" t="s">
        <v>8713</v>
      </c>
      <c r="J346">
        <v>337792</v>
      </c>
      <c r="L346">
        <v>120382</v>
      </c>
      <c r="O346">
        <v>158</v>
      </c>
    </row>
    <row r="347" spans="1:15" x14ac:dyDescent="0.25">
      <c r="A347" t="s">
        <v>564</v>
      </c>
      <c r="B347" t="s">
        <v>28</v>
      </c>
      <c r="C347" t="s">
        <v>260</v>
      </c>
      <c r="D347" t="s">
        <v>76</v>
      </c>
      <c r="E347" t="s">
        <v>688</v>
      </c>
      <c r="F347" t="s">
        <v>78</v>
      </c>
      <c r="G347" t="s">
        <v>689</v>
      </c>
      <c r="H347" t="s">
        <v>8645</v>
      </c>
      <c r="J347">
        <v>337792</v>
      </c>
      <c r="L347">
        <v>120382</v>
      </c>
      <c r="O347">
        <v>159</v>
      </c>
    </row>
    <row r="348" spans="1:15" x14ac:dyDescent="0.25">
      <c r="A348" t="s">
        <v>564</v>
      </c>
      <c r="B348" t="s">
        <v>28</v>
      </c>
      <c r="C348" t="s">
        <v>260</v>
      </c>
      <c r="D348" t="s">
        <v>76</v>
      </c>
      <c r="E348" t="s">
        <v>858</v>
      </c>
      <c r="F348" t="s">
        <v>78</v>
      </c>
      <c r="G348" t="s">
        <v>859</v>
      </c>
      <c r="H348" t="s">
        <v>8639</v>
      </c>
      <c r="J348">
        <v>337792</v>
      </c>
      <c r="L348">
        <v>120382</v>
      </c>
      <c r="O348">
        <v>160</v>
      </c>
    </row>
    <row r="349" spans="1:15" x14ac:dyDescent="0.25">
      <c r="A349" t="s">
        <v>564</v>
      </c>
      <c r="B349" t="s">
        <v>28</v>
      </c>
      <c r="C349" t="s">
        <v>260</v>
      </c>
      <c r="D349" t="s">
        <v>76</v>
      </c>
      <c r="E349" t="s">
        <v>861</v>
      </c>
      <c r="F349" t="s">
        <v>78</v>
      </c>
      <c r="G349" t="s">
        <v>862</v>
      </c>
      <c r="H349" t="s">
        <v>8648</v>
      </c>
      <c r="J349">
        <v>337792</v>
      </c>
      <c r="L349">
        <v>120382</v>
      </c>
      <c r="O349">
        <v>161</v>
      </c>
    </row>
    <row r="350" spans="1:15" x14ac:dyDescent="0.25">
      <c r="A350" t="s">
        <v>564</v>
      </c>
      <c r="B350" t="s">
        <v>28</v>
      </c>
      <c r="C350" t="s">
        <v>260</v>
      </c>
      <c r="D350" t="s">
        <v>76</v>
      </c>
      <c r="E350" t="s">
        <v>873</v>
      </c>
      <c r="F350" t="s">
        <v>78</v>
      </c>
      <c r="G350" t="s">
        <v>874</v>
      </c>
      <c r="H350" t="s">
        <v>8691</v>
      </c>
      <c r="J350">
        <v>337792</v>
      </c>
      <c r="L350">
        <v>120382</v>
      </c>
      <c r="O350">
        <v>162</v>
      </c>
    </row>
    <row r="351" spans="1:15" x14ac:dyDescent="0.25">
      <c r="A351" t="s">
        <v>564</v>
      </c>
      <c r="B351" t="s">
        <v>28</v>
      </c>
      <c r="C351" t="s">
        <v>260</v>
      </c>
      <c r="D351" t="s">
        <v>76</v>
      </c>
      <c r="E351" t="s">
        <v>694</v>
      </c>
      <c r="F351" t="s">
        <v>78</v>
      </c>
      <c r="G351" t="s">
        <v>695</v>
      </c>
      <c r="H351" t="s">
        <v>8595</v>
      </c>
      <c r="J351">
        <v>337792</v>
      </c>
      <c r="L351">
        <v>120382</v>
      </c>
      <c r="O351">
        <v>163</v>
      </c>
    </row>
    <row r="352" spans="1:15" x14ac:dyDescent="0.25">
      <c r="A352" t="s">
        <v>564</v>
      </c>
      <c r="B352" t="s">
        <v>28</v>
      </c>
      <c r="C352" t="s">
        <v>260</v>
      </c>
      <c r="D352" t="s">
        <v>76</v>
      </c>
      <c r="E352" t="s">
        <v>886</v>
      </c>
      <c r="F352" t="s">
        <v>78</v>
      </c>
      <c r="G352" t="s">
        <v>887</v>
      </c>
      <c r="H352" t="s">
        <v>8597</v>
      </c>
      <c r="J352">
        <v>337792</v>
      </c>
      <c r="L352">
        <v>120382</v>
      </c>
      <c r="O352">
        <v>164</v>
      </c>
    </row>
    <row r="353" spans="1:17" x14ac:dyDescent="0.25">
      <c r="A353" t="s">
        <v>564</v>
      </c>
      <c r="B353" t="s">
        <v>28</v>
      </c>
      <c r="C353" t="s">
        <v>260</v>
      </c>
      <c r="D353" t="s">
        <v>76</v>
      </c>
      <c r="E353" t="s">
        <v>890</v>
      </c>
      <c r="F353" t="s">
        <v>78</v>
      </c>
      <c r="G353" t="s">
        <v>891</v>
      </c>
      <c r="H353" t="s">
        <v>8695</v>
      </c>
      <c r="J353">
        <v>337792</v>
      </c>
      <c r="L353">
        <v>120382</v>
      </c>
      <c r="O353">
        <v>165</v>
      </c>
    </row>
    <row r="354" spans="1:17" x14ac:dyDescent="0.25">
      <c r="A354" t="s">
        <v>564</v>
      </c>
      <c r="B354" t="s">
        <v>28</v>
      </c>
      <c r="C354" t="s">
        <v>260</v>
      </c>
      <c r="D354" t="s">
        <v>76</v>
      </c>
      <c r="E354" t="s">
        <v>686</v>
      </c>
      <c r="F354" t="s">
        <v>78</v>
      </c>
      <c r="G354" t="s">
        <v>687</v>
      </c>
      <c r="H354" t="s">
        <v>8627</v>
      </c>
      <c r="J354">
        <v>337792</v>
      </c>
      <c r="L354">
        <v>120382</v>
      </c>
      <c r="O354">
        <v>166</v>
      </c>
    </row>
    <row r="355" spans="1:17" x14ac:dyDescent="0.25">
      <c r="A355" t="s">
        <v>564</v>
      </c>
      <c r="B355" t="s">
        <v>28</v>
      </c>
      <c r="C355" t="s">
        <v>260</v>
      </c>
      <c r="D355" t="s">
        <v>59</v>
      </c>
      <c r="E355" t="s">
        <v>78</v>
      </c>
      <c r="F355" t="s">
        <v>78</v>
      </c>
      <c r="G355" t="s">
        <v>696</v>
      </c>
      <c r="H355" t="s">
        <v>8715</v>
      </c>
      <c r="I355">
        <v>0.64362092648730584</v>
      </c>
      <c r="J355">
        <v>337792</v>
      </c>
      <c r="K355">
        <v>1</v>
      </c>
      <c r="L355">
        <v>217410</v>
      </c>
      <c r="M355">
        <v>217410</v>
      </c>
      <c r="N355">
        <v>5.8999999999999999E-3</v>
      </c>
      <c r="O355">
        <v>1</v>
      </c>
    </row>
    <row r="356" spans="1:17" x14ac:dyDescent="0.25">
      <c r="A356" t="s">
        <v>564</v>
      </c>
      <c r="B356" t="s">
        <v>28</v>
      </c>
      <c r="C356" t="s">
        <v>260</v>
      </c>
      <c r="D356" t="s">
        <v>59</v>
      </c>
      <c r="E356" t="s">
        <v>60</v>
      </c>
      <c r="F356" t="s">
        <v>78</v>
      </c>
      <c r="G356" t="s">
        <v>697</v>
      </c>
      <c r="H356" t="s">
        <v>8716</v>
      </c>
      <c r="I356">
        <v>0.60954078249336874</v>
      </c>
      <c r="J356">
        <v>337792</v>
      </c>
      <c r="K356">
        <v>0.94704935375557697</v>
      </c>
      <c r="L356">
        <v>217410</v>
      </c>
      <c r="M356">
        <v>205898</v>
      </c>
      <c r="N356">
        <v>4.8999999999999998E-3</v>
      </c>
      <c r="O356">
        <v>2</v>
      </c>
    </row>
    <row r="357" spans="1:17" x14ac:dyDescent="0.25">
      <c r="A357" t="s">
        <v>564</v>
      </c>
      <c r="B357" t="s">
        <v>28</v>
      </c>
      <c r="C357" t="s">
        <v>260</v>
      </c>
      <c r="D357" t="s">
        <v>59</v>
      </c>
      <c r="E357" t="s">
        <v>60</v>
      </c>
      <c r="F357" t="s">
        <v>61</v>
      </c>
      <c r="G357" t="s">
        <v>698</v>
      </c>
      <c r="H357" t="s">
        <v>8718</v>
      </c>
      <c r="I357">
        <v>0.32488632057597577</v>
      </c>
      <c r="J357">
        <v>337792</v>
      </c>
      <c r="K357">
        <v>0.5047789890069454</v>
      </c>
      <c r="L357">
        <v>217410</v>
      </c>
      <c r="M357">
        <v>109744</v>
      </c>
      <c r="N357">
        <v>5.0000000000000001E-3</v>
      </c>
      <c r="O357">
        <v>3</v>
      </c>
      <c r="Q357">
        <v>1</v>
      </c>
    </row>
    <row r="358" spans="1:17" x14ac:dyDescent="0.25">
      <c r="A358" t="s">
        <v>564</v>
      </c>
      <c r="B358" t="s">
        <v>28</v>
      </c>
      <c r="C358" t="s">
        <v>260</v>
      </c>
      <c r="D358" t="s">
        <v>59</v>
      </c>
      <c r="E358" t="s">
        <v>60</v>
      </c>
      <c r="F358" t="s">
        <v>62</v>
      </c>
      <c r="G358" t="s">
        <v>699</v>
      </c>
      <c r="H358" t="s">
        <v>8717</v>
      </c>
      <c r="I358">
        <v>0.18935025104206141</v>
      </c>
      <c r="J358">
        <v>337792</v>
      </c>
      <c r="K358">
        <v>0.29419529920426851</v>
      </c>
      <c r="L358">
        <v>217410</v>
      </c>
      <c r="M358">
        <v>63961</v>
      </c>
      <c r="N358">
        <v>0</v>
      </c>
      <c r="O358">
        <v>4</v>
      </c>
      <c r="Q358">
        <v>2</v>
      </c>
    </row>
    <row r="359" spans="1:17" x14ac:dyDescent="0.25">
      <c r="A359" t="s">
        <v>564</v>
      </c>
      <c r="B359" t="s">
        <v>28</v>
      </c>
      <c r="C359" t="s">
        <v>260</v>
      </c>
      <c r="D359" t="s">
        <v>59</v>
      </c>
      <c r="E359" t="s">
        <v>60</v>
      </c>
      <c r="F359" t="s">
        <v>63</v>
      </c>
      <c r="G359" t="s">
        <v>702</v>
      </c>
      <c r="H359" t="s">
        <v>8719</v>
      </c>
      <c r="I359">
        <v>0.15210247726411519</v>
      </c>
      <c r="J359">
        <v>337792</v>
      </c>
      <c r="K359">
        <v>0.23632307621544549</v>
      </c>
      <c r="L359">
        <v>217410</v>
      </c>
      <c r="M359">
        <v>51379</v>
      </c>
      <c r="N359">
        <v>1.0699999999999999E-2</v>
      </c>
      <c r="O359">
        <v>5</v>
      </c>
      <c r="Q359">
        <v>3</v>
      </c>
    </row>
    <row r="360" spans="1:17" x14ac:dyDescent="0.25">
      <c r="A360" t="s">
        <v>564</v>
      </c>
      <c r="B360" t="s">
        <v>28</v>
      </c>
      <c r="C360" t="s">
        <v>260</v>
      </c>
      <c r="D360" t="s">
        <v>59</v>
      </c>
      <c r="E360" t="s">
        <v>72</v>
      </c>
      <c r="F360" t="s">
        <v>78</v>
      </c>
      <c r="G360" t="s">
        <v>705</v>
      </c>
      <c r="H360" t="s">
        <v>8720</v>
      </c>
      <c r="I360">
        <v>3.0450691549829479E-2</v>
      </c>
      <c r="J360">
        <v>337792</v>
      </c>
      <c r="K360">
        <v>4.7311531208316077E-2</v>
      </c>
      <c r="L360">
        <v>217410</v>
      </c>
      <c r="M360">
        <v>10286</v>
      </c>
      <c r="N360">
        <v>1.17E-2</v>
      </c>
      <c r="O360">
        <v>6</v>
      </c>
    </row>
    <row r="361" spans="1:17" x14ac:dyDescent="0.25">
      <c r="A361" t="s">
        <v>564</v>
      </c>
      <c r="B361" t="s">
        <v>28</v>
      </c>
      <c r="C361" t="s">
        <v>260</v>
      </c>
      <c r="D361" t="s">
        <v>59</v>
      </c>
      <c r="E361" t="s">
        <v>64</v>
      </c>
      <c r="F361" t="s">
        <v>78</v>
      </c>
      <c r="G361" t="s">
        <v>703</v>
      </c>
      <c r="H361" t="s">
        <v>8723</v>
      </c>
      <c r="I361">
        <v>2.5571949602122019E-2</v>
      </c>
      <c r="J361">
        <v>337792</v>
      </c>
      <c r="K361">
        <v>3.9731383101053307E-2</v>
      </c>
      <c r="L361">
        <v>217410</v>
      </c>
      <c r="M361">
        <v>8638</v>
      </c>
      <c r="N361">
        <v>2.5700000000000001E-2</v>
      </c>
      <c r="O361">
        <v>7</v>
      </c>
    </row>
    <row r="362" spans="1:17" x14ac:dyDescent="0.25">
      <c r="A362" t="s">
        <v>564</v>
      </c>
      <c r="B362" t="s">
        <v>28</v>
      </c>
      <c r="C362" t="s">
        <v>260</v>
      </c>
      <c r="D362" t="s">
        <v>59</v>
      </c>
      <c r="E362" t="s">
        <v>64</v>
      </c>
      <c r="F362" t="s">
        <v>65</v>
      </c>
      <c r="G362" t="s">
        <v>704</v>
      </c>
      <c r="H362" t="s">
        <v>8726</v>
      </c>
      <c r="I362">
        <v>2.5213741000378931E-2</v>
      </c>
      <c r="J362">
        <v>337792</v>
      </c>
      <c r="K362">
        <v>3.9174830964537048E-2</v>
      </c>
      <c r="L362">
        <v>217410</v>
      </c>
      <c r="M362">
        <v>8517</v>
      </c>
      <c r="N362">
        <v>2.5899999999999999E-2</v>
      </c>
      <c r="O362">
        <v>8</v>
      </c>
      <c r="Q362">
        <v>4</v>
      </c>
    </row>
    <row r="363" spans="1:17" x14ac:dyDescent="0.25">
      <c r="A363" t="s">
        <v>564</v>
      </c>
      <c r="B363" t="s">
        <v>28</v>
      </c>
      <c r="C363" t="s">
        <v>260</v>
      </c>
      <c r="D363" t="s">
        <v>59</v>
      </c>
      <c r="E363" t="s">
        <v>72</v>
      </c>
      <c r="F363" t="s">
        <v>73</v>
      </c>
      <c r="G363" t="s">
        <v>706</v>
      </c>
      <c r="H363" t="s">
        <v>8724</v>
      </c>
      <c r="I363">
        <v>2.3200667866616141E-2</v>
      </c>
      <c r="J363">
        <v>337792</v>
      </c>
      <c r="K363">
        <v>3.6047099949404353E-2</v>
      </c>
      <c r="L363">
        <v>217410</v>
      </c>
      <c r="M363">
        <v>7837</v>
      </c>
      <c r="N363">
        <v>1.54E-2</v>
      </c>
      <c r="O363">
        <v>9</v>
      </c>
      <c r="Q363">
        <v>6</v>
      </c>
    </row>
    <row r="364" spans="1:17" x14ac:dyDescent="0.25">
      <c r="A364" t="s">
        <v>564</v>
      </c>
      <c r="B364" t="s">
        <v>28</v>
      </c>
      <c r="C364" t="s">
        <v>260</v>
      </c>
      <c r="D364" t="s">
        <v>59</v>
      </c>
      <c r="E364" t="s">
        <v>68</v>
      </c>
      <c r="F364" t="s">
        <v>78</v>
      </c>
      <c r="G364" t="s">
        <v>700</v>
      </c>
      <c r="H364" t="s">
        <v>8721</v>
      </c>
      <c r="I364">
        <v>1.136498200075786E-2</v>
      </c>
      <c r="J364">
        <v>337792</v>
      </c>
      <c r="K364">
        <v>1.765788142219769E-2</v>
      </c>
      <c r="L364">
        <v>217410</v>
      </c>
      <c r="M364">
        <v>3839</v>
      </c>
      <c r="O364">
        <v>10</v>
      </c>
    </row>
    <row r="365" spans="1:17" x14ac:dyDescent="0.25">
      <c r="A365" t="s">
        <v>564</v>
      </c>
      <c r="B365" t="s">
        <v>28</v>
      </c>
      <c r="C365" t="s">
        <v>260</v>
      </c>
      <c r="D365" t="s">
        <v>59</v>
      </c>
      <c r="E365" t="s">
        <v>68</v>
      </c>
      <c r="F365" t="s">
        <v>69</v>
      </c>
      <c r="G365" t="s">
        <v>701</v>
      </c>
      <c r="H365" t="s">
        <v>8722</v>
      </c>
      <c r="I365">
        <v>1.087947612732095E-2</v>
      </c>
      <c r="J365">
        <v>337792</v>
      </c>
      <c r="K365">
        <v>1.690354629501863E-2</v>
      </c>
      <c r="L365">
        <v>217410</v>
      </c>
      <c r="M365">
        <v>3675</v>
      </c>
      <c r="O365">
        <v>11</v>
      </c>
      <c r="Q365">
        <v>11</v>
      </c>
    </row>
    <row r="366" spans="1:17" x14ac:dyDescent="0.25">
      <c r="A366" t="s">
        <v>564</v>
      </c>
      <c r="B366" t="s">
        <v>28</v>
      </c>
      <c r="C366" t="s">
        <v>260</v>
      </c>
      <c r="D366" t="s">
        <v>59</v>
      </c>
      <c r="E366" t="s">
        <v>72</v>
      </c>
      <c r="F366" t="s">
        <v>74</v>
      </c>
      <c r="G366" t="s">
        <v>708</v>
      </c>
      <c r="H366" t="s">
        <v>8725</v>
      </c>
      <c r="I366">
        <v>7.2204196665403564E-3</v>
      </c>
      <c r="J366">
        <v>337792</v>
      </c>
      <c r="K366">
        <v>1.121843521457155E-2</v>
      </c>
      <c r="L366">
        <v>217410</v>
      </c>
      <c r="M366">
        <v>2439</v>
      </c>
      <c r="O366">
        <v>12</v>
      </c>
      <c r="Q366">
        <v>9</v>
      </c>
    </row>
    <row r="367" spans="1:17" x14ac:dyDescent="0.25">
      <c r="A367" t="s">
        <v>564</v>
      </c>
      <c r="B367" t="s">
        <v>28</v>
      </c>
      <c r="C367" t="s">
        <v>260</v>
      </c>
      <c r="D367" t="s">
        <v>59</v>
      </c>
      <c r="E367" t="s">
        <v>68</v>
      </c>
      <c r="F367" t="s">
        <v>70</v>
      </c>
      <c r="G367" t="s">
        <v>707</v>
      </c>
      <c r="H367" t="s">
        <v>8730</v>
      </c>
      <c r="I367">
        <v>5.2103069344448653E-4</v>
      </c>
      <c r="J367">
        <v>337792</v>
      </c>
      <c r="K367">
        <v>8.095303803872867E-4</v>
      </c>
      <c r="L367">
        <v>217410</v>
      </c>
      <c r="M367">
        <v>176</v>
      </c>
      <c r="O367">
        <v>13</v>
      </c>
      <c r="Q367">
        <v>10</v>
      </c>
    </row>
    <row r="368" spans="1:17" x14ac:dyDescent="0.25">
      <c r="A368" t="s">
        <v>564</v>
      </c>
      <c r="B368" t="s">
        <v>28</v>
      </c>
      <c r="C368" t="s">
        <v>260</v>
      </c>
      <c r="D368" t="s">
        <v>59</v>
      </c>
      <c r="E368" t="s">
        <v>64</v>
      </c>
      <c r="F368" t="s">
        <v>67</v>
      </c>
      <c r="G368" t="s">
        <v>709</v>
      </c>
      <c r="H368" t="s">
        <v>8729</v>
      </c>
      <c r="I368">
        <v>2.9900056839712012E-4</v>
      </c>
      <c r="J368">
        <v>337792</v>
      </c>
      <c r="K368">
        <v>4.6456004783588611E-4</v>
      </c>
      <c r="L368">
        <v>217410</v>
      </c>
      <c r="M368">
        <v>101</v>
      </c>
      <c r="N368">
        <v>9.7999999999999997E-3</v>
      </c>
      <c r="O368">
        <v>14</v>
      </c>
      <c r="Q368">
        <v>5</v>
      </c>
    </row>
    <row r="369" spans="1:17" x14ac:dyDescent="0.25">
      <c r="A369" t="s">
        <v>564</v>
      </c>
      <c r="B369" t="s">
        <v>28</v>
      </c>
      <c r="C369" t="s">
        <v>260</v>
      </c>
      <c r="D369" t="s">
        <v>59</v>
      </c>
      <c r="E369" t="s">
        <v>72</v>
      </c>
      <c r="F369" t="s">
        <v>75</v>
      </c>
      <c r="G369" t="s">
        <v>710</v>
      </c>
      <c r="H369" t="s">
        <v>8731</v>
      </c>
      <c r="I369">
        <v>1.036140583554377E-4</v>
      </c>
      <c r="J369">
        <v>337792</v>
      </c>
      <c r="K369">
        <v>1.609861551906536E-4</v>
      </c>
      <c r="L369">
        <v>217410</v>
      </c>
      <c r="M369">
        <v>35</v>
      </c>
      <c r="O369">
        <v>15</v>
      </c>
      <c r="Q369">
        <v>7</v>
      </c>
    </row>
    <row r="370" spans="1:17" x14ac:dyDescent="0.25">
      <c r="A370" t="s">
        <v>564</v>
      </c>
      <c r="B370" t="s">
        <v>28</v>
      </c>
      <c r="C370" t="s">
        <v>260</v>
      </c>
      <c r="D370" t="s">
        <v>59</v>
      </c>
      <c r="E370" t="s">
        <v>64</v>
      </c>
      <c r="F370" t="s">
        <v>8535</v>
      </c>
      <c r="G370" t="s">
        <v>8536</v>
      </c>
      <c r="H370" t="s">
        <v>8732</v>
      </c>
      <c r="I370">
        <v>9.7693255020841224E-5</v>
      </c>
      <c r="J370">
        <v>337792</v>
      </c>
      <c r="K370">
        <v>1.517869463226163E-4</v>
      </c>
      <c r="L370">
        <v>217410</v>
      </c>
      <c r="M370">
        <v>33</v>
      </c>
      <c r="O370">
        <v>16</v>
      </c>
    </row>
    <row r="371" spans="1:17" x14ac:dyDescent="0.25">
      <c r="A371" t="s">
        <v>564</v>
      </c>
      <c r="B371" t="s">
        <v>28</v>
      </c>
      <c r="C371" t="s">
        <v>260</v>
      </c>
      <c r="D371" t="s">
        <v>59</v>
      </c>
      <c r="E371" t="s">
        <v>64</v>
      </c>
      <c r="F371" t="s">
        <v>8547</v>
      </c>
      <c r="G371" t="s">
        <v>8548</v>
      </c>
      <c r="H371" t="s">
        <v>8728</v>
      </c>
      <c r="I371">
        <v>2.960401667298219E-6</v>
      </c>
      <c r="J371">
        <v>337792</v>
      </c>
      <c r="K371">
        <v>4.5996044340186743E-6</v>
      </c>
      <c r="L371">
        <v>217410</v>
      </c>
      <c r="M371">
        <v>1</v>
      </c>
      <c r="O371">
        <v>17</v>
      </c>
    </row>
    <row r="372" spans="1:17" x14ac:dyDescent="0.25">
      <c r="A372" t="s">
        <v>564</v>
      </c>
      <c r="B372" t="s">
        <v>28</v>
      </c>
      <c r="C372" t="s">
        <v>260</v>
      </c>
      <c r="D372" t="s">
        <v>59</v>
      </c>
      <c r="E372" t="s">
        <v>68</v>
      </c>
      <c r="F372" t="s">
        <v>71</v>
      </c>
      <c r="G372" t="s">
        <v>8538</v>
      </c>
      <c r="H372" t="s">
        <v>8734</v>
      </c>
      <c r="J372">
        <v>337792</v>
      </c>
      <c r="L372">
        <v>217410</v>
      </c>
      <c r="O372">
        <v>18</v>
      </c>
    </row>
    <row r="373" spans="1:17" x14ac:dyDescent="0.25">
      <c r="A373" t="s">
        <v>564</v>
      </c>
      <c r="B373" t="s">
        <v>28</v>
      </c>
      <c r="C373" t="s">
        <v>260</v>
      </c>
      <c r="D373" t="s">
        <v>59</v>
      </c>
      <c r="E373" t="s">
        <v>64</v>
      </c>
      <c r="F373" t="s">
        <v>470</v>
      </c>
      <c r="G373" t="s">
        <v>8540</v>
      </c>
      <c r="H373" t="s">
        <v>8727</v>
      </c>
      <c r="J373">
        <v>337792</v>
      </c>
      <c r="L373">
        <v>217410</v>
      </c>
      <c r="O373">
        <v>19</v>
      </c>
    </row>
    <row r="374" spans="1:17" x14ac:dyDescent="0.25">
      <c r="A374" t="s">
        <v>564</v>
      </c>
      <c r="B374" t="s">
        <v>28</v>
      </c>
      <c r="C374" t="s">
        <v>260</v>
      </c>
      <c r="D374" t="s">
        <v>59</v>
      </c>
      <c r="E374" t="s">
        <v>64</v>
      </c>
      <c r="F374" t="s">
        <v>8543</v>
      </c>
      <c r="G374" t="s">
        <v>8544</v>
      </c>
      <c r="H374" t="s">
        <v>8733</v>
      </c>
      <c r="J374">
        <v>337792</v>
      </c>
      <c r="L374">
        <v>217410</v>
      </c>
      <c r="O374">
        <v>20</v>
      </c>
    </row>
    <row r="375" spans="1:17" x14ac:dyDescent="0.25">
      <c r="A375" t="s">
        <v>564</v>
      </c>
      <c r="B375" t="s">
        <v>28</v>
      </c>
      <c r="C375" t="s">
        <v>260</v>
      </c>
      <c r="D375" t="s">
        <v>59</v>
      </c>
      <c r="E375" t="s">
        <v>72</v>
      </c>
      <c r="F375" t="s">
        <v>352</v>
      </c>
      <c r="G375" t="s">
        <v>1117</v>
      </c>
      <c r="H375" t="s">
        <v>8735</v>
      </c>
      <c r="J375">
        <v>337792</v>
      </c>
      <c r="L375">
        <v>217410</v>
      </c>
      <c r="O375">
        <v>21</v>
      </c>
      <c r="Q375">
        <v>8</v>
      </c>
    </row>
    <row r="376" spans="1:17" x14ac:dyDescent="0.25">
      <c r="A376" t="s">
        <v>564</v>
      </c>
      <c r="B376" t="s">
        <v>28</v>
      </c>
      <c r="C376" t="s">
        <v>148</v>
      </c>
      <c r="D376" t="s">
        <v>76</v>
      </c>
      <c r="E376" t="s">
        <v>78</v>
      </c>
      <c r="F376" t="s">
        <v>78</v>
      </c>
      <c r="G376" t="s">
        <v>575</v>
      </c>
      <c r="H376" t="s">
        <v>8736</v>
      </c>
      <c r="I376">
        <v>0.34935676233162988</v>
      </c>
      <c r="J376">
        <v>515828</v>
      </c>
      <c r="K376">
        <v>1</v>
      </c>
      <c r="L376">
        <v>180208</v>
      </c>
      <c r="M376">
        <v>180208</v>
      </c>
      <c r="N376">
        <v>9.7999999999999997E-3</v>
      </c>
      <c r="O376">
        <v>1</v>
      </c>
    </row>
    <row r="377" spans="1:17" x14ac:dyDescent="0.25">
      <c r="A377" t="s">
        <v>564</v>
      </c>
      <c r="B377" t="s">
        <v>28</v>
      </c>
      <c r="C377" t="s">
        <v>148</v>
      </c>
      <c r="D377" t="s">
        <v>76</v>
      </c>
      <c r="E377" t="s">
        <v>80</v>
      </c>
      <c r="F377" t="s">
        <v>78</v>
      </c>
      <c r="G377" t="s">
        <v>576</v>
      </c>
      <c r="H377" t="s">
        <v>8737</v>
      </c>
      <c r="I377">
        <v>9.1410315066262404E-2</v>
      </c>
      <c r="J377">
        <v>515828</v>
      </c>
      <c r="K377">
        <v>0.26165320074580478</v>
      </c>
      <c r="L377">
        <v>180208</v>
      </c>
      <c r="M377">
        <v>47152</v>
      </c>
      <c r="N377">
        <v>9.1000000000000004E-3</v>
      </c>
      <c r="O377">
        <v>2</v>
      </c>
      <c r="P377">
        <v>1</v>
      </c>
    </row>
    <row r="378" spans="1:17" x14ac:dyDescent="0.25">
      <c r="A378" t="s">
        <v>564</v>
      </c>
      <c r="B378" t="s">
        <v>28</v>
      </c>
      <c r="C378" t="s">
        <v>148</v>
      </c>
      <c r="D378" t="s">
        <v>76</v>
      </c>
      <c r="E378" t="s">
        <v>80</v>
      </c>
      <c r="F378" t="s">
        <v>8326</v>
      </c>
      <c r="G378" t="s">
        <v>8327</v>
      </c>
      <c r="H378" t="s">
        <v>8738</v>
      </c>
      <c r="I378">
        <v>9.1218390626332815E-2</v>
      </c>
      <c r="J378">
        <v>515828</v>
      </c>
      <c r="K378">
        <v>0.26110383556778832</v>
      </c>
      <c r="L378">
        <v>180208</v>
      </c>
      <c r="M378">
        <v>47053</v>
      </c>
      <c r="N378">
        <v>9.1000000000000004E-3</v>
      </c>
      <c r="O378">
        <v>3</v>
      </c>
    </row>
    <row r="379" spans="1:17" x14ac:dyDescent="0.25">
      <c r="A379" t="s">
        <v>564</v>
      </c>
      <c r="B379" t="s">
        <v>28</v>
      </c>
      <c r="C379" t="s">
        <v>148</v>
      </c>
      <c r="D379" t="s">
        <v>76</v>
      </c>
      <c r="E379" t="s">
        <v>79</v>
      </c>
      <c r="F379" t="s">
        <v>78</v>
      </c>
      <c r="G379" t="s">
        <v>577</v>
      </c>
      <c r="H379" t="s">
        <v>8739</v>
      </c>
      <c r="I379">
        <v>8.6569554192482759E-2</v>
      </c>
      <c r="J379">
        <v>515828</v>
      </c>
      <c r="K379">
        <v>0.24779699014472159</v>
      </c>
      <c r="L379">
        <v>180208</v>
      </c>
      <c r="M379">
        <v>44655</v>
      </c>
      <c r="N379">
        <v>3.5999999999999999E-3</v>
      </c>
      <c r="O379">
        <v>4</v>
      </c>
      <c r="P379">
        <v>4</v>
      </c>
    </row>
    <row r="380" spans="1:17" x14ac:dyDescent="0.25">
      <c r="A380" t="s">
        <v>564</v>
      </c>
      <c r="B380" t="s">
        <v>28</v>
      </c>
      <c r="C380" t="s">
        <v>148</v>
      </c>
      <c r="D380" t="s">
        <v>76</v>
      </c>
      <c r="E380" t="s">
        <v>81</v>
      </c>
      <c r="F380" t="s">
        <v>78</v>
      </c>
      <c r="G380" t="s">
        <v>578</v>
      </c>
      <c r="H380" t="s">
        <v>8740</v>
      </c>
      <c r="I380">
        <v>6.7605868622874293E-2</v>
      </c>
      <c r="J380">
        <v>515828</v>
      </c>
      <c r="K380">
        <v>0.1935152712421202</v>
      </c>
      <c r="L380">
        <v>180208</v>
      </c>
      <c r="M380">
        <v>34873</v>
      </c>
      <c r="N380">
        <v>4.4000000000000003E-3</v>
      </c>
      <c r="O380">
        <v>5</v>
      </c>
      <c r="P380">
        <v>5</v>
      </c>
    </row>
    <row r="381" spans="1:17" x14ac:dyDescent="0.25">
      <c r="A381" t="s">
        <v>564</v>
      </c>
      <c r="B381" t="s">
        <v>28</v>
      </c>
      <c r="C381" t="s">
        <v>148</v>
      </c>
      <c r="D381" t="s">
        <v>76</v>
      </c>
      <c r="E381" t="s">
        <v>81</v>
      </c>
      <c r="F381" t="s">
        <v>585</v>
      </c>
      <c r="G381" t="s">
        <v>586</v>
      </c>
      <c r="H381" t="s">
        <v>8741</v>
      </c>
      <c r="I381">
        <v>5.874826492551781E-2</v>
      </c>
      <c r="J381">
        <v>515828</v>
      </c>
      <c r="K381">
        <v>0.1681612359051762</v>
      </c>
      <c r="L381">
        <v>180208</v>
      </c>
      <c r="M381">
        <v>30304</v>
      </c>
      <c r="N381">
        <v>1E-4</v>
      </c>
      <c r="O381">
        <v>6</v>
      </c>
    </row>
    <row r="382" spans="1:17" x14ac:dyDescent="0.25">
      <c r="A382" t="s">
        <v>564</v>
      </c>
      <c r="B382" t="s">
        <v>28</v>
      </c>
      <c r="C382" t="s">
        <v>148</v>
      </c>
      <c r="D382" t="s">
        <v>76</v>
      </c>
      <c r="E382" t="s">
        <v>598</v>
      </c>
      <c r="F382" t="s">
        <v>78</v>
      </c>
      <c r="G382" t="s">
        <v>599</v>
      </c>
      <c r="H382" t="s">
        <v>8745</v>
      </c>
      <c r="I382">
        <v>3.153182843893701E-2</v>
      </c>
      <c r="J382">
        <v>515828</v>
      </c>
      <c r="K382">
        <v>9.0256814347864686E-2</v>
      </c>
      <c r="L382">
        <v>180208</v>
      </c>
      <c r="M382">
        <v>16265</v>
      </c>
      <c r="N382">
        <v>1E-3</v>
      </c>
      <c r="O382">
        <v>7</v>
      </c>
    </row>
    <row r="383" spans="1:17" x14ac:dyDescent="0.25">
      <c r="A383" t="s">
        <v>564</v>
      </c>
      <c r="B383" t="s">
        <v>28</v>
      </c>
      <c r="C383" t="s">
        <v>148</v>
      </c>
      <c r="D383" t="s">
        <v>76</v>
      </c>
      <c r="E383" t="s">
        <v>83</v>
      </c>
      <c r="F383" t="s">
        <v>78</v>
      </c>
      <c r="G383" t="s">
        <v>580</v>
      </c>
      <c r="H383" t="s">
        <v>8742</v>
      </c>
      <c r="I383">
        <v>2.72978589762479E-2</v>
      </c>
      <c r="J383">
        <v>515828</v>
      </c>
      <c r="K383">
        <v>7.8137485572227647E-2</v>
      </c>
      <c r="L383">
        <v>180208</v>
      </c>
      <c r="M383">
        <v>14081</v>
      </c>
      <c r="N383">
        <v>8.1199999999999994E-2</v>
      </c>
      <c r="O383">
        <v>8</v>
      </c>
      <c r="P383">
        <v>3</v>
      </c>
    </row>
    <row r="384" spans="1:17" x14ac:dyDescent="0.25">
      <c r="A384" t="s">
        <v>564</v>
      </c>
      <c r="B384" t="s">
        <v>28</v>
      </c>
      <c r="C384" t="s">
        <v>148</v>
      </c>
      <c r="D384" t="s">
        <v>76</v>
      </c>
      <c r="E384" t="s">
        <v>82</v>
      </c>
      <c r="F384" t="s">
        <v>78</v>
      </c>
      <c r="G384" t="s">
        <v>579</v>
      </c>
      <c r="H384" t="s">
        <v>8743</v>
      </c>
      <c r="I384">
        <v>2.538443046907109E-2</v>
      </c>
      <c r="J384">
        <v>515828</v>
      </c>
      <c r="K384">
        <v>7.2660481221699366E-2</v>
      </c>
      <c r="L384">
        <v>180208</v>
      </c>
      <c r="M384">
        <v>13094</v>
      </c>
      <c r="N384">
        <v>2.7799999999999998E-2</v>
      </c>
      <c r="O384">
        <v>9</v>
      </c>
      <c r="P384">
        <v>2</v>
      </c>
    </row>
    <row r="385" spans="1:16" x14ac:dyDescent="0.25">
      <c r="A385" t="s">
        <v>564</v>
      </c>
      <c r="B385" t="s">
        <v>28</v>
      </c>
      <c r="C385" t="s">
        <v>148</v>
      </c>
      <c r="D385" t="s">
        <v>76</v>
      </c>
      <c r="E385" t="s">
        <v>592</v>
      </c>
      <c r="F385" t="s">
        <v>78</v>
      </c>
      <c r="G385" t="s">
        <v>593</v>
      </c>
      <c r="H385" t="s">
        <v>8746</v>
      </c>
      <c r="I385">
        <v>2.1101995238722981E-2</v>
      </c>
      <c r="J385">
        <v>515828</v>
      </c>
      <c r="K385">
        <v>6.0402423865755117E-2</v>
      </c>
      <c r="L385">
        <v>180208</v>
      </c>
      <c r="M385">
        <v>10885</v>
      </c>
      <c r="N385">
        <v>5.7000000000000002E-3</v>
      </c>
      <c r="O385">
        <v>10</v>
      </c>
    </row>
    <row r="386" spans="1:16" x14ac:dyDescent="0.25">
      <c r="A386" t="s">
        <v>564</v>
      </c>
      <c r="B386" t="s">
        <v>28</v>
      </c>
      <c r="C386" t="s">
        <v>148</v>
      </c>
      <c r="D386" t="s">
        <v>76</v>
      </c>
      <c r="E386" t="s">
        <v>346</v>
      </c>
      <c r="F386" t="s">
        <v>78</v>
      </c>
      <c r="G386" t="s">
        <v>584</v>
      </c>
      <c r="H386" t="s">
        <v>8749</v>
      </c>
      <c r="I386">
        <v>1.3283497599975189E-2</v>
      </c>
      <c r="J386">
        <v>515828</v>
      </c>
      <c r="K386">
        <v>3.802272929059753E-2</v>
      </c>
      <c r="L386">
        <v>180208</v>
      </c>
      <c r="M386">
        <v>6852</v>
      </c>
      <c r="N386">
        <v>4.7000000000000002E-3</v>
      </c>
      <c r="O386">
        <v>11</v>
      </c>
      <c r="P386">
        <v>6</v>
      </c>
    </row>
    <row r="387" spans="1:16" x14ac:dyDescent="0.25">
      <c r="A387" t="s">
        <v>564</v>
      </c>
      <c r="B387" t="s">
        <v>28</v>
      </c>
      <c r="C387" t="s">
        <v>148</v>
      </c>
      <c r="D387" t="s">
        <v>76</v>
      </c>
      <c r="E387" t="s">
        <v>77</v>
      </c>
      <c r="F387" t="s">
        <v>78</v>
      </c>
      <c r="G387" t="s">
        <v>581</v>
      </c>
      <c r="H387" t="s">
        <v>8748</v>
      </c>
      <c r="I387">
        <v>1.3207891002427171E-2</v>
      </c>
      <c r="J387">
        <v>515828</v>
      </c>
      <c r="K387">
        <v>3.7806312705318298E-2</v>
      </c>
      <c r="L387">
        <v>180208</v>
      </c>
      <c r="M387">
        <v>6813</v>
      </c>
      <c r="N387">
        <v>2.9899999999999999E-2</v>
      </c>
      <c r="O387">
        <v>12</v>
      </c>
      <c r="P387">
        <v>7</v>
      </c>
    </row>
    <row r="388" spans="1:16" x14ac:dyDescent="0.25">
      <c r="A388" t="s">
        <v>564</v>
      </c>
      <c r="B388" t="s">
        <v>28</v>
      </c>
      <c r="C388" t="s">
        <v>148</v>
      </c>
      <c r="D388" t="s">
        <v>76</v>
      </c>
      <c r="E388" t="s">
        <v>84</v>
      </c>
      <c r="F388" t="s">
        <v>78</v>
      </c>
      <c r="G388" t="s">
        <v>589</v>
      </c>
      <c r="H388" t="s">
        <v>8747</v>
      </c>
      <c r="I388">
        <v>1.2496413533193239E-2</v>
      </c>
      <c r="J388">
        <v>515828</v>
      </c>
      <c r="K388">
        <v>3.5769777146408603E-2</v>
      </c>
      <c r="L388">
        <v>180208</v>
      </c>
      <c r="M388">
        <v>6446</v>
      </c>
      <c r="N388">
        <v>8.6900000000000005E-2</v>
      </c>
      <c r="O388">
        <v>13</v>
      </c>
    </row>
    <row r="389" spans="1:16" x14ac:dyDescent="0.25">
      <c r="A389" t="s">
        <v>564</v>
      </c>
      <c r="B389" t="s">
        <v>28</v>
      </c>
      <c r="C389" t="s">
        <v>148</v>
      </c>
      <c r="D389" t="s">
        <v>76</v>
      </c>
      <c r="E389" t="s">
        <v>592</v>
      </c>
      <c r="F389" t="s">
        <v>624</v>
      </c>
      <c r="G389" t="s">
        <v>625</v>
      </c>
      <c r="H389" t="s">
        <v>8755</v>
      </c>
      <c r="I389">
        <v>1.014485448637918E-2</v>
      </c>
      <c r="J389">
        <v>515828</v>
      </c>
      <c r="K389">
        <v>2.9038666429903218E-2</v>
      </c>
      <c r="L389">
        <v>180208</v>
      </c>
      <c r="M389">
        <v>5233</v>
      </c>
      <c r="N389">
        <v>8.9999999999999993E-3</v>
      </c>
      <c r="O389">
        <v>14</v>
      </c>
    </row>
    <row r="390" spans="1:16" x14ac:dyDescent="0.25">
      <c r="A390" t="s">
        <v>564</v>
      </c>
      <c r="B390" t="s">
        <v>28</v>
      </c>
      <c r="C390" t="s">
        <v>148</v>
      </c>
      <c r="D390" t="s">
        <v>76</v>
      </c>
      <c r="E390" t="s">
        <v>672</v>
      </c>
      <c r="F390" t="s">
        <v>78</v>
      </c>
      <c r="G390" t="s">
        <v>673</v>
      </c>
      <c r="H390" t="s">
        <v>8744</v>
      </c>
      <c r="I390">
        <v>9.9878253991640617E-3</v>
      </c>
      <c r="J390">
        <v>515828</v>
      </c>
      <c r="K390">
        <v>2.8589185829707889E-2</v>
      </c>
      <c r="L390">
        <v>180208</v>
      </c>
      <c r="M390">
        <v>5152</v>
      </c>
      <c r="N390">
        <v>8.0000000000000004E-4</v>
      </c>
      <c r="O390">
        <v>15</v>
      </c>
    </row>
    <row r="391" spans="1:16" x14ac:dyDescent="0.25">
      <c r="A391" t="s">
        <v>564</v>
      </c>
      <c r="B391" t="s">
        <v>28</v>
      </c>
      <c r="C391" t="s">
        <v>148</v>
      </c>
      <c r="D391" t="s">
        <v>76</v>
      </c>
      <c r="E391" t="s">
        <v>606</v>
      </c>
      <c r="F391" t="s">
        <v>78</v>
      </c>
      <c r="G391" t="s">
        <v>607</v>
      </c>
      <c r="H391" t="s">
        <v>8753</v>
      </c>
      <c r="I391">
        <v>8.621090751180626E-3</v>
      </c>
      <c r="J391">
        <v>515828</v>
      </c>
      <c r="K391">
        <v>2.4677039865044839E-2</v>
      </c>
      <c r="L391">
        <v>180208</v>
      </c>
      <c r="M391">
        <v>4447</v>
      </c>
      <c r="N391">
        <v>1.35E-2</v>
      </c>
      <c r="O391">
        <v>16</v>
      </c>
    </row>
    <row r="392" spans="1:16" x14ac:dyDescent="0.25">
      <c r="A392" t="s">
        <v>564</v>
      </c>
      <c r="B392" t="s">
        <v>28</v>
      </c>
      <c r="C392" t="s">
        <v>148</v>
      </c>
      <c r="D392" t="s">
        <v>76</v>
      </c>
      <c r="E392" t="s">
        <v>81</v>
      </c>
      <c r="F392" t="s">
        <v>590</v>
      </c>
      <c r="G392" t="s">
        <v>591</v>
      </c>
      <c r="H392" t="s">
        <v>8750</v>
      </c>
      <c r="I392">
        <v>8.2004078879006174E-3</v>
      </c>
      <c r="J392">
        <v>515828</v>
      </c>
      <c r="K392">
        <v>2.347287578797834E-2</v>
      </c>
      <c r="L392">
        <v>180208</v>
      </c>
      <c r="M392">
        <v>4230</v>
      </c>
      <c r="N392">
        <v>3.2899999999999999E-2</v>
      </c>
      <c r="O392">
        <v>17</v>
      </c>
    </row>
    <row r="393" spans="1:16" x14ac:dyDescent="0.25">
      <c r="A393" t="s">
        <v>564</v>
      </c>
      <c r="B393" t="s">
        <v>28</v>
      </c>
      <c r="C393" t="s">
        <v>148</v>
      </c>
      <c r="D393" t="s">
        <v>76</v>
      </c>
      <c r="E393" t="s">
        <v>592</v>
      </c>
      <c r="F393" t="s">
        <v>803</v>
      </c>
      <c r="G393" t="s">
        <v>804</v>
      </c>
      <c r="H393" t="s">
        <v>8751</v>
      </c>
      <c r="I393">
        <v>7.3571035306342434E-3</v>
      </c>
      <c r="J393">
        <v>515828</v>
      </c>
      <c r="K393">
        <v>2.105899849063305E-2</v>
      </c>
      <c r="L393">
        <v>180208</v>
      </c>
      <c r="M393">
        <v>3795</v>
      </c>
      <c r="N393">
        <v>1.1000000000000001E-3</v>
      </c>
      <c r="O393">
        <v>18</v>
      </c>
    </row>
    <row r="394" spans="1:16" x14ac:dyDescent="0.25">
      <c r="A394" t="s">
        <v>564</v>
      </c>
      <c r="B394" t="s">
        <v>28</v>
      </c>
      <c r="C394" t="s">
        <v>148</v>
      </c>
      <c r="D394" t="s">
        <v>76</v>
      </c>
      <c r="E394" t="s">
        <v>600</v>
      </c>
      <c r="F394" t="s">
        <v>78</v>
      </c>
      <c r="G394" t="s">
        <v>601</v>
      </c>
      <c r="H394" t="s">
        <v>8752</v>
      </c>
      <c r="I394">
        <v>7.2117062276572811E-3</v>
      </c>
      <c r="J394">
        <v>515828</v>
      </c>
      <c r="K394">
        <v>2.0642812749711449E-2</v>
      </c>
      <c r="L394">
        <v>180208</v>
      </c>
      <c r="M394">
        <v>3720</v>
      </c>
      <c r="N394">
        <v>5.4000000000000003E-3</v>
      </c>
      <c r="O394">
        <v>19</v>
      </c>
    </row>
    <row r="395" spans="1:16" x14ac:dyDescent="0.25">
      <c r="A395" t="s">
        <v>564</v>
      </c>
      <c r="B395" t="s">
        <v>28</v>
      </c>
      <c r="C395" t="s">
        <v>148</v>
      </c>
      <c r="D395" t="s">
        <v>76</v>
      </c>
      <c r="E395" t="s">
        <v>600</v>
      </c>
      <c r="F395" t="s">
        <v>614</v>
      </c>
      <c r="G395" t="s">
        <v>615</v>
      </c>
      <c r="H395" t="s">
        <v>8754</v>
      </c>
      <c r="I395">
        <v>6.5041060198360694E-3</v>
      </c>
      <c r="J395">
        <v>515828</v>
      </c>
      <c r="K395">
        <v>1.8617375477226319E-2</v>
      </c>
      <c r="L395">
        <v>180208</v>
      </c>
      <c r="M395">
        <v>3355</v>
      </c>
      <c r="N395">
        <v>3.0000000000000001E-3</v>
      </c>
      <c r="O395">
        <v>20</v>
      </c>
    </row>
    <row r="396" spans="1:16" x14ac:dyDescent="0.25">
      <c r="A396" t="s">
        <v>564</v>
      </c>
      <c r="B396" t="s">
        <v>28</v>
      </c>
      <c r="C396" t="s">
        <v>148</v>
      </c>
      <c r="D396" t="s">
        <v>76</v>
      </c>
      <c r="E396" t="s">
        <v>592</v>
      </c>
      <c r="F396" t="s">
        <v>811</v>
      </c>
      <c r="G396" t="s">
        <v>812</v>
      </c>
      <c r="H396" t="s">
        <v>8757</v>
      </c>
      <c r="I396">
        <v>4.1874423257364859E-3</v>
      </c>
      <c r="J396">
        <v>515828</v>
      </c>
      <c r="K396">
        <v>1.198614933854213E-2</v>
      </c>
      <c r="L396">
        <v>180208</v>
      </c>
      <c r="M396">
        <v>2160</v>
      </c>
      <c r="N396">
        <v>5.5999999999999999E-3</v>
      </c>
      <c r="O396">
        <v>21</v>
      </c>
    </row>
    <row r="397" spans="1:16" x14ac:dyDescent="0.25">
      <c r="A397" t="s">
        <v>564</v>
      </c>
      <c r="B397" t="s">
        <v>28</v>
      </c>
      <c r="C397" t="s">
        <v>148</v>
      </c>
      <c r="D397" t="s">
        <v>76</v>
      </c>
      <c r="E397" t="s">
        <v>610</v>
      </c>
      <c r="F397" t="s">
        <v>78</v>
      </c>
      <c r="G397" t="s">
        <v>611</v>
      </c>
      <c r="H397" t="s">
        <v>8759</v>
      </c>
      <c r="I397">
        <v>3.3402607070573912E-3</v>
      </c>
      <c r="J397">
        <v>515828</v>
      </c>
      <c r="K397">
        <v>9.561173754772263E-3</v>
      </c>
      <c r="L397">
        <v>180208</v>
      </c>
      <c r="M397">
        <v>1723</v>
      </c>
      <c r="N397">
        <v>5.9799999999999999E-2</v>
      </c>
      <c r="O397">
        <v>22</v>
      </c>
    </row>
    <row r="398" spans="1:16" x14ac:dyDescent="0.25">
      <c r="A398" t="s">
        <v>564</v>
      </c>
      <c r="B398" t="s">
        <v>28</v>
      </c>
      <c r="C398" t="s">
        <v>148</v>
      </c>
      <c r="D398" t="s">
        <v>76</v>
      </c>
      <c r="E398" t="s">
        <v>602</v>
      </c>
      <c r="F398" t="s">
        <v>78</v>
      </c>
      <c r="G398" t="s">
        <v>603</v>
      </c>
      <c r="H398" t="s">
        <v>8761</v>
      </c>
      <c r="I398">
        <v>2.3612522003458522E-3</v>
      </c>
      <c r="J398">
        <v>515828</v>
      </c>
      <c r="K398">
        <v>6.7588564325668119E-3</v>
      </c>
      <c r="L398">
        <v>180208</v>
      </c>
      <c r="M398">
        <v>1218</v>
      </c>
      <c r="N398">
        <v>1.06E-2</v>
      </c>
      <c r="O398">
        <v>23</v>
      </c>
    </row>
    <row r="399" spans="1:16" x14ac:dyDescent="0.25">
      <c r="A399" t="s">
        <v>564</v>
      </c>
      <c r="B399" t="s">
        <v>28</v>
      </c>
      <c r="C399" t="s">
        <v>148</v>
      </c>
      <c r="D399" t="s">
        <v>76</v>
      </c>
      <c r="E399" t="s">
        <v>618</v>
      </c>
      <c r="F399" t="s">
        <v>78</v>
      </c>
      <c r="G399" t="s">
        <v>619</v>
      </c>
      <c r="H399" t="s">
        <v>8763</v>
      </c>
      <c r="I399">
        <v>2.2914614949169098E-3</v>
      </c>
      <c r="J399">
        <v>515828</v>
      </c>
      <c r="K399">
        <v>6.5590872769244416E-3</v>
      </c>
      <c r="L399">
        <v>180208</v>
      </c>
      <c r="M399">
        <v>1182</v>
      </c>
      <c r="N399">
        <v>1.0999999999999999E-2</v>
      </c>
      <c r="O399">
        <v>24</v>
      </c>
    </row>
    <row r="400" spans="1:16" x14ac:dyDescent="0.25">
      <c r="A400" t="s">
        <v>564</v>
      </c>
      <c r="B400" t="s">
        <v>28</v>
      </c>
      <c r="C400" t="s">
        <v>148</v>
      </c>
      <c r="D400" t="s">
        <v>76</v>
      </c>
      <c r="E400" t="s">
        <v>634</v>
      </c>
      <c r="F400" t="s">
        <v>78</v>
      </c>
      <c r="G400" t="s">
        <v>635</v>
      </c>
      <c r="H400" t="s">
        <v>8756</v>
      </c>
      <c r="I400">
        <v>2.268197926440597E-3</v>
      </c>
      <c r="J400">
        <v>515828</v>
      </c>
      <c r="K400">
        <v>6.4924975583769869E-3</v>
      </c>
      <c r="L400">
        <v>180208</v>
      </c>
      <c r="M400">
        <v>1170</v>
      </c>
      <c r="N400">
        <v>1.2800000000000001E-2</v>
      </c>
      <c r="O400">
        <v>25</v>
      </c>
    </row>
    <row r="401" spans="1:15" x14ac:dyDescent="0.25">
      <c r="A401" t="s">
        <v>564</v>
      </c>
      <c r="B401" t="s">
        <v>28</v>
      </c>
      <c r="C401" t="s">
        <v>148</v>
      </c>
      <c r="D401" t="s">
        <v>76</v>
      </c>
      <c r="E401" t="s">
        <v>632</v>
      </c>
      <c r="F401" t="s">
        <v>78</v>
      </c>
      <c r="G401" t="s">
        <v>633</v>
      </c>
      <c r="H401" t="s">
        <v>8767</v>
      </c>
      <c r="I401">
        <v>2.0064827810820662E-3</v>
      </c>
      <c r="J401">
        <v>515828</v>
      </c>
      <c r="K401">
        <v>5.7433632247181031E-3</v>
      </c>
      <c r="L401">
        <v>180208</v>
      </c>
      <c r="M401">
        <v>1035</v>
      </c>
      <c r="O401">
        <v>26</v>
      </c>
    </row>
    <row r="402" spans="1:15" x14ac:dyDescent="0.25">
      <c r="A402" t="s">
        <v>564</v>
      </c>
      <c r="B402" t="s">
        <v>28</v>
      </c>
      <c r="C402" t="s">
        <v>148</v>
      </c>
      <c r="D402" t="s">
        <v>76</v>
      </c>
      <c r="E402" t="s">
        <v>620</v>
      </c>
      <c r="F402" t="s">
        <v>78</v>
      </c>
      <c r="G402" t="s">
        <v>621</v>
      </c>
      <c r="H402" t="s">
        <v>8760</v>
      </c>
      <c r="I402">
        <v>1.9328148142404059E-3</v>
      </c>
      <c r="J402">
        <v>515828</v>
      </c>
      <c r="K402">
        <v>5.5324957826511584E-3</v>
      </c>
      <c r="L402">
        <v>180208</v>
      </c>
      <c r="M402">
        <v>997</v>
      </c>
      <c r="N402">
        <v>4.3099999999999999E-2</v>
      </c>
      <c r="O402">
        <v>27</v>
      </c>
    </row>
    <row r="403" spans="1:15" x14ac:dyDescent="0.25">
      <c r="A403" t="s">
        <v>564</v>
      </c>
      <c r="B403" t="s">
        <v>28</v>
      </c>
      <c r="C403" t="s">
        <v>148</v>
      </c>
      <c r="D403" t="s">
        <v>76</v>
      </c>
      <c r="E403" t="s">
        <v>608</v>
      </c>
      <c r="F403" t="s">
        <v>78</v>
      </c>
      <c r="G403" t="s">
        <v>609</v>
      </c>
      <c r="H403" t="s">
        <v>8762</v>
      </c>
      <c r="I403">
        <v>1.7777243577316471E-3</v>
      </c>
      <c r="J403">
        <v>515828</v>
      </c>
      <c r="K403">
        <v>5.0885643256681169E-3</v>
      </c>
      <c r="L403">
        <v>180208</v>
      </c>
      <c r="M403">
        <v>917</v>
      </c>
      <c r="N403">
        <v>0.1133</v>
      </c>
      <c r="O403">
        <v>28</v>
      </c>
    </row>
    <row r="404" spans="1:15" x14ac:dyDescent="0.25">
      <c r="A404" t="s">
        <v>564</v>
      </c>
      <c r="B404" t="s">
        <v>28</v>
      </c>
      <c r="C404" t="s">
        <v>148</v>
      </c>
      <c r="D404" t="s">
        <v>76</v>
      </c>
      <c r="E404" t="s">
        <v>630</v>
      </c>
      <c r="F404" t="s">
        <v>78</v>
      </c>
      <c r="G404" t="s">
        <v>631</v>
      </c>
      <c r="H404" t="s">
        <v>8769</v>
      </c>
      <c r="I404">
        <v>1.7428290050171759E-3</v>
      </c>
      <c r="J404">
        <v>515828</v>
      </c>
      <c r="K404">
        <v>4.9886797478469322E-3</v>
      </c>
      <c r="L404">
        <v>180208</v>
      </c>
      <c r="M404">
        <v>899</v>
      </c>
      <c r="N404">
        <v>1.1999999999999999E-3</v>
      </c>
      <c r="O404">
        <v>29</v>
      </c>
    </row>
    <row r="405" spans="1:15" x14ac:dyDescent="0.25">
      <c r="A405" t="s">
        <v>564</v>
      </c>
      <c r="B405" t="s">
        <v>28</v>
      </c>
      <c r="C405" t="s">
        <v>148</v>
      </c>
      <c r="D405" t="s">
        <v>76</v>
      </c>
      <c r="E405" t="s">
        <v>634</v>
      </c>
      <c r="F405" t="s">
        <v>638</v>
      </c>
      <c r="G405" t="s">
        <v>639</v>
      </c>
      <c r="H405" t="s">
        <v>8758</v>
      </c>
      <c r="I405">
        <v>1.605186224865653E-3</v>
      </c>
      <c r="J405">
        <v>515828</v>
      </c>
      <c r="K405">
        <v>4.594690579774483E-3</v>
      </c>
      <c r="L405">
        <v>180208</v>
      </c>
      <c r="M405">
        <v>828</v>
      </c>
      <c r="N405">
        <v>1.4500000000000001E-2</v>
      </c>
      <c r="O405">
        <v>30</v>
      </c>
    </row>
    <row r="406" spans="1:15" x14ac:dyDescent="0.25">
      <c r="A406" t="s">
        <v>564</v>
      </c>
      <c r="B406" t="s">
        <v>28</v>
      </c>
      <c r="C406" t="s">
        <v>148</v>
      </c>
      <c r="D406" t="s">
        <v>76</v>
      </c>
      <c r="E406" t="s">
        <v>602</v>
      </c>
      <c r="F406" t="s">
        <v>616</v>
      </c>
      <c r="G406" t="s">
        <v>617</v>
      </c>
      <c r="H406" t="s">
        <v>8765</v>
      </c>
      <c r="I406">
        <v>1.3764278015152339E-3</v>
      </c>
      <c r="J406">
        <v>515828</v>
      </c>
      <c r="K406">
        <v>3.9398916807244959E-3</v>
      </c>
      <c r="L406">
        <v>180208</v>
      </c>
      <c r="M406">
        <v>710</v>
      </c>
      <c r="N406">
        <v>8.3999999999999995E-3</v>
      </c>
      <c r="O406">
        <v>31</v>
      </c>
    </row>
    <row r="407" spans="1:15" x14ac:dyDescent="0.25">
      <c r="A407" t="s">
        <v>564</v>
      </c>
      <c r="B407" t="s">
        <v>28</v>
      </c>
      <c r="C407" t="s">
        <v>148</v>
      </c>
      <c r="D407" t="s">
        <v>76</v>
      </c>
      <c r="E407" t="s">
        <v>626</v>
      </c>
      <c r="F407" t="s">
        <v>78</v>
      </c>
      <c r="G407" t="s">
        <v>627</v>
      </c>
      <c r="H407" t="s">
        <v>8766</v>
      </c>
      <c r="I407">
        <v>1.168994315934769E-3</v>
      </c>
      <c r="J407">
        <v>515828</v>
      </c>
      <c r="K407">
        <v>3.3461333570096782E-3</v>
      </c>
      <c r="L407">
        <v>180208</v>
      </c>
      <c r="M407">
        <v>603</v>
      </c>
      <c r="N407">
        <v>1.1599999999999999E-2</v>
      </c>
      <c r="O407">
        <v>32</v>
      </c>
    </row>
    <row r="408" spans="1:15" x14ac:dyDescent="0.25">
      <c r="A408" t="s">
        <v>564</v>
      </c>
      <c r="B408" t="s">
        <v>28</v>
      </c>
      <c r="C408" t="s">
        <v>148</v>
      </c>
      <c r="D408" t="s">
        <v>76</v>
      </c>
      <c r="E408" t="s">
        <v>587</v>
      </c>
      <c r="F408" t="s">
        <v>78</v>
      </c>
      <c r="G408" t="s">
        <v>588</v>
      </c>
      <c r="H408" t="s">
        <v>8768</v>
      </c>
      <c r="I408">
        <v>1.0119652287196509E-3</v>
      </c>
      <c r="J408">
        <v>515828</v>
      </c>
      <c r="K408">
        <v>2.8966527568143482E-3</v>
      </c>
      <c r="L408">
        <v>180208</v>
      </c>
      <c r="M408">
        <v>522</v>
      </c>
      <c r="O408">
        <v>33</v>
      </c>
    </row>
    <row r="409" spans="1:15" x14ac:dyDescent="0.25">
      <c r="A409" t="s">
        <v>564</v>
      </c>
      <c r="B409" t="s">
        <v>28</v>
      </c>
      <c r="C409" t="s">
        <v>148</v>
      </c>
      <c r="D409" t="s">
        <v>76</v>
      </c>
      <c r="E409" t="s">
        <v>81</v>
      </c>
      <c r="F409" t="s">
        <v>622</v>
      </c>
      <c r="G409" t="s">
        <v>623</v>
      </c>
      <c r="H409" t="s">
        <v>8770</v>
      </c>
      <c r="I409">
        <v>9.0921780128259803E-4</v>
      </c>
      <c r="J409">
        <v>515828</v>
      </c>
      <c r="K409">
        <v>2.6025481665630829E-3</v>
      </c>
      <c r="L409">
        <v>180208</v>
      </c>
      <c r="M409">
        <v>469</v>
      </c>
      <c r="O409">
        <v>34</v>
      </c>
    </row>
    <row r="410" spans="1:15" x14ac:dyDescent="0.25">
      <c r="A410" t="s">
        <v>564</v>
      </c>
      <c r="B410" t="s">
        <v>28</v>
      </c>
      <c r="C410" t="s">
        <v>148</v>
      </c>
      <c r="D410" t="s">
        <v>76</v>
      </c>
      <c r="E410" t="s">
        <v>602</v>
      </c>
      <c r="F410" t="s">
        <v>640</v>
      </c>
      <c r="G410" t="s">
        <v>641</v>
      </c>
      <c r="H410" t="s">
        <v>8773</v>
      </c>
      <c r="I410">
        <v>8.1228626596462387E-4</v>
      </c>
      <c r="J410">
        <v>515828</v>
      </c>
      <c r="K410">
        <v>2.3250910059486821E-3</v>
      </c>
      <c r="L410">
        <v>180208</v>
      </c>
      <c r="M410">
        <v>419</v>
      </c>
      <c r="N410">
        <v>2.3999999999999998E-3</v>
      </c>
      <c r="O410">
        <v>35</v>
      </c>
    </row>
    <row r="411" spans="1:15" x14ac:dyDescent="0.25">
      <c r="A411" t="s">
        <v>564</v>
      </c>
      <c r="B411" t="s">
        <v>28</v>
      </c>
      <c r="C411" t="s">
        <v>148</v>
      </c>
      <c r="D411" t="s">
        <v>76</v>
      </c>
      <c r="E411" t="s">
        <v>600</v>
      </c>
      <c r="F411" t="s">
        <v>612</v>
      </c>
      <c r="G411" t="s">
        <v>613</v>
      </c>
      <c r="H411" t="s">
        <v>8772</v>
      </c>
      <c r="I411">
        <v>7.1729336135300918E-4</v>
      </c>
      <c r="J411">
        <v>515828</v>
      </c>
      <c r="K411">
        <v>2.053182988546569E-3</v>
      </c>
      <c r="L411">
        <v>180208</v>
      </c>
      <c r="M411">
        <v>370</v>
      </c>
      <c r="N411">
        <v>2.7E-2</v>
      </c>
      <c r="O411">
        <v>36</v>
      </c>
    </row>
    <row r="412" spans="1:15" x14ac:dyDescent="0.25">
      <c r="A412" t="s">
        <v>564</v>
      </c>
      <c r="B412" t="s">
        <v>28</v>
      </c>
      <c r="C412" t="s">
        <v>148</v>
      </c>
      <c r="D412" t="s">
        <v>76</v>
      </c>
      <c r="E412" t="s">
        <v>8368</v>
      </c>
      <c r="F412" t="s">
        <v>78</v>
      </c>
      <c r="G412" t="s">
        <v>8369</v>
      </c>
      <c r="H412" t="s">
        <v>8771</v>
      </c>
      <c r="I412">
        <v>6.9790705428941432E-4</v>
      </c>
      <c r="J412">
        <v>515828</v>
      </c>
      <c r="K412">
        <v>1.9976915564236882E-3</v>
      </c>
      <c r="L412">
        <v>180208</v>
      </c>
      <c r="M412">
        <v>360</v>
      </c>
      <c r="N412">
        <v>8.3000000000000001E-3</v>
      </c>
      <c r="O412">
        <v>37</v>
      </c>
    </row>
    <row r="413" spans="1:15" x14ac:dyDescent="0.25">
      <c r="A413" t="s">
        <v>564</v>
      </c>
      <c r="B413" t="s">
        <v>28</v>
      </c>
      <c r="C413" t="s">
        <v>148</v>
      </c>
      <c r="D413" t="s">
        <v>76</v>
      </c>
      <c r="E413" t="s">
        <v>81</v>
      </c>
      <c r="F413" t="s">
        <v>582</v>
      </c>
      <c r="G413" t="s">
        <v>583</v>
      </c>
      <c r="H413" t="s">
        <v>8774</v>
      </c>
      <c r="I413">
        <v>6.8239800863853842E-4</v>
      </c>
      <c r="J413">
        <v>515828</v>
      </c>
      <c r="K413">
        <v>1.9532984107253838E-3</v>
      </c>
      <c r="L413">
        <v>180208</v>
      </c>
      <c r="M413">
        <v>352</v>
      </c>
      <c r="N413">
        <v>3.1199999999999999E-2</v>
      </c>
      <c r="O413">
        <v>38</v>
      </c>
    </row>
    <row r="414" spans="1:15" x14ac:dyDescent="0.25">
      <c r="A414" t="s">
        <v>564</v>
      </c>
      <c r="B414" t="s">
        <v>28</v>
      </c>
      <c r="C414" t="s">
        <v>148</v>
      </c>
      <c r="D414" t="s">
        <v>76</v>
      </c>
      <c r="E414" t="s">
        <v>634</v>
      </c>
      <c r="F414" t="s">
        <v>658</v>
      </c>
      <c r="G414" t="s">
        <v>659</v>
      </c>
      <c r="H414" t="s">
        <v>8764</v>
      </c>
      <c r="I414">
        <v>6.7270485510674105E-4</v>
      </c>
      <c r="J414">
        <v>515828</v>
      </c>
      <c r="K414">
        <v>1.9255526946639441E-3</v>
      </c>
      <c r="L414">
        <v>180208</v>
      </c>
      <c r="M414">
        <v>347</v>
      </c>
      <c r="N414">
        <v>8.6E-3</v>
      </c>
      <c r="O414">
        <v>39</v>
      </c>
    </row>
    <row r="415" spans="1:15" x14ac:dyDescent="0.25">
      <c r="A415" t="s">
        <v>564</v>
      </c>
      <c r="B415" t="s">
        <v>28</v>
      </c>
      <c r="C415" t="s">
        <v>148</v>
      </c>
      <c r="D415" t="s">
        <v>76</v>
      </c>
      <c r="E415" t="s">
        <v>642</v>
      </c>
      <c r="F415" t="s">
        <v>78</v>
      </c>
      <c r="G415" t="s">
        <v>643</v>
      </c>
      <c r="H415" t="s">
        <v>8775</v>
      </c>
      <c r="I415">
        <v>5.6995742766968835E-4</v>
      </c>
      <c r="J415">
        <v>515828</v>
      </c>
      <c r="K415">
        <v>1.631448104412679E-3</v>
      </c>
      <c r="L415">
        <v>180208</v>
      </c>
      <c r="M415">
        <v>294</v>
      </c>
      <c r="N415">
        <v>6.7999999999999996E-3</v>
      </c>
      <c r="O415">
        <v>40</v>
      </c>
    </row>
    <row r="416" spans="1:15" x14ac:dyDescent="0.25">
      <c r="A416" t="s">
        <v>564</v>
      </c>
      <c r="B416" t="s">
        <v>28</v>
      </c>
      <c r="C416" t="s">
        <v>148</v>
      </c>
      <c r="D416" t="s">
        <v>76</v>
      </c>
      <c r="E416" t="s">
        <v>80</v>
      </c>
      <c r="F416" t="s">
        <v>8371</v>
      </c>
      <c r="G416" t="s">
        <v>8372</v>
      </c>
      <c r="H416" t="s">
        <v>8776</v>
      </c>
      <c r="I416">
        <v>3.9935792551005372E-4</v>
      </c>
      <c r="J416">
        <v>515828</v>
      </c>
      <c r="K416">
        <v>1.1431235017313329E-3</v>
      </c>
      <c r="L416">
        <v>180208</v>
      </c>
      <c r="M416">
        <v>206</v>
      </c>
      <c r="N416">
        <v>4.7999999999999996E-3</v>
      </c>
      <c r="O416">
        <v>41</v>
      </c>
    </row>
    <row r="417" spans="1:15" x14ac:dyDescent="0.25">
      <c r="A417" t="s">
        <v>564</v>
      </c>
      <c r="B417" t="s">
        <v>28</v>
      </c>
      <c r="C417" t="s">
        <v>148</v>
      </c>
      <c r="D417" t="s">
        <v>76</v>
      </c>
      <c r="E417" t="s">
        <v>594</v>
      </c>
      <c r="F417" t="s">
        <v>78</v>
      </c>
      <c r="G417" t="s">
        <v>595</v>
      </c>
      <c r="H417" t="s">
        <v>8777</v>
      </c>
      <c r="I417">
        <v>2.3263568476313809E-4</v>
      </c>
      <c r="J417">
        <v>515828</v>
      </c>
      <c r="K417">
        <v>6.6589718547456272E-4</v>
      </c>
      <c r="L417">
        <v>180208</v>
      </c>
      <c r="M417">
        <v>120</v>
      </c>
      <c r="N417">
        <v>2.4799999999999999E-2</v>
      </c>
      <c r="O417">
        <v>42</v>
      </c>
    </row>
    <row r="418" spans="1:15" x14ac:dyDescent="0.25">
      <c r="A418" t="s">
        <v>564</v>
      </c>
      <c r="B418" t="s">
        <v>28</v>
      </c>
      <c r="C418" t="s">
        <v>148</v>
      </c>
      <c r="D418" t="s">
        <v>76</v>
      </c>
      <c r="E418" t="s">
        <v>602</v>
      </c>
      <c r="F418" t="s">
        <v>628</v>
      </c>
      <c r="G418" t="s">
        <v>629</v>
      </c>
      <c r="H418" t="s">
        <v>8779</v>
      </c>
      <c r="I418">
        <v>2.0355622416774581E-4</v>
      </c>
      <c r="J418">
        <v>515828</v>
      </c>
      <c r="K418">
        <v>5.8266003729024244E-4</v>
      </c>
      <c r="L418">
        <v>180208</v>
      </c>
      <c r="M418">
        <v>105</v>
      </c>
      <c r="N418">
        <v>1.89E-2</v>
      </c>
      <c r="O418">
        <v>43</v>
      </c>
    </row>
    <row r="419" spans="1:15" x14ac:dyDescent="0.25">
      <c r="A419" t="s">
        <v>564</v>
      </c>
      <c r="B419" t="s">
        <v>28</v>
      </c>
      <c r="C419" t="s">
        <v>148</v>
      </c>
      <c r="D419" t="s">
        <v>76</v>
      </c>
      <c r="E419" t="s">
        <v>660</v>
      </c>
      <c r="F419" t="s">
        <v>78</v>
      </c>
      <c r="G419" t="s">
        <v>661</v>
      </c>
      <c r="H419" t="s">
        <v>8780</v>
      </c>
      <c r="I419">
        <v>1.2019510379428799E-4</v>
      </c>
      <c r="J419">
        <v>515828</v>
      </c>
      <c r="K419">
        <v>3.4404687916185739E-4</v>
      </c>
      <c r="L419">
        <v>180208</v>
      </c>
      <c r="M419">
        <v>62</v>
      </c>
      <c r="N419">
        <v>3.1800000000000002E-2</v>
      </c>
      <c r="O419">
        <v>44</v>
      </c>
    </row>
    <row r="420" spans="1:15" x14ac:dyDescent="0.25">
      <c r="A420" t="s">
        <v>564</v>
      </c>
      <c r="B420" t="s">
        <v>28</v>
      </c>
      <c r="C420" t="s">
        <v>148</v>
      </c>
      <c r="D420" t="s">
        <v>76</v>
      </c>
      <c r="E420" t="s">
        <v>644</v>
      </c>
      <c r="F420" t="s">
        <v>78</v>
      </c>
      <c r="G420" t="s">
        <v>645</v>
      </c>
      <c r="H420" t="s">
        <v>8778</v>
      </c>
      <c r="I420">
        <v>1.046860581434121E-4</v>
      </c>
      <c r="J420">
        <v>515828</v>
      </c>
      <c r="K420">
        <v>2.9965373346355322E-4</v>
      </c>
      <c r="L420">
        <v>180208</v>
      </c>
      <c r="M420">
        <v>54</v>
      </c>
      <c r="N420">
        <v>0.1091</v>
      </c>
      <c r="O420">
        <v>45</v>
      </c>
    </row>
    <row r="421" spans="1:15" x14ac:dyDescent="0.25">
      <c r="A421" t="s">
        <v>564</v>
      </c>
      <c r="B421" t="s">
        <v>28</v>
      </c>
      <c r="C421" t="s">
        <v>148</v>
      </c>
      <c r="D421" t="s">
        <v>76</v>
      </c>
      <c r="E421" t="s">
        <v>81</v>
      </c>
      <c r="F421" t="s">
        <v>604</v>
      </c>
      <c r="G421" t="s">
        <v>605</v>
      </c>
      <c r="H421" t="s">
        <v>8782</v>
      </c>
      <c r="I421">
        <v>6.9790705428941424E-5</v>
      </c>
      <c r="J421">
        <v>515828</v>
      </c>
      <c r="K421">
        <v>1.9976915564236879E-4</v>
      </c>
      <c r="L421">
        <v>180208</v>
      </c>
      <c r="M421">
        <v>36</v>
      </c>
      <c r="N421">
        <v>2.7E-2</v>
      </c>
      <c r="O421">
        <v>46</v>
      </c>
    </row>
    <row r="422" spans="1:15" x14ac:dyDescent="0.25">
      <c r="A422" t="s">
        <v>564</v>
      </c>
      <c r="B422" t="s">
        <v>28</v>
      </c>
      <c r="C422" t="s">
        <v>148</v>
      </c>
      <c r="D422" t="s">
        <v>76</v>
      </c>
      <c r="E422" t="s">
        <v>602</v>
      </c>
      <c r="F422" t="s">
        <v>648</v>
      </c>
      <c r="G422" t="s">
        <v>649</v>
      </c>
      <c r="H422" t="s">
        <v>8781</v>
      </c>
      <c r="I422">
        <v>6.5913444016222462E-5</v>
      </c>
      <c r="J422">
        <v>515828</v>
      </c>
      <c r="K422">
        <v>1.8867086921779279E-4</v>
      </c>
      <c r="L422">
        <v>180208</v>
      </c>
      <c r="M422">
        <v>34</v>
      </c>
      <c r="N422">
        <v>8.5699999999999998E-2</v>
      </c>
      <c r="O422">
        <v>47</v>
      </c>
    </row>
    <row r="423" spans="1:15" x14ac:dyDescent="0.25">
      <c r="A423" t="s">
        <v>564</v>
      </c>
      <c r="B423" t="s">
        <v>28</v>
      </c>
      <c r="C423" t="s">
        <v>148</v>
      </c>
      <c r="D423" t="s">
        <v>76</v>
      </c>
      <c r="E423" t="s">
        <v>654</v>
      </c>
      <c r="F423" t="s">
        <v>78</v>
      </c>
      <c r="G423" t="s">
        <v>655</v>
      </c>
      <c r="H423" t="s">
        <v>8788</v>
      </c>
      <c r="I423">
        <v>5.428165977806556E-5</v>
      </c>
      <c r="J423">
        <v>515828</v>
      </c>
      <c r="K423">
        <v>1.5537600994406471E-4</v>
      </c>
      <c r="L423">
        <v>180208</v>
      </c>
      <c r="M423">
        <v>28</v>
      </c>
      <c r="O423">
        <v>48</v>
      </c>
    </row>
    <row r="424" spans="1:15" x14ac:dyDescent="0.25">
      <c r="A424" t="s">
        <v>564</v>
      </c>
      <c r="B424" t="s">
        <v>28</v>
      </c>
      <c r="C424" t="s">
        <v>148</v>
      </c>
      <c r="D424" t="s">
        <v>76</v>
      </c>
      <c r="E424" t="s">
        <v>81</v>
      </c>
      <c r="F424" t="s">
        <v>646</v>
      </c>
      <c r="G424" t="s">
        <v>647</v>
      </c>
      <c r="H424" t="s">
        <v>8785</v>
      </c>
      <c r="I424">
        <v>5.2343029071706072E-5</v>
      </c>
      <c r="J424">
        <v>515828</v>
      </c>
      <c r="K424">
        <v>1.4982686673177661E-4</v>
      </c>
      <c r="L424">
        <v>180208</v>
      </c>
      <c r="M424">
        <v>27</v>
      </c>
      <c r="O424">
        <v>49</v>
      </c>
    </row>
    <row r="425" spans="1:15" x14ac:dyDescent="0.25">
      <c r="A425" t="s">
        <v>564</v>
      </c>
      <c r="B425" t="s">
        <v>28</v>
      </c>
      <c r="C425" t="s">
        <v>148</v>
      </c>
      <c r="D425" t="s">
        <v>76</v>
      </c>
      <c r="E425" t="s">
        <v>602</v>
      </c>
      <c r="F425" t="s">
        <v>652</v>
      </c>
      <c r="G425" t="s">
        <v>653</v>
      </c>
      <c r="H425" t="s">
        <v>8787</v>
      </c>
      <c r="I425">
        <v>5.040439836534659E-5</v>
      </c>
      <c r="J425">
        <v>515828</v>
      </c>
      <c r="K425">
        <v>1.442777235194886E-4</v>
      </c>
      <c r="L425">
        <v>180208</v>
      </c>
      <c r="M425">
        <v>26</v>
      </c>
      <c r="N425">
        <v>3.85E-2</v>
      </c>
      <c r="O425">
        <v>50</v>
      </c>
    </row>
    <row r="426" spans="1:15" x14ac:dyDescent="0.25">
      <c r="A426" t="s">
        <v>564</v>
      </c>
      <c r="B426" t="s">
        <v>28</v>
      </c>
      <c r="C426" t="s">
        <v>148</v>
      </c>
      <c r="D426" t="s">
        <v>76</v>
      </c>
      <c r="E426" t="s">
        <v>654</v>
      </c>
      <c r="F426" t="s">
        <v>8392</v>
      </c>
      <c r="G426" t="s">
        <v>8393</v>
      </c>
      <c r="H426" t="s">
        <v>8789</v>
      </c>
      <c r="I426">
        <v>4.071124483354917E-5</v>
      </c>
      <c r="J426">
        <v>515828</v>
      </c>
      <c r="K426">
        <v>1.165320074580485E-4</v>
      </c>
      <c r="L426">
        <v>180208</v>
      </c>
      <c r="M426">
        <v>21</v>
      </c>
      <c r="O426">
        <v>51</v>
      </c>
    </row>
    <row r="427" spans="1:15" x14ac:dyDescent="0.25">
      <c r="A427" t="s">
        <v>564</v>
      </c>
      <c r="B427" t="s">
        <v>28</v>
      </c>
      <c r="C427" t="s">
        <v>148</v>
      </c>
      <c r="D427" t="s">
        <v>76</v>
      </c>
      <c r="E427" t="s">
        <v>602</v>
      </c>
      <c r="F427" t="s">
        <v>666</v>
      </c>
      <c r="G427" t="s">
        <v>667</v>
      </c>
      <c r="H427" t="s">
        <v>8792</v>
      </c>
      <c r="I427">
        <v>3.8772614127189682E-5</v>
      </c>
      <c r="J427">
        <v>515828</v>
      </c>
      <c r="K427">
        <v>1.1098286424576039E-4</v>
      </c>
      <c r="L427">
        <v>180208</v>
      </c>
      <c r="M427">
        <v>20</v>
      </c>
      <c r="O427">
        <v>52</v>
      </c>
    </row>
    <row r="428" spans="1:15" x14ac:dyDescent="0.25">
      <c r="A428" t="s">
        <v>564</v>
      </c>
      <c r="B428" t="s">
        <v>28</v>
      </c>
      <c r="C428" t="s">
        <v>148</v>
      </c>
      <c r="D428" t="s">
        <v>76</v>
      </c>
      <c r="E428" t="s">
        <v>602</v>
      </c>
      <c r="F428" t="s">
        <v>650</v>
      </c>
      <c r="G428" t="s">
        <v>651</v>
      </c>
      <c r="H428" t="s">
        <v>8783</v>
      </c>
      <c r="I428">
        <v>3.1018091301751749E-5</v>
      </c>
      <c r="J428">
        <v>515828</v>
      </c>
      <c r="K428">
        <v>8.8786291396608367E-5</v>
      </c>
      <c r="L428">
        <v>180208</v>
      </c>
      <c r="M428">
        <v>16</v>
      </c>
      <c r="O428">
        <v>53</v>
      </c>
    </row>
    <row r="429" spans="1:15" x14ac:dyDescent="0.25">
      <c r="A429" t="s">
        <v>564</v>
      </c>
      <c r="B429" t="s">
        <v>28</v>
      </c>
      <c r="C429" t="s">
        <v>148</v>
      </c>
      <c r="D429" t="s">
        <v>76</v>
      </c>
      <c r="E429" t="s">
        <v>602</v>
      </c>
      <c r="F429" t="s">
        <v>670</v>
      </c>
      <c r="G429" t="s">
        <v>671</v>
      </c>
      <c r="H429" t="s">
        <v>8786</v>
      </c>
      <c r="I429">
        <v>2.9079460595392261E-5</v>
      </c>
      <c r="J429">
        <v>515828</v>
      </c>
      <c r="K429">
        <v>8.323714818432034E-5</v>
      </c>
      <c r="L429">
        <v>180208</v>
      </c>
      <c r="M429">
        <v>15</v>
      </c>
      <c r="N429">
        <v>0.2</v>
      </c>
      <c r="O429">
        <v>54</v>
      </c>
    </row>
    <row r="430" spans="1:15" x14ac:dyDescent="0.25">
      <c r="A430" t="s">
        <v>564</v>
      </c>
      <c r="B430" t="s">
        <v>28</v>
      </c>
      <c r="C430" t="s">
        <v>148</v>
      </c>
      <c r="D430" t="s">
        <v>76</v>
      </c>
      <c r="E430" t="s">
        <v>654</v>
      </c>
      <c r="F430" t="s">
        <v>8395</v>
      </c>
      <c r="G430" t="s">
        <v>8396</v>
      </c>
      <c r="H430" t="s">
        <v>8805</v>
      </c>
      <c r="I430">
        <v>2.1324937769954329E-5</v>
      </c>
      <c r="J430">
        <v>515828</v>
      </c>
      <c r="K430">
        <v>6.1040575335168245E-5</v>
      </c>
      <c r="L430">
        <v>180208</v>
      </c>
      <c r="M430">
        <v>11</v>
      </c>
      <c r="O430">
        <v>55</v>
      </c>
    </row>
    <row r="431" spans="1:15" x14ac:dyDescent="0.25">
      <c r="A431" t="s">
        <v>564</v>
      </c>
      <c r="B431" t="s">
        <v>28</v>
      </c>
      <c r="C431" t="s">
        <v>148</v>
      </c>
      <c r="D431" t="s">
        <v>76</v>
      </c>
      <c r="E431" t="s">
        <v>8399</v>
      </c>
      <c r="F431" t="s">
        <v>78</v>
      </c>
      <c r="G431" t="s">
        <v>8400</v>
      </c>
      <c r="H431" t="s">
        <v>8793</v>
      </c>
      <c r="I431">
        <v>1.7447676357235359E-5</v>
      </c>
      <c r="J431">
        <v>515828</v>
      </c>
      <c r="K431">
        <v>4.9942288910592197E-5</v>
      </c>
      <c r="L431">
        <v>180208</v>
      </c>
      <c r="M431">
        <v>9</v>
      </c>
      <c r="O431">
        <v>56</v>
      </c>
    </row>
    <row r="432" spans="1:15" x14ac:dyDescent="0.25">
      <c r="A432" t="s">
        <v>564</v>
      </c>
      <c r="B432" t="s">
        <v>28</v>
      </c>
      <c r="C432" t="s">
        <v>148</v>
      </c>
      <c r="D432" t="s">
        <v>76</v>
      </c>
      <c r="E432" t="s">
        <v>656</v>
      </c>
      <c r="F432" t="s">
        <v>78</v>
      </c>
      <c r="G432" t="s">
        <v>657</v>
      </c>
      <c r="H432" t="s">
        <v>8794</v>
      </c>
      <c r="I432">
        <v>1.357041494451639E-5</v>
      </c>
      <c r="J432">
        <v>515828</v>
      </c>
      <c r="K432">
        <v>3.8844002486016163E-5</v>
      </c>
      <c r="L432">
        <v>180208</v>
      </c>
      <c r="M432">
        <v>7</v>
      </c>
      <c r="O432">
        <v>57</v>
      </c>
    </row>
    <row r="433" spans="1:15" x14ac:dyDescent="0.25">
      <c r="A433" t="s">
        <v>564</v>
      </c>
      <c r="B433" t="s">
        <v>28</v>
      </c>
      <c r="C433" t="s">
        <v>148</v>
      </c>
      <c r="D433" t="s">
        <v>76</v>
      </c>
      <c r="E433" t="s">
        <v>664</v>
      </c>
      <c r="F433" t="s">
        <v>78</v>
      </c>
      <c r="G433" t="s">
        <v>665</v>
      </c>
      <c r="H433" t="s">
        <v>8791</v>
      </c>
      <c r="I433">
        <v>1.357041494451639E-5</v>
      </c>
      <c r="J433">
        <v>515828</v>
      </c>
      <c r="K433">
        <v>3.8844002486016163E-5</v>
      </c>
      <c r="L433">
        <v>180208</v>
      </c>
      <c r="M433">
        <v>7</v>
      </c>
      <c r="O433">
        <v>58</v>
      </c>
    </row>
    <row r="434" spans="1:15" x14ac:dyDescent="0.25">
      <c r="A434" t="s">
        <v>564</v>
      </c>
      <c r="B434" t="s">
        <v>28</v>
      </c>
      <c r="C434" t="s">
        <v>148</v>
      </c>
      <c r="D434" t="s">
        <v>76</v>
      </c>
      <c r="E434" t="s">
        <v>81</v>
      </c>
      <c r="F434" t="s">
        <v>851</v>
      </c>
      <c r="G434" t="s">
        <v>852</v>
      </c>
      <c r="H434" t="s">
        <v>8797</v>
      </c>
      <c r="I434">
        <v>7.7545228254379374E-6</v>
      </c>
      <c r="J434">
        <v>515828</v>
      </c>
      <c r="K434">
        <v>2.2196572849152088E-5</v>
      </c>
      <c r="L434">
        <v>180208</v>
      </c>
      <c r="M434">
        <v>4</v>
      </c>
      <c r="O434">
        <v>59</v>
      </c>
    </row>
    <row r="435" spans="1:15" x14ac:dyDescent="0.25">
      <c r="A435" t="s">
        <v>564</v>
      </c>
      <c r="B435" t="s">
        <v>28</v>
      </c>
      <c r="C435" t="s">
        <v>148</v>
      </c>
      <c r="D435" t="s">
        <v>76</v>
      </c>
      <c r="E435" t="s">
        <v>80</v>
      </c>
      <c r="F435" t="s">
        <v>8354</v>
      </c>
      <c r="G435" t="s">
        <v>8355</v>
      </c>
      <c r="H435" t="s">
        <v>8796</v>
      </c>
      <c r="I435">
        <v>7.7545228254379374E-6</v>
      </c>
      <c r="J435">
        <v>515828</v>
      </c>
      <c r="K435">
        <v>2.2196572849152088E-5</v>
      </c>
      <c r="L435">
        <v>180208</v>
      </c>
      <c r="M435">
        <v>4</v>
      </c>
      <c r="O435">
        <v>60</v>
      </c>
    </row>
    <row r="436" spans="1:15" x14ac:dyDescent="0.25">
      <c r="A436" t="s">
        <v>564</v>
      </c>
      <c r="B436" t="s">
        <v>28</v>
      </c>
      <c r="C436" t="s">
        <v>148</v>
      </c>
      <c r="D436" t="s">
        <v>76</v>
      </c>
      <c r="E436" t="s">
        <v>674</v>
      </c>
      <c r="F436" t="s">
        <v>78</v>
      </c>
      <c r="G436" t="s">
        <v>675</v>
      </c>
      <c r="H436" t="s">
        <v>8790</v>
      </c>
      <c r="I436">
        <v>7.7545228254379374E-6</v>
      </c>
      <c r="J436">
        <v>515828</v>
      </c>
      <c r="K436">
        <v>2.2196572849152088E-5</v>
      </c>
      <c r="L436">
        <v>180208</v>
      </c>
      <c r="M436">
        <v>4</v>
      </c>
      <c r="O436">
        <v>61</v>
      </c>
    </row>
    <row r="437" spans="1:15" x14ac:dyDescent="0.25">
      <c r="A437" t="s">
        <v>564</v>
      </c>
      <c r="B437" t="s">
        <v>28</v>
      </c>
      <c r="C437" t="s">
        <v>148</v>
      </c>
      <c r="D437" t="s">
        <v>76</v>
      </c>
      <c r="E437" t="s">
        <v>654</v>
      </c>
      <c r="F437" t="s">
        <v>8388</v>
      </c>
      <c r="G437" t="s">
        <v>8389</v>
      </c>
      <c r="H437" t="s">
        <v>8806</v>
      </c>
      <c r="I437">
        <v>5.8158921190784526E-6</v>
      </c>
      <c r="J437">
        <v>515828</v>
      </c>
      <c r="K437">
        <v>1.6647429636864071E-5</v>
      </c>
      <c r="L437">
        <v>180208</v>
      </c>
      <c r="M437">
        <v>3</v>
      </c>
      <c r="O437">
        <v>62</v>
      </c>
    </row>
    <row r="438" spans="1:15" x14ac:dyDescent="0.25">
      <c r="A438" t="s">
        <v>564</v>
      </c>
      <c r="B438" t="s">
        <v>28</v>
      </c>
      <c r="C438" t="s">
        <v>148</v>
      </c>
      <c r="D438" t="s">
        <v>76</v>
      </c>
      <c r="E438" t="s">
        <v>654</v>
      </c>
      <c r="F438" t="s">
        <v>8507</v>
      </c>
      <c r="G438" t="s">
        <v>8508</v>
      </c>
      <c r="H438" t="s">
        <v>8817</v>
      </c>
      <c r="I438">
        <v>5.8158921190784526E-6</v>
      </c>
      <c r="J438">
        <v>515828</v>
      </c>
      <c r="K438">
        <v>1.6647429636864071E-5</v>
      </c>
      <c r="L438">
        <v>180208</v>
      </c>
      <c r="M438">
        <v>3</v>
      </c>
      <c r="O438">
        <v>63</v>
      </c>
    </row>
    <row r="439" spans="1:15" x14ac:dyDescent="0.25">
      <c r="A439" t="s">
        <v>564</v>
      </c>
      <c r="B439" t="s">
        <v>28</v>
      </c>
      <c r="C439" t="s">
        <v>148</v>
      </c>
      <c r="D439" t="s">
        <v>76</v>
      </c>
      <c r="E439" t="s">
        <v>680</v>
      </c>
      <c r="F439" t="s">
        <v>78</v>
      </c>
      <c r="G439" t="s">
        <v>681</v>
      </c>
      <c r="H439" t="s">
        <v>8795</v>
      </c>
      <c r="I439">
        <v>3.8772614127189687E-6</v>
      </c>
      <c r="J439">
        <v>515828</v>
      </c>
      <c r="K439">
        <v>1.1098286424576049E-5</v>
      </c>
      <c r="L439">
        <v>180208</v>
      </c>
      <c r="M439">
        <v>2</v>
      </c>
      <c r="O439">
        <v>64</v>
      </c>
    </row>
    <row r="440" spans="1:15" x14ac:dyDescent="0.25">
      <c r="A440" t="s">
        <v>564</v>
      </c>
      <c r="B440" t="s">
        <v>28</v>
      </c>
      <c r="C440" t="s">
        <v>148</v>
      </c>
      <c r="D440" t="s">
        <v>76</v>
      </c>
      <c r="E440" t="s">
        <v>676</v>
      </c>
      <c r="F440" t="s">
        <v>78</v>
      </c>
      <c r="G440" t="s">
        <v>677</v>
      </c>
      <c r="H440" t="s">
        <v>8799</v>
      </c>
      <c r="I440">
        <v>1.9386307063594839E-6</v>
      </c>
      <c r="J440">
        <v>515828</v>
      </c>
      <c r="K440">
        <v>5.549143212288023E-6</v>
      </c>
      <c r="L440">
        <v>180208</v>
      </c>
      <c r="M440">
        <v>1</v>
      </c>
      <c r="O440">
        <v>65</v>
      </c>
    </row>
    <row r="441" spans="1:15" x14ac:dyDescent="0.25">
      <c r="A441" t="s">
        <v>564</v>
      </c>
      <c r="B441" t="s">
        <v>28</v>
      </c>
      <c r="C441" t="s">
        <v>148</v>
      </c>
      <c r="D441" t="s">
        <v>76</v>
      </c>
      <c r="E441" t="s">
        <v>654</v>
      </c>
      <c r="F441" t="s">
        <v>8471</v>
      </c>
      <c r="G441" t="s">
        <v>8472</v>
      </c>
      <c r="H441" t="s">
        <v>8798</v>
      </c>
      <c r="I441">
        <v>1.9386307063594839E-6</v>
      </c>
      <c r="J441">
        <v>515828</v>
      </c>
      <c r="K441">
        <v>5.549143212288023E-6</v>
      </c>
      <c r="L441">
        <v>180208</v>
      </c>
      <c r="M441">
        <v>1</v>
      </c>
      <c r="O441">
        <v>66</v>
      </c>
    </row>
    <row r="442" spans="1:15" x14ac:dyDescent="0.25">
      <c r="A442" t="s">
        <v>564</v>
      </c>
      <c r="B442" t="s">
        <v>28</v>
      </c>
      <c r="C442" t="s">
        <v>148</v>
      </c>
      <c r="D442" t="s">
        <v>76</v>
      </c>
      <c r="E442" t="s">
        <v>678</v>
      </c>
      <c r="F442" t="s">
        <v>78</v>
      </c>
      <c r="G442" t="s">
        <v>679</v>
      </c>
      <c r="H442" t="s">
        <v>8840</v>
      </c>
      <c r="I442">
        <v>1.9386307063594839E-6</v>
      </c>
      <c r="J442">
        <v>515828</v>
      </c>
      <c r="K442">
        <v>5.549143212288023E-6</v>
      </c>
      <c r="L442">
        <v>180208</v>
      </c>
      <c r="M442">
        <v>1</v>
      </c>
      <c r="O442">
        <v>67</v>
      </c>
    </row>
    <row r="443" spans="1:15" x14ac:dyDescent="0.25">
      <c r="A443" t="s">
        <v>564</v>
      </c>
      <c r="B443" t="s">
        <v>28</v>
      </c>
      <c r="C443" t="s">
        <v>148</v>
      </c>
      <c r="D443" t="s">
        <v>76</v>
      </c>
      <c r="E443" t="s">
        <v>927</v>
      </c>
      <c r="F443" t="s">
        <v>78</v>
      </c>
      <c r="G443" t="s">
        <v>928</v>
      </c>
      <c r="H443" t="s">
        <v>8829</v>
      </c>
      <c r="J443">
        <v>515828</v>
      </c>
      <c r="L443">
        <v>180208</v>
      </c>
      <c r="O443">
        <v>68</v>
      </c>
    </row>
    <row r="444" spans="1:15" x14ac:dyDescent="0.25">
      <c r="A444" t="s">
        <v>564</v>
      </c>
      <c r="B444" t="s">
        <v>28</v>
      </c>
      <c r="C444" t="s">
        <v>148</v>
      </c>
      <c r="D444" t="s">
        <v>76</v>
      </c>
      <c r="E444" t="s">
        <v>1000</v>
      </c>
      <c r="F444" t="s">
        <v>78</v>
      </c>
      <c r="G444" t="s">
        <v>1001</v>
      </c>
      <c r="H444" t="s">
        <v>8852</v>
      </c>
      <c r="J444">
        <v>515828</v>
      </c>
      <c r="L444">
        <v>180208</v>
      </c>
      <c r="O444">
        <v>69</v>
      </c>
    </row>
    <row r="445" spans="1:15" x14ac:dyDescent="0.25">
      <c r="A445" t="s">
        <v>564</v>
      </c>
      <c r="B445" t="s">
        <v>28</v>
      </c>
      <c r="C445" t="s">
        <v>148</v>
      </c>
      <c r="D445" t="s">
        <v>76</v>
      </c>
      <c r="E445" t="s">
        <v>997</v>
      </c>
      <c r="F445" t="s">
        <v>78</v>
      </c>
      <c r="G445" t="s">
        <v>998</v>
      </c>
      <c r="H445" t="s">
        <v>8856</v>
      </c>
      <c r="J445">
        <v>515828</v>
      </c>
      <c r="L445">
        <v>180208</v>
      </c>
      <c r="O445">
        <v>70</v>
      </c>
    </row>
    <row r="446" spans="1:15" x14ac:dyDescent="0.25">
      <c r="A446" t="s">
        <v>564</v>
      </c>
      <c r="B446" t="s">
        <v>28</v>
      </c>
      <c r="C446" t="s">
        <v>148</v>
      </c>
      <c r="D446" t="s">
        <v>76</v>
      </c>
      <c r="E446" t="s">
        <v>654</v>
      </c>
      <c r="F446" t="s">
        <v>8518</v>
      </c>
      <c r="G446" t="s">
        <v>8519</v>
      </c>
      <c r="H446" t="s">
        <v>8818</v>
      </c>
      <c r="J446">
        <v>515828</v>
      </c>
      <c r="L446">
        <v>180208</v>
      </c>
      <c r="O446">
        <v>71</v>
      </c>
    </row>
    <row r="447" spans="1:15" x14ac:dyDescent="0.25">
      <c r="A447" t="s">
        <v>564</v>
      </c>
      <c r="B447" t="s">
        <v>28</v>
      </c>
      <c r="C447" t="s">
        <v>148</v>
      </c>
      <c r="D447" t="s">
        <v>76</v>
      </c>
      <c r="E447" t="s">
        <v>994</v>
      </c>
      <c r="F447" t="s">
        <v>78</v>
      </c>
      <c r="G447" t="s">
        <v>995</v>
      </c>
      <c r="H447" t="s">
        <v>8843</v>
      </c>
      <c r="J447">
        <v>515828</v>
      </c>
      <c r="L447">
        <v>180208</v>
      </c>
      <c r="O447">
        <v>72</v>
      </c>
    </row>
    <row r="448" spans="1:15" x14ac:dyDescent="0.25">
      <c r="A448" t="s">
        <v>564</v>
      </c>
      <c r="B448" t="s">
        <v>28</v>
      </c>
      <c r="C448" t="s">
        <v>148</v>
      </c>
      <c r="D448" t="s">
        <v>76</v>
      </c>
      <c r="E448" t="s">
        <v>918</v>
      </c>
      <c r="F448" t="s">
        <v>78</v>
      </c>
      <c r="G448" t="s">
        <v>919</v>
      </c>
      <c r="H448" t="s">
        <v>8830</v>
      </c>
      <c r="J448">
        <v>515828</v>
      </c>
      <c r="L448">
        <v>180208</v>
      </c>
      <c r="O448">
        <v>73</v>
      </c>
    </row>
    <row r="449" spans="1:15" x14ac:dyDescent="0.25">
      <c r="A449" t="s">
        <v>564</v>
      </c>
      <c r="B449" t="s">
        <v>28</v>
      </c>
      <c r="C449" t="s">
        <v>148</v>
      </c>
      <c r="D449" t="s">
        <v>76</v>
      </c>
      <c r="E449" t="s">
        <v>602</v>
      </c>
      <c r="F449" t="s">
        <v>876</v>
      </c>
      <c r="G449" t="s">
        <v>877</v>
      </c>
      <c r="H449" t="s">
        <v>8873</v>
      </c>
      <c r="J449">
        <v>515828</v>
      </c>
      <c r="L449">
        <v>180208</v>
      </c>
      <c r="O449">
        <v>74</v>
      </c>
    </row>
    <row r="450" spans="1:15" x14ac:dyDescent="0.25">
      <c r="A450" t="s">
        <v>564</v>
      </c>
      <c r="B450" t="s">
        <v>28</v>
      </c>
      <c r="C450" t="s">
        <v>148</v>
      </c>
      <c r="D450" t="s">
        <v>76</v>
      </c>
      <c r="E450" t="s">
        <v>690</v>
      </c>
      <c r="F450" t="s">
        <v>78</v>
      </c>
      <c r="G450" t="s">
        <v>691</v>
      </c>
      <c r="H450" t="s">
        <v>8825</v>
      </c>
      <c r="J450">
        <v>515828</v>
      </c>
      <c r="L450">
        <v>180208</v>
      </c>
      <c r="O450">
        <v>75</v>
      </c>
    </row>
    <row r="451" spans="1:15" x14ac:dyDescent="0.25">
      <c r="A451" t="s">
        <v>564</v>
      </c>
      <c r="B451" t="s">
        <v>28</v>
      </c>
      <c r="C451" t="s">
        <v>148</v>
      </c>
      <c r="D451" t="s">
        <v>76</v>
      </c>
      <c r="E451" t="s">
        <v>694</v>
      </c>
      <c r="F451" t="s">
        <v>78</v>
      </c>
      <c r="G451" t="s">
        <v>695</v>
      </c>
      <c r="H451" t="s">
        <v>8816</v>
      </c>
      <c r="J451">
        <v>515828</v>
      </c>
      <c r="L451">
        <v>180208</v>
      </c>
      <c r="O451">
        <v>76</v>
      </c>
    </row>
    <row r="452" spans="1:15" x14ac:dyDescent="0.25">
      <c r="A452" t="s">
        <v>564</v>
      </c>
      <c r="B452" t="s">
        <v>28</v>
      </c>
      <c r="C452" t="s">
        <v>148</v>
      </c>
      <c r="D452" t="s">
        <v>76</v>
      </c>
      <c r="E452" t="s">
        <v>602</v>
      </c>
      <c r="F452" t="s">
        <v>1087</v>
      </c>
      <c r="G452" t="s">
        <v>1088</v>
      </c>
      <c r="H452" t="s">
        <v>8868</v>
      </c>
      <c r="J452">
        <v>515828</v>
      </c>
      <c r="L452">
        <v>180208</v>
      </c>
      <c r="O452">
        <v>77</v>
      </c>
    </row>
    <row r="453" spans="1:15" x14ac:dyDescent="0.25">
      <c r="A453" t="s">
        <v>564</v>
      </c>
      <c r="B453" t="s">
        <v>28</v>
      </c>
      <c r="C453" t="s">
        <v>148</v>
      </c>
      <c r="D453" t="s">
        <v>76</v>
      </c>
      <c r="E453" t="s">
        <v>602</v>
      </c>
      <c r="F453" t="s">
        <v>870</v>
      </c>
      <c r="G453" t="s">
        <v>871</v>
      </c>
      <c r="H453" t="s">
        <v>8869</v>
      </c>
      <c r="J453">
        <v>515828</v>
      </c>
      <c r="L453">
        <v>180208</v>
      </c>
      <c r="O453">
        <v>78</v>
      </c>
    </row>
    <row r="454" spans="1:15" x14ac:dyDescent="0.25">
      <c r="A454" t="s">
        <v>564</v>
      </c>
      <c r="B454" t="s">
        <v>28</v>
      </c>
      <c r="C454" t="s">
        <v>148</v>
      </c>
      <c r="D454" t="s">
        <v>76</v>
      </c>
      <c r="E454" t="s">
        <v>602</v>
      </c>
      <c r="F454" t="s">
        <v>867</v>
      </c>
      <c r="G454" t="s">
        <v>868</v>
      </c>
      <c r="H454" t="s">
        <v>8867</v>
      </c>
      <c r="J454">
        <v>515828</v>
      </c>
      <c r="L454">
        <v>180208</v>
      </c>
      <c r="O454">
        <v>79</v>
      </c>
    </row>
    <row r="455" spans="1:15" x14ac:dyDescent="0.25">
      <c r="A455" t="s">
        <v>564</v>
      </c>
      <c r="B455" t="s">
        <v>28</v>
      </c>
      <c r="C455" t="s">
        <v>148</v>
      </c>
      <c r="D455" t="s">
        <v>76</v>
      </c>
      <c r="E455" t="s">
        <v>988</v>
      </c>
      <c r="F455" t="s">
        <v>78</v>
      </c>
      <c r="G455" t="s">
        <v>989</v>
      </c>
      <c r="H455" t="s">
        <v>8857</v>
      </c>
      <c r="J455">
        <v>515828</v>
      </c>
      <c r="L455">
        <v>180208</v>
      </c>
      <c r="O455">
        <v>80</v>
      </c>
    </row>
    <row r="456" spans="1:15" x14ac:dyDescent="0.25">
      <c r="A456" t="s">
        <v>564</v>
      </c>
      <c r="B456" t="s">
        <v>28</v>
      </c>
      <c r="C456" t="s">
        <v>148</v>
      </c>
      <c r="D456" t="s">
        <v>76</v>
      </c>
      <c r="E456" t="s">
        <v>634</v>
      </c>
      <c r="F456" t="s">
        <v>883</v>
      </c>
      <c r="G456" t="s">
        <v>884</v>
      </c>
      <c r="H456" t="s">
        <v>8866</v>
      </c>
      <c r="J456">
        <v>515828</v>
      </c>
      <c r="L456">
        <v>180208</v>
      </c>
      <c r="O456">
        <v>81</v>
      </c>
    </row>
    <row r="457" spans="1:15" x14ac:dyDescent="0.25">
      <c r="A457" t="s">
        <v>564</v>
      </c>
      <c r="B457" t="s">
        <v>28</v>
      </c>
      <c r="C457" t="s">
        <v>148</v>
      </c>
      <c r="D457" t="s">
        <v>76</v>
      </c>
      <c r="E457" t="s">
        <v>634</v>
      </c>
      <c r="F457" t="s">
        <v>880</v>
      </c>
      <c r="G457" t="s">
        <v>881</v>
      </c>
      <c r="H457" t="s">
        <v>8865</v>
      </c>
      <c r="J457">
        <v>515828</v>
      </c>
      <c r="L457">
        <v>180208</v>
      </c>
      <c r="O457">
        <v>82</v>
      </c>
    </row>
    <row r="458" spans="1:15" x14ac:dyDescent="0.25">
      <c r="A458" t="s">
        <v>564</v>
      </c>
      <c r="B458" t="s">
        <v>28</v>
      </c>
      <c r="C458" t="s">
        <v>148</v>
      </c>
      <c r="D458" t="s">
        <v>76</v>
      </c>
      <c r="E458" t="s">
        <v>1015</v>
      </c>
      <c r="F458" t="s">
        <v>78</v>
      </c>
      <c r="G458" t="s">
        <v>1016</v>
      </c>
      <c r="H458" t="s">
        <v>8815</v>
      </c>
      <c r="J458">
        <v>515828</v>
      </c>
      <c r="L458">
        <v>180208</v>
      </c>
      <c r="O458">
        <v>83</v>
      </c>
    </row>
    <row r="459" spans="1:15" x14ac:dyDescent="0.25">
      <c r="A459" t="s">
        <v>564</v>
      </c>
      <c r="B459" t="s">
        <v>28</v>
      </c>
      <c r="C459" t="s">
        <v>148</v>
      </c>
      <c r="D459" t="s">
        <v>76</v>
      </c>
      <c r="E459" t="s">
        <v>602</v>
      </c>
      <c r="F459" t="s">
        <v>864</v>
      </c>
      <c r="G459" t="s">
        <v>865</v>
      </c>
      <c r="H459" t="s">
        <v>8870</v>
      </c>
      <c r="J459">
        <v>515828</v>
      </c>
      <c r="L459">
        <v>180208</v>
      </c>
      <c r="O459">
        <v>84</v>
      </c>
    </row>
    <row r="460" spans="1:15" x14ac:dyDescent="0.25">
      <c r="A460" t="s">
        <v>564</v>
      </c>
      <c r="B460" t="s">
        <v>28</v>
      </c>
      <c r="C460" t="s">
        <v>148</v>
      </c>
      <c r="D460" t="s">
        <v>76</v>
      </c>
      <c r="E460" t="s">
        <v>602</v>
      </c>
      <c r="F460" t="s">
        <v>854</v>
      </c>
      <c r="G460" t="s">
        <v>855</v>
      </c>
      <c r="H460" t="s">
        <v>8804</v>
      </c>
      <c r="J460">
        <v>515828</v>
      </c>
      <c r="L460">
        <v>180208</v>
      </c>
      <c r="O460">
        <v>85</v>
      </c>
    </row>
    <row r="461" spans="1:15" x14ac:dyDescent="0.25">
      <c r="A461" t="s">
        <v>564</v>
      </c>
      <c r="B461" t="s">
        <v>28</v>
      </c>
      <c r="C461" t="s">
        <v>148</v>
      </c>
      <c r="D461" t="s">
        <v>76</v>
      </c>
      <c r="E461" t="s">
        <v>1018</v>
      </c>
      <c r="F461" t="s">
        <v>78</v>
      </c>
      <c r="G461" t="s">
        <v>1019</v>
      </c>
      <c r="H461" t="s">
        <v>8838</v>
      </c>
      <c r="J461">
        <v>515828</v>
      </c>
      <c r="L461">
        <v>180208</v>
      </c>
      <c r="O461">
        <v>86</v>
      </c>
    </row>
    <row r="462" spans="1:15" x14ac:dyDescent="0.25">
      <c r="A462" t="s">
        <v>564</v>
      </c>
      <c r="B462" t="s">
        <v>28</v>
      </c>
      <c r="C462" t="s">
        <v>148</v>
      </c>
      <c r="D462" t="s">
        <v>76</v>
      </c>
      <c r="E462" t="s">
        <v>985</v>
      </c>
      <c r="F462" t="s">
        <v>78</v>
      </c>
      <c r="G462" t="s">
        <v>986</v>
      </c>
      <c r="H462" t="s">
        <v>8862</v>
      </c>
      <c r="J462">
        <v>515828</v>
      </c>
      <c r="L462">
        <v>180208</v>
      </c>
      <c r="O462">
        <v>87</v>
      </c>
    </row>
    <row r="463" spans="1:15" x14ac:dyDescent="0.25">
      <c r="A463" t="s">
        <v>564</v>
      </c>
      <c r="B463" t="s">
        <v>28</v>
      </c>
      <c r="C463" t="s">
        <v>148</v>
      </c>
      <c r="D463" t="s">
        <v>76</v>
      </c>
      <c r="E463" t="s">
        <v>692</v>
      </c>
      <c r="F463" t="s">
        <v>78</v>
      </c>
      <c r="G463" t="s">
        <v>693</v>
      </c>
      <c r="H463" t="s">
        <v>8824</v>
      </c>
      <c r="J463">
        <v>515828</v>
      </c>
      <c r="L463">
        <v>180208</v>
      </c>
      <c r="O463">
        <v>88</v>
      </c>
    </row>
    <row r="464" spans="1:15" x14ac:dyDescent="0.25">
      <c r="A464" t="s">
        <v>564</v>
      </c>
      <c r="B464" t="s">
        <v>28</v>
      </c>
      <c r="C464" t="s">
        <v>148</v>
      </c>
      <c r="D464" t="s">
        <v>76</v>
      </c>
      <c r="E464" t="s">
        <v>682</v>
      </c>
      <c r="F464" t="s">
        <v>78</v>
      </c>
      <c r="G464" t="s">
        <v>683</v>
      </c>
      <c r="H464" t="s">
        <v>8784</v>
      </c>
      <c r="J464">
        <v>515828</v>
      </c>
      <c r="L464">
        <v>180208</v>
      </c>
      <c r="O464">
        <v>89</v>
      </c>
    </row>
    <row r="465" spans="1:15" x14ac:dyDescent="0.25">
      <c r="A465" t="s">
        <v>564</v>
      </c>
      <c r="B465" t="s">
        <v>28</v>
      </c>
      <c r="C465" t="s">
        <v>148</v>
      </c>
      <c r="D465" t="s">
        <v>76</v>
      </c>
      <c r="E465" t="s">
        <v>1003</v>
      </c>
      <c r="F465" t="s">
        <v>78</v>
      </c>
      <c r="G465" t="s">
        <v>1004</v>
      </c>
      <c r="H465" t="s">
        <v>8861</v>
      </c>
      <c r="J465">
        <v>515828</v>
      </c>
      <c r="L465">
        <v>180208</v>
      </c>
      <c r="O465">
        <v>90</v>
      </c>
    </row>
    <row r="466" spans="1:15" x14ac:dyDescent="0.25">
      <c r="A466" t="s">
        <v>564</v>
      </c>
      <c r="B466" t="s">
        <v>28</v>
      </c>
      <c r="C466" t="s">
        <v>148</v>
      </c>
      <c r="D466" t="s">
        <v>76</v>
      </c>
      <c r="E466" t="s">
        <v>1027</v>
      </c>
      <c r="F466" t="s">
        <v>78</v>
      </c>
      <c r="G466" t="s">
        <v>1028</v>
      </c>
      <c r="H466" t="s">
        <v>8859</v>
      </c>
      <c r="J466">
        <v>515828</v>
      </c>
      <c r="L466">
        <v>180208</v>
      </c>
      <c r="O466">
        <v>91</v>
      </c>
    </row>
    <row r="467" spans="1:15" x14ac:dyDescent="0.25">
      <c r="A467" t="s">
        <v>564</v>
      </c>
      <c r="B467" t="s">
        <v>28</v>
      </c>
      <c r="C467" t="s">
        <v>148</v>
      </c>
      <c r="D467" t="s">
        <v>76</v>
      </c>
      <c r="E467" t="s">
        <v>897</v>
      </c>
      <c r="F467" t="s">
        <v>78</v>
      </c>
      <c r="G467" t="s">
        <v>898</v>
      </c>
      <c r="H467" t="s">
        <v>8834</v>
      </c>
      <c r="J467">
        <v>515828</v>
      </c>
      <c r="L467">
        <v>180208</v>
      </c>
      <c r="O467">
        <v>92</v>
      </c>
    </row>
    <row r="468" spans="1:15" x14ac:dyDescent="0.25">
      <c r="A468" t="s">
        <v>564</v>
      </c>
      <c r="B468" t="s">
        <v>28</v>
      </c>
      <c r="C468" t="s">
        <v>148</v>
      </c>
      <c r="D468" t="s">
        <v>76</v>
      </c>
      <c r="E468" t="s">
        <v>1030</v>
      </c>
      <c r="F468" t="s">
        <v>78</v>
      </c>
      <c r="G468" t="s">
        <v>1031</v>
      </c>
      <c r="H468" t="s">
        <v>8846</v>
      </c>
      <c r="J468">
        <v>515828</v>
      </c>
      <c r="L468">
        <v>180208</v>
      </c>
      <c r="O468">
        <v>93</v>
      </c>
    </row>
    <row r="469" spans="1:15" x14ac:dyDescent="0.25">
      <c r="A469" t="s">
        <v>564</v>
      </c>
      <c r="B469" t="s">
        <v>28</v>
      </c>
      <c r="C469" t="s">
        <v>148</v>
      </c>
      <c r="D469" t="s">
        <v>76</v>
      </c>
      <c r="E469" t="s">
        <v>602</v>
      </c>
      <c r="F469" t="s">
        <v>1099</v>
      </c>
      <c r="G469" t="s">
        <v>1100</v>
      </c>
      <c r="H469" t="s">
        <v>8871</v>
      </c>
      <c r="J469">
        <v>515828</v>
      </c>
      <c r="L469">
        <v>180208</v>
      </c>
      <c r="O469">
        <v>94</v>
      </c>
    </row>
    <row r="470" spans="1:15" x14ac:dyDescent="0.25">
      <c r="A470" t="s">
        <v>564</v>
      </c>
      <c r="B470" t="s">
        <v>28</v>
      </c>
      <c r="C470" t="s">
        <v>148</v>
      </c>
      <c r="D470" t="s">
        <v>76</v>
      </c>
      <c r="E470" t="s">
        <v>636</v>
      </c>
      <c r="F470" t="s">
        <v>78</v>
      </c>
      <c r="G470" t="s">
        <v>637</v>
      </c>
      <c r="H470" t="s">
        <v>8809</v>
      </c>
      <c r="J470">
        <v>515828</v>
      </c>
      <c r="L470">
        <v>180208</v>
      </c>
      <c r="O470">
        <v>95</v>
      </c>
    </row>
    <row r="471" spans="1:15" x14ac:dyDescent="0.25">
      <c r="A471" t="s">
        <v>564</v>
      </c>
      <c r="B471" t="s">
        <v>28</v>
      </c>
      <c r="C471" t="s">
        <v>148</v>
      </c>
      <c r="D471" t="s">
        <v>76</v>
      </c>
      <c r="E471" t="s">
        <v>1033</v>
      </c>
      <c r="F471" t="s">
        <v>78</v>
      </c>
      <c r="G471" t="s">
        <v>1034</v>
      </c>
      <c r="H471" t="s">
        <v>8864</v>
      </c>
      <c r="J471">
        <v>515828</v>
      </c>
      <c r="L471">
        <v>180208</v>
      </c>
      <c r="O471">
        <v>96</v>
      </c>
    </row>
    <row r="472" spans="1:15" x14ac:dyDescent="0.25">
      <c r="A472" t="s">
        <v>564</v>
      </c>
      <c r="B472" t="s">
        <v>28</v>
      </c>
      <c r="C472" t="s">
        <v>148</v>
      </c>
      <c r="D472" t="s">
        <v>76</v>
      </c>
      <c r="E472" t="s">
        <v>982</v>
      </c>
      <c r="F472" t="s">
        <v>78</v>
      </c>
      <c r="G472" t="s">
        <v>983</v>
      </c>
      <c r="H472" t="s">
        <v>8845</v>
      </c>
      <c r="J472">
        <v>515828</v>
      </c>
      <c r="L472">
        <v>180208</v>
      </c>
      <c r="O472">
        <v>97</v>
      </c>
    </row>
    <row r="473" spans="1:15" x14ac:dyDescent="0.25">
      <c r="A473" t="s">
        <v>564</v>
      </c>
      <c r="B473" t="s">
        <v>28</v>
      </c>
      <c r="C473" t="s">
        <v>148</v>
      </c>
      <c r="D473" t="s">
        <v>76</v>
      </c>
      <c r="E473" t="s">
        <v>979</v>
      </c>
      <c r="F473" t="s">
        <v>78</v>
      </c>
      <c r="G473" t="s">
        <v>980</v>
      </c>
      <c r="H473" t="s">
        <v>8847</v>
      </c>
      <c r="J473">
        <v>515828</v>
      </c>
      <c r="L473">
        <v>180208</v>
      </c>
      <c r="O473">
        <v>98</v>
      </c>
    </row>
    <row r="474" spans="1:15" x14ac:dyDescent="0.25">
      <c r="A474" t="s">
        <v>564</v>
      </c>
      <c r="B474" t="s">
        <v>28</v>
      </c>
      <c r="C474" t="s">
        <v>148</v>
      </c>
      <c r="D474" t="s">
        <v>76</v>
      </c>
      <c r="E474" t="s">
        <v>1042</v>
      </c>
      <c r="F474" t="s">
        <v>78</v>
      </c>
      <c r="G474" t="s">
        <v>1043</v>
      </c>
      <c r="H474" t="s">
        <v>8839</v>
      </c>
      <c r="J474">
        <v>515828</v>
      </c>
      <c r="L474">
        <v>180208</v>
      </c>
      <c r="O474">
        <v>99</v>
      </c>
    </row>
    <row r="475" spans="1:15" x14ac:dyDescent="0.25">
      <c r="A475" t="s">
        <v>564</v>
      </c>
      <c r="B475" t="s">
        <v>28</v>
      </c>
      <c r="C475" t="s">
        <v>148</v>
      </c>
      <c r="D475" t="s">
        <v>76</v>
      </c>
      <c r="E475" t="s">
        <v>10855</v>
      </c>
      <c r="F475" t="s">
        <v>78</v>
      </c>
      <c r="G475" t="s">
        <v>10856</v>
      </c>
      <c r="H475" t="s">
        <v>10859</v>
      </c>
      <c r="J475">
        <v>515828</v>
      </c>
      <c r="L475">
        <v>180208</v>
      </c>
      <c r="O475">
        <v>100</v>
      </c>
    </row>
    <row r="476" spans="1:15" x14ac:dyDescent="0.25">
      <c r="A476" t="s">
        <v>564</v>
      </c>
      <c r="B476" t="s">
        <v>28</v>
      </c>
      <c r="C476" t="s">
        <v>148</v>
      </c>
      <c r="D476" t="s">
        <v>76</v>
      </c>
      <c r="E476" t="s">
        <v>976</v>
      </c>
      <c r="F476" t="s">
        <v>78</v>
      </c>
      <c r="G476" t="s">
        <v>977</v>
      </c>
      <c r="H476" t="s">
        <v>8853</v>
      </c>
      <c r="J476">
        <v>515828</v>
      </c>
      <c r="L476">
        <v>180208</v>
      </c>
      <c r="O476">
        <v>101</v>
      </c>
    </row>
    <row r="477" spans="1:15" x14ac:dyDescent="0.25">
      <c r="A477" t="s">
        <v>564</v>
      </c>
      <c r="B477" t="s">
        <v>28</v>
      </c>
      <c r="C477" t="s">
        <v>148</v>
      </c>
      <c r="D477" t="s">
        <v>76</v>
      </c>
      <c r="E477" t="s">
        <v>1048</v>
      </c>
      <c r="F477" t="s">
        <v>78</v>
      </c>
      <c r="G477" t="s">
        <v>1049</v>
      </c>
      <c r="H477" t="s">
        <v>8860</v>
      </c>
      <c r="J477">
        <v>515828</v>
      </c>
      <c r="L477">
        <v>180208</v>
      </c>
      <c r="O477">
        <v>102</v>
      </c>
    </row>
    <row r="478" spans="1:15" x14ac:dyDescent="0.25">
      <c r="A478" t="s">
        <v>564</v>
      </c>
      <c r="B478" t="s">
        <v>28</v>
      </c>
      <c r="C478" t="s">
        <v>148</v>
      </c>
      <c r="D478" t="s">
        <v>76</v>
      </c>
      <c r="E478" t="s">
        <v>1051</v>
      </c>
      <c r="F478" t="s">
        <v>78</v>
      </c>
      <c r="G478" t="s">
        <v>1052</v>
      </c>
      <c r="H478" t="s">
        <v>8858</v>
      </c>
      <c r="J478">
        <v>515828</v>
      </c>
      <c r="L478">
        <v>180208</v>
      </c>
      <c r="O478">
        <v>103</v>
      </c>
    </row>
    <row r="479" spans="1:15" x14ac:dyDescent="0.25">
      <c r="A479" t="s">
        <v>564</v>
      </c>
      <c r="B479" t="s">
        <v>28</v>
      </c>
      <c r="C479" t="s">
        <v>148</v>
      </c>
      <c r="D479" t="s">
        <v>76</v>
      </c>
      <c r="E479" t="s">
        <v>1054</v>
      </c>
      <c r="F479" t="s">
        <v>78</v>
      </c>
      <c r="G479" t="s">
        <v>1055</v>
      </c>
      <c r="H479" t="s">
        <v>8842</v>
      </c>
      <c r="J479">
        <v>515828</v>
      </c>
      <c r="L479">
        <v>180208</v>
      </c>
      <c r="O479">
        <v>104</v>
      </c>
    </row>
    <row r="480" spans="1:15" x14ac:dyDescent="0.25">
      <c r="A480" t="s">
        <v>564</v>
      </c>
      <c r="B480" t="s">
        <v>28</v>
      </c>
      <c r="C480" t="s">
        <v>148</v>
      </c>
      <c r="D480" t="s">
        <v>76</v>
      </c>
      <c r="E480" t="s">
        <v>1057</v>
      </c>
      <c r="F480" t="s">
        <v>78</v>
      </c>
      <c r="G480" t="s">
        <v>1058</v>
      </c>
      <c r="H480" t="s">
        <v>8849</v>
      </c>
      <c r="J480">
        <v>515828</v>
      </c>
      <c r="L480">
        <v>180208</v>
      </c>
      <c r="O480">
        <v>105</v>
      </c>
    </row>
    <row r="481" spans="1:15" x14ac:dyDescent="0.25">
      <c r="A481" t="s">
        <v>564</v>
      </c>
      <c r="B481" t="s">
        <v>28</v>
      </c>
      <c r="C481" t="s">
        <v>148</v>
      </c>
      <c r="D481" t="s">
        <v>76</v>
      </c>
      <c r="E481" t="s">
        <v>873</v>
      </c>
      <c r="F481" t="s">
        <v>78</v>
      </c>
      <c r="G481" t="s">
        <v>874</v>
      </c>
      <c r="H481" t="s">
        <v>8808</v>
      </c>
      <c r="J481">
        <v>515828</v>
      </c>
      <c r="L481">
        <v>180208</v>
      </c>
      <c r="O481">
        <v>106</v>
      </c>
    </row>
    <row r="482" spans="1:15" x14ac:dyDescent="0.25">
      <c r="A482" t="s">
        <v>564</v>
      </c>
      <c r="B482" t="s">
        <v>28</v>
      </c>
      <c r="C482" t="s">
        <v>148</v>
      </c>
      <c r="D482" t="s">
        <v>76</v>
      </c>
      <c r="E482" t="s">
        <v>1060</v>
      </c>
      <c r="F482" t="s">
        <v>78</v>
      </c>
      <c r="G482" t="s">
        <v>1061</v>
      </c>
      <c r="H482" t="s">
        <v>8841</v>
      </c>
      <c r="J482">
        <v>515828</v>
      </c>
      <c r="L482">
        <v>180208</v>
      </c>
      <c r="O482">
        <v>107</v>
      </c>
    </row>
    <row r="483" spans="1:15" x14ac:dyDescent="0.25">
      <c r="A483" t="s">
        <v>564</v>
      </c>
      <c r="B483" t="s">
        <v>28</v>
      </c>
      <c r="C483" t="s">
        <v>148</v>
      </c>
      <c r="D483" t="s">
        <v>76</v>
      </c>
      <c r="E483" t="s">
        <v>973</v>
      </c>
      <c r="F483" t="s">
        <v>78</v>
      </c>
      <c r="G483" t="s">
        <v>974</v>
      </c>
      <c r="H483" t="s">
        <v>8863</v>
      </c>
      <c r="J483">
        <v>515828</v>
      </c>
      <c r="L483">
        <v>180208</v>
      </c>
      <c r="O483">
        <v>108</v>
      </c>
    </row>
    <row r="484" spans="1:15" x14ac:dyDescent="0.25">
      <c r="A484" t="s">
        <v>564</v>
      </c>
      <c r="B484" t="s">
        <v>28</v>
      </c>
      <c r="C484" t="s">
        <v>148</v>
      </c>
      <c r="D484" t="s">
        <v>76</v>
      </c>
      <c r="E484" t="s">
        <v>1066</v>
      </c>
      <c r="F484" t="s">
        <v>78</v>
      </c>
      <c r="G484" t="s">
        <v>1067</v>
      </c>
      <c r="H484" t="s">
        <v>8837</v>
      </c>
      <c r="J484">
        <v>515828</v>
      </c>
      <c r="L484">
        <v>180208</v>
      </c>
      <c r="O484">
        <v>109</v>
      </c>
    </row>
    <row r="485" spans="1:15" x14ac:dyDescent="0.25">
      <c r="A485" t="s">
        <v>564</v>
      </c>
      <c r="B485" t="s">
        <v>28</v>
      </c>
      <c r="C485" t="s">
        <v>148</v>
      </c>
      <c r="D485" t="s">
        <v>76</v>
      </c>
      <c r="E485" t="s">
        <v>970</v>
      </c>
      <c r="F485" t="s">
        <v>78</v>
      </c>
      <c r="G485" t="s">
        <v>971</v>
      </c>
      <c r="H485" t="s">
        <v>8854</v>
      </c>
      <c r="J485">
        <v>515828</v>
      </c>
      <c r="L485">
        <v>180208</v>
      </c>
      <c r="O485">
        <v>110</v>
      </c>
    </row>
    <row r="486" spans="1:15" x14ac:dyDescent="0.25">
      <c r="A486" t="s">
        <v>564</v>
      </c>
      <c r="B486" t="s">
        <v>28</v>
      </c>
      <c r="C486" t="s">
        <v>148</v>
      </c>
      <c r="D486" t="s">
        <v>76</v>
      </c>
      <c r="E486" t="s">
        <v>1072</v>
      </c>
      <c r="F486" t="s">
        <v>78</v>
      </c>
      <c r="G486" t="s">
        <v>1073</v>
      </c>
      <c r="H486" t="s">
        <v>8836</v>
      </c>
      <c r="J486">
        <v>515828</v>
      </c>
      <c r="L486">
        <v>180208</v>
      </c>
      <c r="O486">
        <v>111</v>
      </c>
    </row>
    <row r="487" spans="1:15" x14ac:dyDescent="0.25">
      <c r="A487" t="s">
        <v>564</v>
      </c>
      <c r="B487" t="s">
        <v>28</v>
      </c>
      <c r="C487" t="s">
        <v>148</v>
      </c>
      <c r="D487" t="s">
        <v>76</v>
      </c>
      <c r="E487" t="s">
        <v>1075</v>
      </c>
      <c r="F487" t="s">
        <v>78</v>
      </c>
      <c r="G487" t="s">
        <v>1076</v>
      </c>
      <c r="H487" t="s">
        <v>8835</v>
      </c>
      <c r="J487">
        <v>515828</v>
      </c>
      <c r="L487">
        <v>180208</v>
      </c>
      <c r="O487">
        <v>112</v>
      </c>
    </row>
    <row r="488" spans="1:15" x14ac:dyDescent="0.25">
      <c r="A488" t="s">
        <v>564</v>
      </c>
      <c r="B488" t="s">
        <v>28</v>
      </c>
      <c r="C488" t="s">
        <v>148</v>
      </c>
      <c r="D488" t="s">
        <v>76</v>
      </c>
      <c r="E488" t="s">
        <v>1078</v>
      </c>
      <c r="F488" t="s">
        <v>78</v>
      </c>
      <c r="G488" t="s">
        <v>1079</v>
      </c>
      <c r="H488" t="s">
        <v>8821</v>
      </c>
      <c r="J488">
        <v>515828</v>
      </c>
      <c r="L488">
        <v>180208</v>
      </c>
      <c r="O488">
        <v>113</v>
      </c>
    </row>
    <row r="489" spans="1:15" x14ac:dyDescent="0.25">
      <c r="A489" t="s">
        <v>564</v>
      </c>
      <c r="B489" t="s">
        <v>28</v>
      </c>
      <c r="C489" t="s">
        <v>148</v>
      </c>
      <c r="D489" t="s">
        <v>76</v>
      </c>
      <c r="E489" t="s">
        <v>654</v>
      </c>
      <c r="F489" t="s">
        <v>8465</v>
      </c>
      <c r="G489" t="s">
        <v>8466</v>
      </c>
      <c r="H489" t="s">
        <v>8819</v>
      </c>
      <c r="J489">
        <v>515828</v>
      </c>
      <c r="L489">
        <v>180208</v>
      </c>
      <c r="O489">
        <v>114</v>
      </c>
    </row>
    <row r="490" spans="1:15" x14ac:dyDescent="0.25">
      <c r="A490" t="s">
        <v>564</v>
      </c>
      <c r="B490" t="s">
        <v>28</v>
      </c>
      <c r="C490" t="s">
        <v>148</v>
      </c>
      <c r="D490" t="s">
        <v>76</v>
      </c>
      <c r="E490" t="s">
        <v>886</v>
      </c>
      <c r="F490" t="s">
        <v>8512</v>
      </c>
      <c r="G490" t="s">
        <v>8513</v>
      </c>
      <c r="H490" t="s">
        <v>8899</v>
      </c>
      <c r="J490">
        <v>515828</v>
      </c>
      <c r="L490">
        <v>180208</v>
      </c>
      <c r="O490">
        <v>115</v>
      </c>
    </row>
    <row r="491" spans="1:15" x14ac:dyDescent="0.25">
      <c r="A491" t="s">
        <v>564</v>
      </c>
      <c r="B491" t="s">
        <v>28</v>
      </c>
      <c r="C491" t="s">
        <v>148</v>
      </c>
      <c r="D491" t="s">
        <v>76</v>
      </c>
      <c r="E491" t="s">
        <v>886</v>
      </c>
      <c r="F491" t="s">
        <v>8495</v>
      </c>
      <c r="G491" t="s">
        <v>8496</v>
      </c>
      <c r="H491" t="s">
        <v>8898</v>
      </c>
      <c r="J491">
        <v>515828</v>
      </c>
      <c r="L491">
        <v>180208</v>
      </c>
      <c r="O491">
        <v>116</v>
      </c>
    </row>
    <row r="492" spans="1:15" x14ac:dyDescent="0.25">
      <c r="A492" t="s">
        <v>564</v>
      </c>
      <c r="B492" t="s">
        <v>28</v>
      </c>
      <c r="C492" t="s">
        <v>148</v>
      </c>
      <c r="D492" t="s">
        <v>76</v>
      </c>
      <c r="E492" t="s">
        <v>1081</v>
      </c>
      <c r="F492" t="s">
        <v>78</v>
      </c>
      <c r="G492" t="s">
        <v>1082</v>
      </c>
      <c r="H492" t="s">
        <v>8811</v>
      </c>
      <c r="J492">
        <v>515828</v>
      </c>
      <c r="L492">
        <v>180208</v>
      </c>
      <c r="O492">
        <v>117</v>
      </c>
    </row>
    <row r="493" spans="1:15" x14ac:dyDescent="0.25">
      <c r="A493" t="s">
        <v>564</v>
      </c>
      <c r="B493" t="s">
        <v>28</v>
      </c>
      <c r="C493" t="s">
        <v>148</v>
      </c>
      <c r="D493" t="s">
        <v>76</v>
      </c>
      <c r="E493" t="s">
        <v>886</v>
      </c>
      <c r="F493" t="s">
        <v>8504</v>
      </c>
      <c r="G493" t="s">
        <v>8505</v>
      </c>
      <c r="H493" t="s">
        <v>8807</v>
      </c>
      <c r="J493">
        <v>515828</v>
      </c>
      <c r="L493">
        <v>180208</v>
      </c>
      <c r="O493">
        <v>118</v>
      </c>
    </row>
    <row r="494" spans="1:15" x14ac:dyDescent="0.25">
      <c r="A494" t="s">
        <v>564</v>
      </c>
      <c r="B494" t="s">
        <v>28</v>
      </c>
      <c r="C494" t="s">
        <v>148</v>
      </c>
      <c r="D494" t="s">
        <v>76</v>
      </c>
      <c r="E494" t="s">
        <v>967</v>
      </c>
      <c r="F494" t="s">
        <v>78</v>
      </c>
      <c r="G494" t="s">
        <v>968</v>
      </c>
      <c r="H494" t="s">
        <v>8801</v>
      </c>
      <c r="J494">
        <v>515828</v>
      </c>
      <c r="L494">
        <v>180208</v>
      </c>
      <c r="O494">
        <v>119</v>
      </c>
    </row>
    <row r="495" spans="1:15" x14ac:dyDescent="0.25">
      <c r="A495" t="s">
        <v>564</v>
      </c>
      <c r="B495" t="s">
        <v>28</v>
      </c>
      <c r="C495" t="s">
        <v>148</v>
      </c>
      <c r="D495" t="s">
        <v>76</v>
      </c>
      <c r="E495" t="s">
        <v>686</v>
      </c>
      <c r="F495" t="s">
        <v>1084</v>
      </c>
      <c r="G495" t="s">
        <v>1085</v>
      </c>
      <c r="H495" t="s">
        <v>8882</v>
      </c>
      <c r="J495">
        <v>515828</v>
      </c>
      <c r="L495">
        <v>180208</v>
      </c>
      <c r="O495">
        <v>120</v>
      </c>
    </row>
    <row r="496" spans="1:15" x14ac:dyDescent="0.25">
      <c r="A496" t="s">
        <v>564</v>
      </c>
      <c r="B496" t="s">
        <v>28</v>
      </c>
      <c r="C496" t="s">
        <v>148</v>
      </c>
      <c r="D496" t="s">
        <v>76</v>
      </c>
      <c r="E496" t="s">
        <v>686</v>
      </c>
      <c r="F496" t="s">
        <v>1069</v>
      </c>
      <c r="G496" t="s">
        <v>1070</v>
      </c>
      <c r="H496" t="s">
        <v>8896</v>
      </c>
      <c r="J496">
        <v>515828</v>
      </c>
      <c r="L496">
        <v>180208</v>
      </c>
      <c r="O496">
        <v>121</v>
      </c>
    </row>
    <row r="497" spans="1:15" x14ac:dyDescent="0.25">
      <c r="A497" t="s">
        <v>564</v>
      </c>
      <c r="B497" t="s">
        <v>28</v>
      </c>
      <c r="C497" t="s">
        <v>148</v>
      </c>
      <c r="D497" t="s">
        <v>76</v>
      </c>
      <c r="E497" t="s">
        <v>900</v>
      </c>
      <c r="F497" t="s">
        <v>78</v>
      </c>
      <c r="G497" t="s">
        <v>901</v>
      </c>
      <c r="H497" t="s">
        <v>8832</v>
      </c>
      <c r="J497">
        <v>515828</v>
      </c>
      <c r="L497">
        <v>180208</v>
      </c>
      <c r="O497">
        <v>122</v>
      </c>
    </row>
    <row r="498" spans="1:15" x14ac:dyDescent="0.25">
      <c r="A498" t="s">
        <v>564</v>
      </c>
      <c r="B498" t="s">
        <v>28</v>
      </c>
      <c r="C498" t="s">
        <v>148</v>
      </c>
      <c r="D498" t="s">
        <v>76</v>
      </c>
      <c r="E498" t="s">
        <v>686</v>
      </c>
      <c r="F498" t="s">
        <v>1063</v>
      </c>
      <c r="G498" t="s">
        <v>1064</v>
      </c>
      <c r="H498" t="s">
        <v>8895</v>
      </c>
      <c r="J498">
        <v>515828</v>
      </c>
      <c r="L498">
        <v>180208</v>
      </c>
      <c r="O498">
        <v>123</v>
      </c>
    </row>
    <row r="499" spans="1:15" x14ac:dyDescent="0.25">
      <c r="A499" t="s">
        <v>564</v>
      </c>
      <c r="B499" t="s">
        <v>28</v>
      </c>
      <c r="C499" t="s">
        <v>148</v>
      </c>
      <c r="D499" t="s">
        <v>76</v>
      </c>
      <c r="E499" t="s">
        <v>686</v>
      </c>
      <c r="F499" t="s">
        <v>1045</v>
      </c>
      <c r="G499" t="s">
        <v>1046</v>
      </c>
      <c r="H499" t="s">
        <v>8888</v>
      </c>
      <c r="J499">
        <v>515828</v>
      </c>
      <c r="L499">
        <v>180208</v>
      </c>
      <c r="O499">
        <v>124</v>
      </c>
    </row>
    <row r="500" spans="1:15" x14ac:dyDescent="0.25">
      <c r="A500" t="s">
        <v>564</v>
      </c>
      <c r="B500" t="s">
        <v>28</v>
      </c>
      <c r="C500" t="s">
        <v>148</v>
      </c>
      <c r="D500" t="s">
        <v>76</v>
      </c>
      <c r="E500" t="s">
        <v>686</v>
      </c>
      <c r="F500" t="s">
        <v>1039</v>
      </c>
      <c r="G500" t="s">
        <v>1040</v>
      </c>
      <c r="H500" t="s">
        <v>8880</v>
      </c>
      <c r="J500">
        <v>515828</v>
      </c>
      <c r="L500">
        <v>180208</v>
      </c>
      <c r="O500">
        <v>125</v>
      </c>
    </row>
    <row r="501" spans="1:15" x14ac:dyDescent="0.25">
      <c r="A501" t="s">
        <v>564</v>
      </c>
      <c r="B501" t="s">
        <v>28</v>
      </c>
      <c r="C501" t="s">
        <v>148</v>
      </c>
      <c r="D501" t="s">
        <v>76</v>
      </c>
      <c r="E501" t="s">
        <v>686</v>
      </c>
      <c r="F501" t="s">
        <v>1036</v>
      </c>
      <c r="G501" t="s">
        <v>1037</v>
      </c>
      <c r="H501" t="s">
        <v>8886</v>
      </c>
      <c r="J501">
        <v>515828</v>
      </c>
      <c r="L501">
        <v>180208</v>
      </c>
      <c r="O501">
        <v>126</v>
      </c>
    </row>
    <row r="502" spans="1:15" x14ac:dyDescent="0.25">
      <c r="A502" t="s">
        <v>564</v>
      </c>
      <c r="B502" t="s">
        <v>28</v>
      </c>
      <c r="C502" t="s">
        <v>148</v>
      </c>
      <c r="D502" t="s">
        <v>76</v>
      </c>
      <c r="E502" t="s">
        <v>686</v>
      </c>
      <c r="F502" t="s">
        <v>1024</v>
      </c>
      <c r="G502" t="s">
        <v>1025</v>
      </c>
      <c r="H502" t="s">
        <v>8889</v>
      </c>
      <c r="J502">
        <v>515828</v>
      </c>
      <c r="L502">
        <v>180208</v>
      </c>
      <c r="O502">
        <v>127</v>
      </c>
    </row>
    <row r="503" spans="1:15" x14ac:dyDescent="0.25">
      <c r="A503" t="s">
        <v>564</v>
      </c>
      <c r="B503" t="s">
        <v>28</v>
      </c>
      <c r="C503" t="s">
        <v>148</v>
      </c>
      <c r="D503" t="s">
        <v>76</v>
      </c>
      <c r="E503" t="s">
        <v>903</v>
      </c>
      <c r="F503" t="s">
        <v>78</v>
      </c>
      <c r="G503" t="s">
        <v>904</v>
      </c>
      <c r="H503" t="s">
        <v>8822</v>
      </c>
      <c r="J503">
        <v>515828</v>
      </c>
      <c r="L503">
        <v>180208</v>
      </c>
      <c r="O503">
        <v>128</v>
      </c>
    </row>
    <row r="504" spans="1:15" x14ac:dyDescent="0.25">
      <c r="A504" t="s">
        <v>564</v>
      </c>
      <c r="B504" t="s">
        <v>28</v>
      </c>
      <c r="C504" t="s">
        <v>148</v>
      </c>
      <c r="D504" t="s">
        <v>76</v>
      </c>
      <c r="E504" t="s">
        <v>686</v>
      </c>
      <c r="F504" t="s">
        <v>1021</v>
      </c>
      <c r="G504" t="s">
        <v>1022</v>
      </c>
      <c r="H504" t="s">
        <v>8877</v>
      </c>
      <c r="J504">
        <v>515828</v>
      </c>
      <c r="L504">
        <v>180208</v>
      </c>
      <c r="O504">
        <v>129</v>
      </c>
    </row>
    <row r="505" spans="1:15" x14ac:dyDescent="0.25">
      <c r="A505" t="s">
        <v>564</v>
      </c>
      <c r="B505" t="s">
        <v>28</v>
      </c>
      <c r="C505" t="s">
        <v>148</v>
      </c>
      <c r="D505" t="s">
        <v>76</v>
      </c>
      <c r="E505" t="s">
        <v>906</v>
      </c>
      <c r="F505" t="s">
        <v>78</v>
      </c>
      <c r="G505" t="s">
        <v>907</v>
      </c>
      <c r="H505" t="s">
        <v>8820</v>
      </c>
      <c r="J505">
        <v>515828</v>
      </c>
      <c r="L505">
        <v>180208</v>
      </c>
      <c r="O505">
        <v>130</v>
      </c>
    </row>
    <row r="506" spans="1:15" x14ac:dyDescent="0.25">
      <c r="A506" t="s">
        <v>564</v>
      </c>
      <c r="B506" t="s">
        <v>28</v>
      </c>
      <c r="C506" t="s">
        <v>148</v>
      </c>
      <c r="D506" t="s">
        <v>76</v>
      </c>
      <c r="E506" t="s">
        <v>964</v>
      </c>
      <c r="F506" t="s">
        <v>78</v>
      </c>
      <c r="G506" t="s">
        <v>965</v>
      </c>
      <c r="H506" t="s">
        <v>8844</v>
      </c>
      <c r="J506">
        <v>515828</v>
      </c>
      <c r="L506">
        <v>180208</v>
      </c>
      <c r="O506">
        <v>131</v>
      </c>
    </row>
    <row r="507" spans="1:15" x14ac:dyDescent="0.25">
      <c r="A507" t="s">
        <v>564</v>
      </c>
      <c r="B507" t="s">
        <v>28</v>
      </c>
      <c r="C507" t="s">
        <v>148</v>
      </c>
      <c r="D507" t="s">
        <v>76</v>
      </c>
      <c r="E507" t="s">
        <v>686</v>
      </c>
      <c r="F507" t="s">
        <v>1012</v>
      </c>
      <c r="G507" t="s">
        <v>1013</v>
      </c>
      <c r="H507" t="s">
        <v>8887</v>
      </c>
      <c r="J507">
        <v>515828</v>
      </c>
      <c r="L507">
        <v>180208</v>
      </c>
      <c r="O507">
        <v>132</v>
      </c>
    </row>
    <row r="508" spans="1:15" x14ac:dyDescent="0.25">
      <c r="A508" t="s">
        <v>564</v>
      </c>
      <c r="B508" t="s">
        <v>28</v>
      </c>
      <c r="C508" t="s">
        <v>148</v>
      </c>
      <c r="D508" t="s">
        <v>76</v>
      </c>
      <c r="E508" t="s">
        <v>686</v>
      </c>
      <c r="F508" t="s">
        <v>1009</v>
      </c>
      <c r="G508" t="s">
        <v>1010</v>
      </c>
      <c r="H508" t="s">
        <v>8893</v>
      </c>
      <c r="J508">
        <v>515828</v>
      </c>
      <c r="L508">
        <v>180208</v>
      </c>
      <c r="O508">
        <v>133</v>
      </c>
    </row>
    <row r="509" spans="1:15" x14ac:dyDescent="0.25">
      <c r="A509" t="s">
        <v>564</v>
      </c>
      <c r="B509" t="s">
        <v>28</v>
      </c>
      <c r="C509" t="s">
        <v>148</v>
      </c>
      <c r="D509" t="s">
        <v>76</v>
      </c>
      <c r="E509" t="s">
        <v>861</v>
      </c>
      <c r="F509" t="s">
        <v>78</v>
      </c>
      <c r="G509" t="s">
        <v>862</v>
      </c>
      <c r="H509" t="s">
        <v>8826</v>
      </c>
      <c r="J509">
        <v>515828</v>
      </c>
      <c r="L509">
        <v>180208</v>
      </c>
      <c r="O509">
        <v>134</v>
      </c>
    </row>
    <row r="510" spans="1:15" x14ac:dyDescent="0.25">
      <c r="A510" t="s">
        <v>564</v>
      </c>
      <c r="B510" t="s">
        <v>28</v>
      </c>
      <c r="C510" t="s">
        <v>148</v>
      </c>
      <c r="D510" t="s">
        <v>76</v>
      </c>
      <c r="E510" t="s">
        <v>686</v>
      </c>
      <c r="F510" t="s">
        <v>1006</v>
      </c>
      <c r="G510" t="s">
        <v>1007</v>
      </c>
      <c r="H510" t="s">
        <v>8892</v>
      </c>
      <c r="J510">
        <v>515828</v>
      </c>
      <c r="L510">
        <v>180208</v>
      </c>
      <c r="O510">
        <v>135</v>
      </c>
    </row>
    <row r="511" spans="1:15" x14ac:dyDescent="0.25">
      <c r="A511" t="s">
        <v>564</v>
      </c>
      <c r="B511" t="s">
        <v>28</v>
      </c>
      <c r="C511" t="s">
        <v>148</v>
      </c>
      <c r="D511" t="s">
        <v>76</v>
      </c>
      <c r="E511" t="s">
        <v>686</v>
      </c>
      <c r="F511" t="s">
        <v>991</v>
      </c>
      <c r="G511" t="s">
        <v>992</v>
      </c>
      <c r="H511" t="s">
        <v>8891</v>
      </c>
      <c r="J511">
        <v>515828</v>
      </c>
      <c r="L511">
        <v>180208</v>
      </c>
      <c r="O511">
        <v>136</v>
      </c>
    </row>
    <row r="512" spans="1:15" x14ac:dyDescent="0.25">
      <c r="A512" t="s">
        <v>564</v>
      </c>
      <c r="B512" t="s">
        <v>28</v>
      </c>
      <c r="C512" t="s">
        <v>148</v>
      </c>
      <c r="D512" t="s">
        <v>76</v>
      </c>
      <c r="E512" t="s">
        <v>961</v>
      </c>
      <c r="F512" t="s">
        <v>78</v>
      </c>
      <c r="G512" t="s">
        <v>962</v>
      </c>
      <c r="H512" t="s">
        <v>8823</v>
      </c>
      <c r="J512">
        <v>515828</v>
      </c>
      <c r="L512">
        <v>180208</v>
      </c>
      <c r="O512">
        <v>137</v>
      </c>
    </row>
    <row r="513" spans="1:15" x14ac:dyDescent="0.25">
      <c r="A513" t="s">
        <v>564</v>
      </c>
      <c r="B513" t="s">
        <v>28</v>
      </c>
      <c r="C513" t="s">
        <v>148</v>
      </c>
      <c r="D513" t="s">
        <v>76</v>
      </c>
      <c r="E513" t="s">
        <v>955</v>
      </c>
      <c r="F513" t="s">
        <v>78</v>
      </c>
      <c r="G513" t="s">
        <v>956</v>
      </c>
      <c r="H513" t="s">
        <v>8848</v>
      </c>
      <c r="J513">
        <v>515828</v>
      </c>
      <c r="L513">
        <v>180208</v>
      </c>
      <c r="O513">
        <v>138</v>
      </c>
    </row>
    <row r="514" spans="1:15" x14ac:dyDescent="0.25">
      <c r="A514" t="s">
        <v>564</v>
      </c>
      <c r="B514" t="s">
        <v>28</v>
      </c>
      <c r="C514" t="s">
        <v>148</v>
      </c>
      <c r="D514" t="s">
        <v>76</v>
      </c>
      <c r="E514" t="s">
        <v>596</v>
      </c>
      <c r="F514" t="s">
        <v>78</v>
      </c>
      <c r="G514" t="s">
        <v>597</v>
      </c>
      <c r="H514" t="s">
        <v>8800</v>
      </c>
      <c r="J514">
        <v>515828</v>
      </c>
      <c r="L514">
        <v>180208</v>
      </c>
      <c r="O514">
        <v>139</v>
      </c>
    </row>
    <row r="515" spans="1:15" x14ac:dyDescent="0.25">
      <c r="A515" t="s">
        <v>564</v>
      </c>
      <c r="B515" t="s">
        <v>28</v>
      </c>
      <c r="C515" t="s">
        <v>148</v>
      </c>
      <c r="D515" t="s">
        <v>76</v>
      </c>
      <c r="E515" t="s">
        <v>686</v>
      </c>
      <c r="F515" t="s">
        <v>958</v>
      </c>
      <c r="G515" t="s">
        <v>959</v>
      </c>
      <c r="H515" t="s">
        <v>8879</v>
      </c>
      <c r="J515">
        <v>515828</v>
      </c>
      <c r="L515">
        <v>180208</v>
      </c>
      <c r="O515">
        <v>140</v>
      </c>
    </row>
    <row r="516" spans="1:15" x14ac:dyDescent="0.25">
      <c r="A516" t="s">
        <v>564</v>
      </c>
      <c r="B516" t="s">
        <v>28</v>
      </c>
      <c r="C516" t="s">
        <v>148</v>
      </c>
      <c r="D516" t="s">
        <v>76</v>
      </c>
      <c r="E516" t="s">
        <v>912</v>
      </c>
      <c r="F516" t="s">
        <v>78</v>
      </c>
      <c r="G516" t="s">
        <v>913</v>
      </c>
      <c r="H516" t="s">
        <v>8827</v>
      </c>
      <c r="J516">
        <v>515828</v>
      </c>
      <c r="L516">
        <v>180208</v>
      </c>
      <c r="O516">
        <v>141</v>
      </c>
    </row>
    <row r="517" spans="1:15" x14ac:dyDescent="0.25">
      <c r="A517" t="s">
        <v>564</v>
      </c>
      <c r="B517" t="s">
        <v>28</v>
      </c>
      <c r="C517" t="s">
        <v>148</v>
      </c>
      <c r="D517" t="s">
        <v>76</v>
      </c>
      <c r="E517" t="s">
        <v>686</v>
      </c>
      <c r="F517" t="s">
        <v>952</v>
      </c>
      <c r="G517" t="s">
        <v>953</v>
      </c>
      <c r="H517" t="s">
        <v>8884</v>
      </c>
      <c r="J517">
        <v>515828</v>
      </c>
      <c r="L517">
        <v>180208</v>
      </c>
      <c r="O517">
        <v>142</v>
      </c>
    </row>
    <row r="518" spans="1:15" x14ac:dyDescent="0.25">
      <c r="A518" t="s">
        <v>564</v>
      </c>
      <c r="B518" t="s">
        <v>28</v>
      </c>
      <c r="C518" t="s">
        <v>148</v>
      </c>
      <c r="D518" t="s">
        <v>76</v>
      </c>
      <c r="E518" t="s">
        <v>1093</v>
      </c>
      <c r="F518" t="s">
        <v>78</v>
      </c>
      <c r="G518" t="s">
        <v>1094</v>
      </c>
      <c r="H518" t="s">
        <v>8812</v>
      </c>
      <c r="J518">
        <v>515828</v>
      </c>
      <c r="L518">
        <v>180208</v>
      </c>
      <c r="O518">
        <v>143</v>
      </c>
    </row>
    <row r="519" spans="1:15" x14ac:dyDescent="0.25">
      <c r="A519" t="s">
        <v>564</v>
      </c>
      <c r="B519" t="s">
        <v>28</v>
      </c>
      <c r="C519" t="s">
        <v>148</v>
      </c>
      <c r="D519" t="s">
        <v>76</v>
      </c>
      <c r="E519" t="s">
        <v>686</v>
      </c>
      <c r="F519" t="s">
        <v>940</v>
      </c>
      <c r="G519" t="s">
        <v>941</v>
      </c>
      <c r="H519" t="s">
        <v>8894</v>
      </c>
      <c r="J519">
        <v>515828</v>
      </c>
      <c r="L519">
        <v>180208</v>
      </c>
      <c r="O519">
        <v>144</v>
      </c>
    </row>
    <row r="520" spans="1:15" x14ac:dyDescent="0.25">
      <c r="A520" t="s">
        <v>564</v>
      </c>
      <c r="B520" t="s">
        <v>28</v>
      </c>
      <c r="C520" t="s">
        <v>148</v>
      </c>
      <c r="D520" t="s">
        <v>76</v>
      </c>
      <c r="E520" t="s">
        <v>949</v>
      </c>
      <c r="F520" t="s">
        <v>78</v>
      </c>
      <c r="G520" t="s">
        <v>950</v>
      </c>
      <c r="H520" t="s">
        <v>8850</v>
      </c>
      <c r="J520">
        <v>515828</v>
      </c>
      <c r="L520">
        <v>180208</v>
      </c>
      <c r="O520">
        <v>145</v>
      </c>
    </row>
    <row r="521" spans="1:15" x14ac:dyDescent="0.25">
      <c r="A521" t="s">
        <v>564</v>
      </c>
      <c r="B521" t="s">
        <v>28</v>
      </c>
      <c r="C521" t="s">
        <v>148</v>
      </c>
      <c r="D521" t="s">
        <v>76</v>
      </c>
      <c r="E521" t="s">
        <v>662</v>
      </c>
      <c r="F521" t="s">
        <v>78</v>
      </c>
      <c r="G521" t="s">
        <v>663</v>
      </c>
      <c r="H521" t="s">
        <v>8803</v>
      </c>
      <c r="J521">
        <v>515828</v>
      </c>
      <c r="L521">
        <v>180208</v>
      </c>
      <c r="O521">
        <v>146</v>
      </c>
    </row>
    <row r="522" spans="1:15" x14ac:dyDescent="0.25">
      <c r="A522" t="s">
        <v>564</v>
      </c>
      <c r="B522" t="s">
        <v>28</v>
      </c>
      <c r="C522" t="s">
        <v>148</v>
      </c>
      <c r="D522" t="s">
        <v>76</v>
      </c>
      <c r="E522" t="s">
        <v>602</v>
      </c>
      <c r="F522" t="s">
        <v>1090</v>
      </c>
      <c r="G522" t="s">
        <v>1091</v>
      </c>
      <c r="H522" t="s">
        <v>8872</v>
      </c>
      <c r="J522">
        <v>515828</v>
      </c>
      <c r="L522">
        <v>180208</v>
      </c>
      <c r="O522">
        <v>147</v>
      </c>
    </row>
    <row r="523" spans="1:15" x14ac:dyDescent="0.25">
      <c r="A523" t="s">
        <v>564</v>
      </c>
      <c r="B523" t="s">
        <v>28</v>
      </c>
      <c r="C523" t="s">
        <v>148</v>
      </c>
      <c r="D523" t="s">
        <v>76</v>
      </c>
      <c r="E523" t="s">
        <v>686</v>
      </c>
      <c r="F523" t="s">
        <v>78</v>
      </c>
      <c r="G523" t="s">
        <v>687</v>
      </c>
      <c r="H523" t="s">
        <v>8874</v>
      </c>
      <c r="J523">
        <v>515828</v>
      </c>
      <c r="L523">
        <v>180208</v>
      </c>
      <c r="O523">
        <v>148</v>
      </c>
    </row>
    <row r="524" spans="1:15" x14ac:dyDescent="0.25">
      <c r="A524" t="s">
        <v>564</v>
      </c>
      <c r="B524" t="s">
        <v>28</v>
      </c>
      <c r="C524" t="s">
        <v>148</v>
      </c>
      <c r="D524" t="s">
        <v>76</v>
      </c>
      <c r="E524" t="s">
        <v>890</v>
      </c>
      <c r="F524" t="s">
        <v>78</v>
      </c>
      <c r="G524" t="s">
        <v>891</v>
      </c>
      <c r="H524" t="s">
        <v>8810</v>
      </c>
      <c r="J524">
        <v>515828</v>
      </c>
      <c r="L524">
        <v>180208</v>
      </c>
      <c r="O524">
        <v>149</v>
      </c>
    </row>
    <row r="525" spans="1:15" x14ac:dyDescent="0.25">
      <c r="A525" t="s">
        <v>564</v>
      </c>
      <c r="B525" t="s">
        <v>28</v>
      </c>
      <c r="C525" t="s">
        <v>148</v>
      </c>
      <c r="D525" t="s">
        <v>76</v>
      </c>
      <c r="E525" t="s">
        <v>1096</v>
      </c>
      <c r="F525" t="s">
        <v>78</v>
      </c>
      <c r="G525" t="s">
        <v>1097</v>
      </c>
      <c r="H525" t="s">
        <v>8833</v>
      </c>
      <c r="J525">
        <v>515828</v>
      </c>
      <c r="L525">
        <v>180208</v>
      </c>
      <c r="O525">
        <v>150</v>
      </c>
    </row>
    <row r="526" spans="1:15" x14ac:dyDescent="0.25">
      <c r="A526" t="s">
        <v>564</v>
      </c>
      <c r="B526" t="s">
        <v>28</v>
      </c>
      <c r="C526" t="s">
        <v>148</v>
      </c>
      <c r="D526" t="s">
        <v>76</v>
      </c>
      <c r="E526" t="s">
        <v>668</v>
      </c>
      <c r="F526" t="s">
        <v>78</v>
      </c>
      <c r="G526" t="s">
        <v>669</v>
      </c>
      <c r="H526" t="s">
        <v>8802</v>
      </c>
      <c r="J526">
        <v>515828</v>
      </c>
      <c r="L526">
        <v>180208</v>
      </c>
      <c r="O526">
        <v>151</v>
      </c>
    </row>
    <row r="527" spans="1:15" x14ac:dyDescent="0.25">
      <c r="A527" t="s">
        <v>564</v>
      </c>
      <c r="B527" t="s">
        <v>28</v>
      </c>
      <c r="C527" t="s">
        <v>148</v>
      </c>
      <c r="D527" t="s">
        <v>76</v>
      </c>
      <c r="E527" t="s">
        <v>946</v>
      </c>
      <c r="F527" t="s">
        <v>78</v>
      </c>
      <c r="G527" t="s">
        <v>947</v>
      </c>
      <c r="H527" t="s">
        <v>8851</v>
      </c>
      <c r="J527">
        <v>515828</v>
      </c>
      <c r="L527">
        <v>180208</v>
      </c>
      <c r="O527">
        <v>152</v>
      </c>
    </row>
    <row r="528" spans="1:15" x14ac:dyDescent="0.25">
      <c r="A528" t="s">
        <v>564</v>
      </c>
      <c r="B528" t="s">
        <v>28</v>
      </c>
      <c r="C528" t="s">
        <v>148</v>
      </c>
      <c r="D528" t="s">
        <v>76</v>
      </c>
      <c r="E528" t="s">
        <v>684</v>
      </c>
      <c r="F528" t="s">
        <v>78</v>
      </c>
      <c r="G528" t="s">
        <v>685</v>
      </c>
      <c r="H528" t="s">
        <v>8855</v>
      </c>
      <c r="J528">
        <v>515828</v>
      </c>
      <c r="L528">
        <v>180208</v>
      </c>
      <c r="O528">
        <v>153</v>
      </c>
    </row>
    <row r="529" spans="1:17" x14ac:dyDescent="0.25">
      <c r="A529" t="s">
        <v>564</v>
      </c>
      <c r="B529" t="s">
        <v>28</v>
      </c>
      <c r="C529" t="s">
        <v>148</v>
      </c>
      <c r="D529" t="s">
        <v>76</v>
      </c>
      <c r="E529" t="s">
        <v>8468</v>
      </c>
      <c r="F529" t="s">
        <v>78</v>
      </c>
      <c r="G529" t="s">
        <v>8469</v>
      </c>
      <c r="H529" t="s">
        <v>8900</v>
      </c>
      <c r="J529">
        <v>515828</v>
      </c>
      <c r="L529">
        <v>180208</v>
      </c>
      <c r="O529">
        <v>154</v>
      </c>
    </row>
    <row r="530" spans="1:17" x14ac:dyDescent="0.25">
      <c r="A530" t="s">
        <v>564</v>
      </c>
      <c r="B530" t="s">
        <v>28</v>
      </c>
      <c r="C530" t="s">
        <v>148</v>
      </c>
      <c r="D530" t="s">
        <v>76</v>
      </c>
      <c r="E530" t="s">
        <v>886</v>
      </c>
      <c r="F530" t="s">
        <v>78</v>
      </c>
      <c r="G530" t="s">
        <v>887</v>
      </c>
      <c r="H530" t="s">
        <v>8897</v>
      </c>
      <c r="J530">
        <v>515828</v>
      </c>
      <c r="L530">
        <v>180208</v>
      </c>
      <c r="O530">
        <v>155</v>
      </c>
    </row>
    <row r="531" spans="1:17" x14ac:dyDescent="0.25">
      <c r="A531" t="s">
        <v>564</v>
      </c>
      <c r="B531" t="s">
        <v>28</v>
      </c>
      <c r="C531" t="s">
        <v>148</v>
      </c>
      <c r="D531" t="s">
        <v>76</v>
      </c>
      <c r="E531" t="s">
        <v>943</v>
      </c>
      <c r="F531" t="s">
        <v>78</v>
      </c>
      <c r="G531" t="s">
        <v>944</v>
      </c>
      <c r="H531" t="s">
        <v>8814</v>
      </c>
      <c r="J531">
        <v>515828</v>
      </c>
      <c r="L531">
        <v>180208</v>
      </c>
      <c r="O531">
        <v>156</v>
      </c>
    </row>
    <row r="532" spans="1:17" x14ac:dyDescent="0.25">
      <c r="A532" t="s">
        <v>564</v>
      </c>
      <c r="B532" t="s">
        <v>28</v>
      </c>
      <c r="C532" t="s">
        <v>148</v>
      </c>
      <c r="D532" t="s">
        <v>76</v>
      </c>
      <c r="E532" t="s">
        <v>686</v>
      </c>
      <c r="F532" t="s">
        <v>937</v>
      </c>
      <c r="G532" t="s">
        <v>938</v>
      </c>
      <c r="H532" t="s">
        <v>8881</v>
      </c>
      <c r="J532">
        <v>515828</v>
      </c>
      <c r="L532">
        <v>180208</v>
      </c>
      <c r="O532">
        <v>157</v>
      </c>
    </row>
    <row r="533" spans="1:17" x14ac:dyDescent="0.25">
      <c r="A533" t="s">
        <v>564</v>
      </c>
      <c r="B533" t="s">
        <v>28</v>
      </c>
      <c r="C533" t="s">
        <v>148</v>
      </c>
      <c r="D533" t="s">
        <v>76</v>
      </c>
      <c r="E533" t="s">
        <v>686</v>
      </c>
      <c r="F533" t="s">
        <v>934</v>
      </c>
      <c r="G533" t="s">
        <v>935</v>
      </c>
      <c r="H533" t="s">
        <v>8885</v>
      </c>
      <c r="J533">
        <v>515828</v>
      </c>
      <c r="L533">
        <v>180208</v>
      </c>
      <c r="O533">
        <v>158</v>
      </c>
    </row>
    <row r="534" spans="1:17" x14ac:dyDescent="0.25">
      <c r="A534" t="s">
        <v>564</v>
      </c>
      <c r="B534" t="s">
        <v>28</v>
      </c>
      <c r="C534" t="s">
        <v>148</v>
      </c>
      <c r="D534" t="s">
        <v>76</v>
      </c>
      <c r="E534" t="s">
        <v>686</v>
      </c>
      <c r="F534" t="s">
        <v>924</v>
      </c>
      <c r="G534" t="s">
        <v>925</v>
      </c>
      <c r="H534" t="s">
        <v>8878</v>
      </c>
      <c r="J534">
        <v>515828</v>
      </c>
      <c r="L534">
        <v>180208</v>
      </c>
      <c r="O534">
        <v>159</v>
      </c>
    </row>
    <row r="535" spans="1:17" x14ac:dyDescent="0.25">
      <c r="A535" t="s">
        <v>564</v>
      </c>
      <c r="B535" t="s">
        <v>28</v>
      </c>
      <c r="C535" t="s">
        <v>148</v>
      </c>
      <c r="D535" t="s">
        <v>76</v>
      </c>
      <c r="E535" t="s">
        <v>686</v>
      </c>
      <c r="F535" t="s">
        <v>921</v>
      </c>
      <c r="G535" t="s">
        <v>922</v>
      </c>
      <c r="H535" t="s">
        <v>8883</v>
      </c>
      <c r="J535">
        <v>515828</v>
      </c>
      <c r="L535">
        <v>180208</v>
      </c>
      <c r="O535">
        <v>160</v>
      </c>
    </row>
    <row r="536" spans="1:17" x14ac:dyDescent="0.25">
      <c r="A536" t="s">
        <v>564</v>
      </c>
      <c r="B536" t="s">
        <v>28</v>
      </c>
      <c r="C536" t="s">
        <v>148</v>
      </c>
      <c r="D536" t="s">
        <v>76</v>
      </c>
      <c r="E536" t="s">
        <v>686</v>
      </c>
      <c r="F536" t="s">
        <v>915</v>
      </c>
      <c r="G536" t="s">
        <v>916</v>
      </c>
      <c r="H536" t="s">
        <v>8890</v>
      </c>
      <c r="J536">
        <v>515828</v>
      </c>
      <c r="L536">
        <v>180208</v>
      </c>
      <c r="O536">
        <v>161</v>
      </c>
    </row>
    <row r="537" spans="1:17" x14ac:dyDescent="0.25">
      <c r="A537" t="s">
        <v>564</v>
      </c>
      <c r="B537" t="s">
        <v>28</v>
      </c>
      <c r="C537" t="s">
        <v>148</v>
      </c>
      <c r="D537" t="s">
        <v>76</v>
      </c>
      <c r="E537" t="s">
        <v>686</v>
      </c>
      <c r="F537" t="s">
        <v>909</v>
      </c>
      <c r="G537" t="s">
        <v>910</v>
      </c>
      <c r="H537" t="s">
        <v>8876</v>
      </c>
      <c r="J537">
        <v>515828</v>
      </c>
      <c r="L537">
        <v>180208</v>
      </c>
      <c r="O537">
        <v>162</v>
      </c>
    </row>
    <row r="538" spans="1:17" x14ac:dyDescent="0.25">
      <c r="A538" t="s">
        <v>564</v>
      </c>
      <c r="B538" t="s">
        <v>28</v>
      </c>
      <c r="C538" t="s">
        <v>148</v>
      </c>
      <c r="D538" t="s">
        <v>76</v>
      </c>
      <c r="E538" t="s">
        <v>686</v>
      </c>
      <c r="F538" t="s">
        <v>894</v>
      </c>
      <c r="G538" t="s">
        <v>895</v>
      </c>
      <c r="H538" t="s">
        <v>8875</v>
      </c>
      <c r="J538">
        <v>515828</v>
      </c>
      <c r="L538">
        <v>180208</v>
      </c>
      <c r="O538">
        <v>163</v>
      </c>
    </row>
    <row r="539" spans="1:17" x14ac:dyDescent="0.25">
      <c r="A539" t="s">
        <v>564</v>
      </c>
      <c r="B539" t="s">
        <v>28</v>
      </c>
      <c r="C539" t="s">
        <v>148</v>
      </c>
      <c r="D539" t="s">
        <v>76</v>
      </c>
      <c r="E539" t="s">
        <v>688</v>
      </c>
      <c r="F539" t="s">
        <v>78</v>
      </c>
      <c r="G539" t="s">
        <v>689</v>
      </c>
      <c r="H539" t="s">
        <v>8828</v>
      </c>
      <c r="J539">
        <v>515828</v>
      </c>
      <c r="L539">
        <v>180208</v>
      </c>
      <c r="O539">
        <v>164</v>
      </c>
    </row>
    <row r="540" spans="1:17" x14ac:dyDescent="0.25">
      <c r="A540" t="s">
        <v>564</v>
      </c>
      <c r="B540" t="s">
        <v>28</v>
      </c>
      <c r="C540" t="s">
        <v>148</v>
      </c>
      <c r="D540" t="s">
        <v>76</v>
      </c>
      <c r="E540" t="s">
        <v>858</v>
      </c>
      <c r="F540" t="s">
        <v>78</v>
      </c>
      <c r="G540" t="s">
        <v>859</v>
      </c>
      <c r="H540" t="s">
        <v>8831</v>
      </c>
      <c r="J540">
        <v>515828</v>
      </c>
      <c r="L540">
        <v>180208</v>
      </c>
      <c r="O540">
        <v>165</v>
      </c>
    </row>
    <row r="541" spans="1:17" x14ac:dyDescent="0.25">
      <c r="A541" t="s">
        <v>564</v>
      </c>
      <c r="B541" t="s">
        <v>28</v>
      </c>
      <c r="C541" t="s">
        <v>148</v>
      </c>
      <c r="D541" t="s">
        <v>76</v>
      </c>
      <c r="E541" t="s">
        <v>931</v>
      </c>
      <c r="F541" t="s">
        <v>78</v>
      </c>
      <c r="G541" t="s">
        <v>932</v>
      </c>
      <c r="H541" t="s">
        <v>8813</v>
      </c>
      <c r="J541">
        <v>515828</v>
      </c>
      <c r="L541">
        <v>180208</v>
      </c>
      <c r="O541">
        <v>166</v>
      </c>
    </row>
    <row r="542" spans="1:17" x14ac:dyDescent="0.25">
      <c r="A542" t="s">
        <v>564</v>
      </c>
      <c r="B542" t="s">
        <v>28</v>
      </c>
      <c r="C542" t="s">
        <v>148</v>
      </c>
      <c r="D542" t="s">
        <v>59</v>
      </c>
      <c r="E542" t="s">
        <v>78</v>
      </c>
      <c r="F542" t="s">
        <v>78</v>
      </c>
      <c r="G542" t="s">
        <v>696</v>
      </c>
      <c r="H542" t="s">
        <v>8901</v>
      </c>
      <c r="I542">
        <v>0.65064323766837007</v>
      </c>
      <c r="J542">
        <v>515828</v>
      </c>
      <c r="K542">
        <v>1</v>
      </c>
      <c r="L542">
        <v>335620</v>
      </c>
      <c r="M542">
        <v>335620</v>
      </c>
      <c r="N542">
        <v>1.6000000000000001E-3</v>
      </c>
      <c r="O542">
        <v>1</v>
      </c>
    </row>
    <row r="543" spans="1:17" x14ac:dyDescent="0.25">
      <c r="A543" t="s">
        <v>564</v>
      </c>
      <c r="B543" t="s">
        <v>28</v>
      </c>
      <c r="C543" t="s">
        <v>148</v>
      </c>
      <c r="D543" t="s">
        <v>59</v>
      </c>
      <c r="E543" t="s">
        <v>60</v>
      </c>
      <c r="F543" t="s">
        <v>78</v>
      </c>
      <c r="G543" t="s">
        <v>697</v>
      </c>
      <c r="H543" t="s">
        <v>8902</v>
      </c>
      <c r="I543">
        <v>0.60013027598346735</v>
      </c>
      <c r="J543">
        <v>515828</v>
      </c>
      <c r="K543">
        <v>0.92236457898814139</v>
      </c>
      <c r="L543">
        <v>335620</v>
      </c>
      <c r="M543">
        <v>309564</v>
      </c>
      <c r="N543">
        <v>1.4E-3</v>
      </c>
      <c r="O543">
        <v>2</v>
      </c>
    </row>
    <row r="544" spans="1:17" x14ac:dyDescent="0.25">
      <c r="A544" t="s">
        <v>564</v>
      </c>
      <c r="B544" t="s">
        <v>28</v>
      </c>
      <c r="C544" t="s">
        <v>148</v>
      </c>
      <c r="D544" t="s">
        <v>59</v>
      </c>
      <c r="E544" t="s">
        <v>60</v>
      </c>
      <c r="F544" t="s">
        <v>62</v>
      </c>
      <c r="G544" t="s">
        <v>699</v>
      </c>
      <c r="H544" t="s">
        <v>8903</v>
      </c>
      <c r="I544">
        <v>0.35867963739851272</v>
      </c>
      <c r="J544">
        <v>515828</v>
      </c>
      <c r="K544">
        <v>0.55126929265240454</v>
      </c>
      <c r="L544">
        <v>335620</v>
      </c>
      <c r="M544">
        <v>185017</v>
      </c>
      <c r="N544">
        <v>4.0000000000000002E-4</v>
      </c>
      <c r="O544">
        <v>3</v>
      </c>
      <c r="Q544">
        <v>2</v>
      </c>
    </row>
    <row r="545" spans="1:17" x14ac:dyDescent="0.25">
      <c r="A545" t="s">
        <v>564</v>
      </c>
      <c r="B545" t="s">
        <v>28</v>
      </c>
      <c r="C545" t="s">
        <v>148</v>
      </c>
      <c r="D545" t="s">
        <v>59</v>
      </c>
      <c r="E545" t="s">
        <v>60</v>
      </c>
      <c r="F545" t="s">
        <v>61</v>
      </c>
      <c r="G545" t="s">
        <v>698</v>
      </c>
      <c r="H545" t="s">
        <v>8904</v>
      </c>
      <c r="I545">
        <v>0.27268779515652503</v>
      </c>
      <c r="J545">
        <v>515828</v>
      </c>
      <c r="K545">
        <v>0.41910494011083971</v>
      </c>
      <c r="L545">
        <v>335620</v>
      </c>
      <c r="M545">
        <v>140660</v>
      </c>
      <c r="N545">
        <v>2.3999999999999998E-3</v>
      </c>
      <c r="O545">
        <v>4</v>
      </c>
      <c r="Q545">
        <v>1</v>
      </c>
    </row>
    <row r="546" spans="1:17" x14ac:dyDescent="0.25">
      <c r="A546" t="s">
        <v>564</v>
      </c>
      <c r="B546" t="s">
        <v>28</v>
      </c>
      <c r="C546" t="s">
        <v>148</v>
      </c>
      <c r="D546" t="s">
        <v>59</v>
      </c>
      <c r="E546" t="s">
        <v>68</v>
      </c>
      <c r="F546" t="s">
        <v>78</v>
      </c>
      <c r="G546" t="s">
        <v>700</v>
      </c>
      <c r="H546" t="s">
        <v>8905</v>
      </c>
      <c r="I546">
        <v>6.0597718619384747E-2</v>
      </c>
      <c r="J546">
        <v>515828</v>
      </c>
      <c r="K546">
        <v>9.3135093260234794E-2</v>
      </c>
      <c r="L546">
        <v>335620</v>
      </c>
      <c r="M546">
        <v>31258</v>
      </c>
      <c r="O546">
        <v>5</v>
      </c>
    </row>
    <row r="547" spans="1:17" x14ac:dyDescent="0.25">
      <c r="A547" t="s">
        <v>564</v>
      </c>
      <c r="B547" t="s">
        <v>28</v>
      </c>
      <c r="C547" t="s">
        <v>148</v>
      </c>
      <c r="D547" t="s">
        <v>59</v>
      </c>
      <c r="E547" t="s">
        <v>68</v>
      </c>
      <c r="F547" t="s">
        <v>69</v>
      </c>
      <c r="G547" t="s">
        <v>701</v>
      </c>
      <c r="H547" t="s">
        <v>8906</v>
      </c>
      <c r="I547">
        <v>6.0593841357972043E-2</v>
      </c>
      <c r="J547">
        <v>515828</v>
      </c>
      <c r="K547">
        <v>9.3129134139800965E-2</v>
      </c>
      <c r="L547">
        <v>335620</v>
      </c>
      <c r="M547">
        <v>31256</v>
      </c>
      <c r="O547">
        <v>6</v>
      </c>
      <c r="Q547">
        <v>11</v>
      </c>
    </row>
    <row r="548" spans="1:17" x14ac:dyDescent="0.25">
      <c r="A548" t="s">
        <v>564</v>
      </c>
      <c r="B548" t="s">
        <v>28</v>
      </c>
      <c r="C548" t="s">
        <v>148</v>
      </c>
      <c r="D548" t="s">
        <v>59</v>
      </c>
      <c r="E548" t="s">
        <v>60</v>
      </c>
      <c r="F548" t="s">
        <v>63</v>
      </c>
      <c r="G548" t="s">
        <v>702</v>
      </c>
      <c r="H548" t="s">
        <v>8907</v>
      </c>
      <c r="I548">
        <v>2.9546670595624901E-2</v>
      </c>
      <c r="J548">
        <v>515828</v>
      </c>
      <c r="K548">
        <v>4.5411477265955548E-2</v>
      </c>
      <c r="L548">
        <v>335620</v>
      </c>
      <c r="M548">
        <v>15241</v>
      </c>
      <c r="N548">
        <v>1.5E-3</v>
      </c>
      <c r="O548">
        <v>7</v>
      </c>
      <c r="Q548">
        <v>3</v>
      </c>
    </row>
    <row r="549" spans="1:17" x14ac:dyDescent="0.25">
      <c r="A549" t="s">
        <v>564</v>
      </c>
      <c r="B549" t="s">
        <v>28</v>
      </c>
      <c r="C549" t="s">
        <v>148</v>
      </c>
      <c r="D549" t="s">
        <v>59</v>
      </c>
      <c r="E549" t="s">
        <v>72</v>
      </c>
      <c r="F549" t="s">
        <v>78</v>
      </c>
      <c r="G549" t="s">
        <v>705</v>
      </c>
      <c r="H549" t="s">
        <v>8908</v>
      </c>
      <c r="I549">
        <v>2.4411237854478629E-2</v>
      </c>
      <c r="J549">
        <v>515828</v>
      </c>
      <c r="K549">
        <v>3.7518622251355702E-2</v>
      </c>
      <c r="L549">
        <v>335620</v>
      </c>
      <c r="M549">
        <v>12592</v>
      </c>
      <c r="N549">
        <v>1.01E-2</v>
      </c>
      <c r="O549">
        <v>8</v>
      </c>
    </row>
    <row r="550" spans="1:17" x14ac:dyDescent="0.25">
      <c r="A550" t="s">
        <v>564</v>
      </c>
      <c r="B550" t="s">
        <v>28</v>
      </c>
      <c r="C550" t="s">
        <v>148</v>
      </c>
      <c r="D550" t="s">
        <v>59</v>
      </c>
      <c r="E550" t="s">
        <v>72</v>
      </c>
      <c r="F550" t="s">
        <v>73</v>
      </c>
      <c r="G550" t="s">
        <v>706</v>
      </c>
      <c r="H550" t="s">
        <v>8909</v>
      </c>
      <c r="I550">
        <v>2.4263901920795309E-2</v>
      </c>
      <c r="J550">
        <v>515828</v>
      </c>
      <c r="K550">
        <v>3.7292175674870393E-2</v>
      </c>
      <c r="L550">
        <v>335620</v>
      </c>
      <c r="M550">
        <v>12516</v>
      </c>
      <c r="N550">
        <v>1.01E-2</v>
      </c>
      <c r="O550">
        <v>9</v>
      </c>
      <c r="Q550">
        <v>6</v>
      </c>
    </row>
    <row r="551" spans="1:17" x14ac:dyDescent="0.25">
      <c r="A551" t="s">
        <v>564</v>
      </c>
      <c r="B551" t="s">
        <v>28</v>
      </c>
      <c r="C551" t="s">
        <v>148</v>
      </c>
      <c r="D551" t="s">
        <v>59</v>
      </c>
      <c r="E551" t="s">
        <v>72</v>
      </c>
      <c r="F551" t="s">
        <v>75</v>
      </c>
      <c r="G551" t="s">
        <v>710</v>
      </c>
      <c r="H551" t="s">
        <v>8910</v>
      </c>
      <c r="I551">
        <v>1.2988825732608539E-4</v>
      </c>
      <c r="J551">
        <v>515828</v>
      </c>
      <c r="K551">
        <v>1.996305345331029E-4</v>
      </c>
      <c r="L551">
        <v>335620</v>
      </c>
      <c r="M551">
        <v>67</v>
      </c>
      <c r="O551">
        <v>10</v>
      </c>
      <c r="Q551">
        <v>7</v>
      </c>
    </row>
    <row r="552" spans="1:17" x14ac:dyDescent="0.25">
      <c r="A552" t="s">
        <v>564</v>
      </c>
      <c r="B552" t="s">
        <v>28</v>
      </c>
      <c r="C552" t="s">
        <v>148</v>
      </c>
      <c r="D552" t="s">
        <v>59</v>
      </c>
      <c r="E552" t="s">
        <v>72</v>
      </c>
      <c r="F552" t="s">
        <v>74</v>
      </c>
      <c r="G552" t="s">
        <v>708</v>
      </c>
      <c r="H552" t="s">
        <v>8911</v>
      </c>
      <c r="I552">
        <v>2.9079460595392261E-5</v>
      </c>
      <c r="J552">
        <v>515828</v>
      </c>
      <c r="K552">
        <v>4.4693403253679757E-5</v>
      </c>
      <c r="L552">
        <v>335620</v>
      </c>
      <c r="M552">
        <v>15</v>
      </c>
      <c r="O552">
        <v>11</v>
      </c>
      <c r="Q552">
        <v>9</v>
      </c>
    </row>
    <row r="553" spans="1:17" x14ac:dyDescent="0.25">
      <c r="A553" t="s">
        <v>564</v>
      </c>
      <c r="B553" t="s">
        <v>28</v>
      </c>
      <c r="C553" t="s">
        <v>148</v>
      </c>
      <c r="D553" t="s">
        <v>59</v>
      </c>
      <c r="E553" t="s">
        <v>64</v>
      </c>
      <c r="F553" t="s">
        <v>78</v>
      </c>
      <c r="G553" t="s">
        <v>703</v>
      </c>
      <c r="H553" t="s">
        <v>8913</v>
      </c>
      <c r="I553">
        <v>3.8772614127189687E-6</v>
      </c>
      <c r="J553">
        <v>515828</v>
      </c>
      <c r="K553">
        <v>5.9591204338239684E-6</v>
      </c>
      <c r="L553">
        <v>335620</v>
      </c>
      <c r="M553">
        <v>2</v>
      </c>
      <c r="O553">
        <v>12</v>
      </c>
    </row>
    <row r="554" spans="1:17" x14ac:dyDescent="0.25">
      <c r="A554" t="s">
        <v>564</v>
      </c>
      <c r="B554" t="s">
        <v>28</v>
      </c>
      <c r="C554" t="s">
        <v>148</v>
      </c>
      <c r="D554" t="s">
        <v>59</v>
      </c>
      <c r="E554" t="s">
        <v>68</v>
      </c>
      <c r="F554" t="s">
        <v>70</v>
      </c>
      <c r="G554" t="s">
        <v>707</v>
      </c>
      <c r="H554" t="s">
        <v>8912</v>
      </c>
      <c r="I554">
        <v>3.8772614127189687E-6</v>
      </c>
      <c r="J554">
        <v>515828</v>
      </c>
      <c r="K554">
        <v>5.9591204338239684E-6</v>
      </c>
      <c r="L554">
        <v>335620</v>
      </c>
      <c r="M554">
        <v>2</v>
      </c>
      <c r="O554">
        <v>13</v>
      </c>
      <c r="Q554">
        <v>10</v>
      </c>
    </row>
    <row r="555" spans="1:17" x14ac:dyDescent="0.25">
      <c r="A555" t="s">
        <v>564</v>
      </c>
      <c r="B555" t="s">
        <v>28</v>
      </c>
      <c r="C555" t="s">
        <v>148</v>
      </c>
      <c r="D555" t="s">
        <v>59</v>
      </c>
      <c r="E555" t="s">
        <v>64</v>
      </c>
      <c r="F555" t="s">
        <v>8547</v>
      </c>
      <c r="G555" t="s">
        <v>8548</v>
      </c>
      <c r="H555" t="s">
        <v>8914</v>
      </c>
      <c r="I555">
        <v>1.9386307063594839E-6</v>
      </c>
      <c r="J555">
        <v>515828</v>
      </c>
      <c r="K555">
        <v>2.9795602169119842E-6</v>
      </c>
      <c r="L555">
        <v>335620</v>
      </c>
      <c r="M555">
        <v>1</v>
      </c>
      <c r="O555">
        <v>14</v>
      </c>
    </row>
    <row r="556" spans="1:17" x14ac:dyDescent="0.25">
      <c r="A556" t="s">
        <v>564</v>
      </c>
      <c r="B556" t="s">
        <v>28</v>
      </c>
      <c r="C556" t="s">
        <v>148</v>
      </c>
      <c r="D556" t="s">
        <v>59</v>
      </c>
      <c r="E556" t="s">
        <v>64</v>
      </c>
      <c r="F556" t="s">
        <v>8535</v>
      </c>
      <c r="G556" t="s">
        <v>8536</v>
      </c>
      <c r="H556" t="s">
        <v>8917</v>
      </c>
      <c r="I556">
        <v>1.9386307063594839E-6</v>
      </c>
      <c r="J556">
        <v>515828</v>
      </c>
      <c r="K556">
        <v>2.9795602169119842E-6</v>
      </c>
      <c r="L556">
        <v>335620</v>
      </c>
      <c r="M556">
        <v>1</v>
      </c>
      <c r="O556">
        <v>15</v>
      </c>
    </row>
    <row r="557" spans="1:17" x14ac:dyDescent="0.25">
      <c r="A557" t="s">
        <v>564</v>
      </c>
      <c r="B557" t="s">
        <v>28</v>
      </c>
      <c r="C557" t="s">
        <v>148</v>
      </c>
      <c r="D557" t="s">
        <v>59</v>
      </c>
      <c r="E557" t="s">
        <v>64</v>
      </c>
      <c r="F557" t="s">
        <v>65</v>
      </c>
      <c r="G557" t="s">
        <v>704</v>
      </c>
      <c r="H557" t="s">
        <v>8915</v>
      </c>
      <c r="J557">
        <v>515828</v>
      </c>
      <c r="L557">
        <v>335620</v>
      </c>
      <c r="O557">
        <v>16</v>
      </c>
      <c r="Q557">
        <v>4</v>
      </c>
    </row>
    <row r="558" spans="1:17" x14ac:dyDescent="0.25">
      <c r="A558" t="s">
        <v>564</v>
      </c>
      <c r="B558" t="s">
        <v>28</v>
      </c>
      <c r="C558" t="s">
        <v>148</v>
      </c>
      <c r="D558" t="s">
        <v>59</v>
      </c>
      <c r="E558" t="s">
        <v>72</v>
      </c>
      <c r="F558" t="s">
        <v>352</v>
      </c>
      <c r="G558" t="s">
        <v>1117</v>
      </c>
      <c r="H558" t="s">
        <v>8921</v>
      </c>
      <c r="J558">
        <v>515828</v>
      </c>
      <c r="L558">
        <v>335620</v>
      </c>
      <c r="O558">
        <v>17</v>
      </c>
      <c r="Q558">
        <v>8</v>
      </c>
    </row>
    <row r="559" spans="1:17" x14ac:dyDescent="0.25">
      <c r="A559" t="s">
        <v>564</v>
      </c>
      <c r="B559" t="s">
        <v>28</v>
      </c>
      <c r="C559" t="s">
        <v>148</v>
      </c>
      <c r="D559" t="s">
        <v>59</v>
      </c>
      <c r="E559" t="s">
        <v>64</v>
      </c>
      <c r="F559" t="s">
        <v>8543</v>
      </c>
      <c r="G559" t="s">
        <v>8544</v>
      </c>
      <c r="H559" t="s">
        <v>8918</v>
      </c>
      <c r="J559">
        <v>515828</v>
      </c>
      <c r="L559">
        <v>335620</v>
      </c>
      <c r="O559">
        <v>18</v>
      </c>
    </row>
    <row r="560" spans="1:17" x14ac:dyDescent="0.25">
      <c r="A560" t="s">
        <v>564</v>
      </c>
      <c r="B560" t="s">
        <v>28</v>
      </c>
      <c r="C560" t="s">
        <v>148</v>
      </c>
      <c r="D560" t="s">
        <v>59</v>
      </c>
      <c r="E560" t="s">
        <v>68</v>
      </c>
      <c r="F560" t="s">
        <v>71</v>
      </c>
      <c r="G560" t="s">
        <v>8538</v>
      </c>
      <c r="H560" t="s">
        <v>8920</v>
      </c>
      <c r="J560">
        <v>515828</v>
      </c>
      <c r="L560">
        <v>335620</v>
      </c>
      <c r="O560">
        <v>19</v>
      </c>
    </row>
    <row r="561" spans="1:17" x14ac:dyDescent="0.25">
      <c r="A561" t="s">
        <v>564</v>
      </c>
      <c r="B561" t="s">
        <v>28</v>
      </c>
      <c r="C561" t="s">
        <v>148</v>
      </c>
      <c r="D561" t="s">
        <v>59</v>
      </c>
      <c r="E561" t="s">
        <v>64</v>
      </c>
      <c r="F561" t="s">
        <v>470</v>
      </c>
      <c r="G561" t="s">
        <v>8540</v>
      </c>
      <c r="H561" t="s">
        <v>8919</v>
      </c>
      <c r="J561">
        <v>515828</v>
      </c>
      <c r="L561">
        <v>335620</v>
      </c>
      <c r="O561">
        <v>20</v>
      </c>
    </row>
    <row r="562" spans="1:17" x14ac:dyDescent="0.25">
      <c r="A562" t="s">
        <v>564</v>
      </c>
      <c r="B562" t="s">
        <v>28</v>
      </c>
      <c r="C562" t="s">
        <v>148</v>
      </c>
      <c r="D562" t="s">
        <v>59</v>
      </c>
      <c r="E562" t="s">
        <v>64</v>
      </c>
      <c r="F562" t="s">
        <v>67</v>
      </c>
      <c r="G562" t="s">
        <v>709</v>
      </c>
      <c r="H562" t="s">
        <v>8916</v>
      </c>
      <c r="J562">
        <v>515828</v>
      </c>
      <c r="L562">
        <v>335620</v>
      </c>
      <c r="O562">
        <v>21</v>
      </c>
      <c r="Q562">
        <v>5</v>
      </c>
    </row>
    <row r="563" spans="1:17" x14ac:dyDescent="0.25">
      <c r="A563" t="s">
        <v>564</v>
      </c>
      <c r="B563" t="s">
        <v>28</v>
      </c>
      <c r="C563" t="s">
        <v>146</v>
      </c>
      <c r="D563" t="s">
        <v>76</v>
      </c>
      <c r="E563" t="s">
        <v>78</v>
      </c>
      <c r="F563" t="s">
        <v>78</v>
      </c>
      <c r="G563" t="s">
        <v>575</v>
      </c>
      <c r="H563" t="s">
        <v>8922</v>
      </c>
      <c r="I563">
        <v>0.32802078845869448</v>
      </c>
      <c r="J563">
        <v>1088681</v>
      </c>
      <c r="K563">
        <v>1</v>
      </c>
      <c r="L563">
        <v>357110</v>
      </c>
      <c r="M563">
        <v>357110</v>
      </c>
      <c r="N563">
        <v>1.1599999999999999E-2</v>
      </c>
      <c r="O563">
        <v>1</v>
      </c>
    </row>
    <row r="564" spans="1:17" x14ac:dyDescent="0.25">
      <c r="A564" t="s">
        <v>564</v>
      </c>
      <c r="B564" t="s">
        <v>28</v>
      </c>
      <c r="C564" t="s">
        <v>146</v>
      </c>
      <c r="D564" t="s">
        <v>76</v>
      </c>
      <c r="E564" t="s">
        <v>79</v>
      </c>
      <c r="F564" t="s">
        <v>78</v>
      </c>
      <c r="G564" t="s">
        <v>577</v>
      </c>
      <c r="H564" t="s">
        <v>8923</v>
      </c>
      <c r="I564">
        <v>0.15767887930440599</v>
      </c>
      <c r="J564">
        <v>1088681</v>
      </c>
      <c r="K564">
        <v>0.48069782419982637</v>
      </c>
      <c r="L564">
        <v>357110</v>
      </c>
      <c r="M564">
        <v>171662</v>
      </c>
      <c r="N564">
        <v>4.1999999999999997E-3</v>
      </c>
      <c r="O564">
        <v>2</v>
      </c>
      <c r="P564">
        <v>4</v>
      </c>
    </row>
    <row r="565" spans="1:17" x14ac:dyDescent="0.25">
      <c r="A565" t="s">
        <v>564</v>
      </c>
      <c r="B565" t="s">
        <v>28</v>
      </c>
      <c r="C565" t="s">
        <v>146</v>
      </c>
      <c r="D565" t="s">
        <v>76</v>
      </c>
      <c r="E565" t="s">
        <v>80</v>
      </c>
      <c r="F565" t="s">
        <v>78</v>
      </c>
      <c r="G565" t="s">
        <v>576</v>
      </c>
      <c r="H565" t="s">
        <v>8924</v>
      </c>
      <c r="I565">
        <v>7.5847746033962202E-2</v>
      </c>
      <c r="J565">
        <v>1088681</v>
      </c>
      <c r="K565">
        <v>0.23122847301951779</v>
      </c>
      <c r="L565">
        <v>357110</v>
      </c>
      <c r="M565">
        <v>82574</v>
      </c>
      <c r="N565">
        <v>1.06E-2</v>
      </c>
      <c r="O565">
        <v>3</v>
      </c>
      <c r="P565">
        <v>1</v>
      </c>
    </row>
    <row r="566" spans="1:17" x14ac:dyDescent="0.25">
      <c r="A566" t="s">
        <v>564</v>
      </c>
      <c r="B566" t="s">
        <v>28</v>
      </c>
      <c r="C566" t="s">
        <v>146</v>
      </c>
      <c r="D566" t="s">
        <v>76</v>
      </c>
      <c r="E566" t="s">
        <v>80</v>
      </c>
      <c r="F566" t="s">
        <v>8326</v>
      </c>
      <c r="G566" t="s">
        <v>8327</v>
      </c>
      <c r="H566" t="s">
        <v>8925</v>
      </c>
      <c r="I566">
        <v>7.5602495129427266E-2</v>
      </c>
      <c r="J566">
        <v>1088681</v>
      </c>
      <c r="K566">
        <v>0.23048080423398951</v>
      </c>
      <c r="L566">
        <v>357110</v>
      </c>
      <c r="M566">
        <v>82307</v>
      </c>
      <c r="N566">
        <v>1.0500000000000001E-2</v>
      </c>
      <c r="O566">
        <v>4</v>
      </c>
    </row>
    <row r="567" spans="1:17" x14ac:dyDescent="0.25">
      <c r="A567" t="s">
        <v>564</v>
      </c>
      <c r="B567" t="s">
        <v>28</v>
      </c>
      <c r="C567" t="s">
        <v>146</v>
      </c>
      <c r="D567" t="s">
        <v>76</v>
      </c>
      <c r="E567" t="s">
        <v>82</v>
      </c>
      <c r="F567" t="s">
        <v>78</v>
      </c>
      <c r="G567" t="s">
        <v>579</v>
      </c>
      <c r="H567" t="s">
        <v>8929</v>
      </c>
      <c r="I567">
        <v>2.551619804148323E-2</v>
      </c>
      <c r="J567">
        <v>1088681</v>
      </c>
      <c r="K567">
        <v>7.7788356528800645E-2</v>
      </c>
      <c r="L567">
        <v>357110</v>
      </c>
      <c r="M567">
        <v>27779</v>
      </c>
      <c r="N567">
        <v>3.2399999999999998E-2</v>
      </c>
      <c r="O567">
        <v>5</v>
      </c>
      <c r="P567">
        <v>2</v>
      </c>
    </row>
    <row r="568" spans="1:17" x14ac:dyDescent="0.25">
      <c r="A568" t="s">
        <v>564</v>
      </c>
      <c r="B568" t="s">
        <v>28</v>
      </c>
      <c r="C568" t="s">
        <v>146</v>
      </c>
      <c r="D568" t="s">
        <v>76</v>
      </c>
      <c r="E568" t="s">
        <v>83</v>
      </c>
      <c r="F568" t="s">
        <v>78</v>
      </c>
      <c r="G568" t="s">
        <v>580</v>
      </c>
      <c r="H568" t="s">
        <v>8928</v>
      </c>
      <c r="I568">
        <v>2.4028158845428551E-2</v>
      </c>
      <c r="J568">
        <v>1088681</v>
      </c>
      <c r="K568">
        <v>7.3251939178404418E-2</v>
      </c>
      <c r="L568">
        <v>357110</v>
      </c>
      <c r="M568">
        <v>26159</v>
      </c>
      <c r="N568">
        <v>0.1003</v>
      </c>
      <c r="O568">
        <v>6</v>
      </c>
      <c r="P568">
        <v>3</v>
      </c>
    </row>
    <row r="569" spans="1:17" x14ac:dyDescent="0.25">
      <c r="A569" t="s">
        <v>564</v>
      </c>
      <c r="B569" t="s">
        <v>28</v>
      </c>
      <c r="C569" t="s">
        <v>146</v>
      </c>
      <c r="D569" t="s">
        <v>76</v>
      </c>
      <c r="E569" t="s">
        <v>81</v>
      </c>
      <c r="F569" t="s">
        <v>78</v>
      </c>
      <c r="G569" t="s">
        <v>578</v>
      </c>
      <c r="H569" t="s">
        <v>8926</v>
      </c>
      <c r="I569">
        <v>2.0966655980953101E-2</v>
      </c>
      <c r="J569">
        <v>1088681</v>
      </c>
      <c r="K569">
        <v>6.3918680518607718E-2</v>
      </c>
      <c r="L569">
        <v>357110</v>
      </c>
      <c r="M569">
        <v>22826</v>
      </c>
      <c r="N569">
        <v>1.4E-2</v>
      </c>
      <c r="O569">
        <v>7</v>
      </c>
      <c r="P569">
        <v>5</v>
      </c>
    </row>
    <row r="570" spans="1:17" x14ac:dyDescent="0.25">
      <c r="A570" t="s">
        <v>564</v>
      </c>
      <c r="B570" t="s">
        <v>28</v>
      </c>
      <c r="C570" t="s">
        <v>146</v>
      </c>
      <c r="D570" t="s">
        <v>76</v>
      </c>
      <c r="E570" t="s">
        <v>77</v>
      </c>
      <c r="F570" t="s">
        <v>78</v>
      </c>
      <c r="G570" t="s">
        <v>581</v>
      </c>
      <c r="H570" t="s">
        <v>8927</v>
      </c>
      <c r="I570">
        <v>1.652733904605665E-2</v>
      </c>
      <c r="J570">
        <v>1088681</v>
      </c>
      <c r="K570">
        <v>5.0385035423258943E-2</v>
      </c>
      <c r="L570">
        <v>357110</v>
      </c>
      <c r="M570">
        <v>17993</v>
      </c>
      <c r="N570">
        <v>3.9199999999999999E-2</v>
      </c>
      <c r="O570">
        <v>8</v>
      </c>
      <c r="P570">
        <v>7</v>
      </c>
    </row>
    <row r="571" spans="1:17" x14ac:dyDescent="0.25">
      <c r="A571" t="s">
        <v>564</v>
      </c>
      <c r="B571" t="s">
        <v>28</v>
      </c>
      <c r="C571" t="s">
        <v>146</v>
      </c>
      <c r="D571" t="s">
        <v>76</v>
      </c>
      <c r="E571" t="s">
        <v>598</v>
      </c>
      <c r="F571" t="s">
        <v>78</v>
      </c>
      <c r="G571" t="s">
        <v>599</v>
      </c>
      <c r="H571" t="s">
        <v>8931</v>
      </c>
      <c r="I571">
        <v>1.5189940855034671E-2</v>
      </c>
      <c r="J571">
        <v>1088681</v>
      </c>
      <c r="K571">
        <v>4.6307860323149728E-2</v>
      </c>
      <c r="L571">
        <v>357110</v>
      </c>
      <c r="M571">
        <v>16537</v>
      </c>
      <c r="N571">
        <v>3.3E-3</v>
      </c>
      <c r="O571">
        <v>9</v>
      </c>
    </row>
    <row r="572" spans="1:17" x14ac:dyDescent="0.25">
      <c r="A572" t="s">
        <v>564</v>
      </c>
      <c r="B572" t="s">
        <v>28</v>
      </c>
      <c r="C572" t="s">
        <v>146</v>
      </c>
      <c r="D572" t="s">
        <v>76</v>
      </c>
      <c r="E572" t="s">
        <v>592</v>
      </c>
      <c r="F572" t="s">
        <v>78</v>
      </c>
      <c r="G572" t="s">
        <v>593</v>
      </c>
      <c r="H572" t="s">
        <v>8934</v>
      </c>
      <c r="I572">
        <v>1.390122542783423E-2</v>
      </c>
      <c r="J572">
        <v>1088681</v>
      </c>
      <c r="K572">
        <v>4.2379098877096691E-2</v>
      </c>
      <c r="L572">
        <v>357110</v>
      </c>
      <c r="M572">
        <v>15134</v>
      </c>
      <c r="N572">
        <v>8.9999999999999993E-3</v>
      </c>
      <c r="O572">
        <v>10</v>
      </c>
    </row>
    <row r="573" spans="1:17" x14ac:dyDescent="0.25">
      <c r="A573" t="s">
        <v>564</v>
      </c>
      <c r="B573" t="s">
        <v>28</v>
      </c>
      <c r="C573" t="s">
        <v>146</v>
      </c>
      <c r="D573" t="s">
        <v>76</v>
      </c>
      <c r="E573" t="s">
        <v>84</v>
      </c>
      <c r="F573" t="s">
        <v>78</v>
      </c>
      <c r="G573" t="s">
        <v>589</v>
      </c>
      <c r="H573" t="s">
        <v>8932</v>
      </c>
      <c r="I573">
        <v>1.352737854339334E-2</v>
      </c>
      <c r="J573">
        <v>1088681</v>
      </c>
      <c r="K573">
        <v>4.1239394024250232E-2</v>
      </c>
      <c r="L573">
        <v>357110</v>
      </c>
      <c r="M573">
        <v>14727</v>
      </c>
      <c r="N573">
        <v>7.7799999999999994E-2</v>
      </c>
      <c r="O573">
        <v>11</v>
      </c>
    </row>
    <row r="574" spans="1:17" x14ac:dyDescent="0.25">
      <c r="A574" t="s">
        <v>564</v>
      </c>
      <c r="B574" t="s">
        <v>28</v>
      </c>
      <c r="C574" t="s">
        <v>146</v>
      </c>
      <c r="D574" t="s">
        <v>76</v>
      </c>
      <c r="E574" t="s">
        <v>81</v>
      </c>
      <c r="F574" t="s">
        <v>585</v>
      </c>
      <c r="G574" t="s">
        <v>586</v>
      </c>
      <c r="H574" t="s">
        <v>8930</v>
      </c>
      <c r="I574">
        <v>1.2225803518202299E-2</v>
      </c>
      <c r="J574">
        <v>1088681</v>
      </c>
      <c r="K574">
        <v>3.7271428971465383E-2</v>
      </c>
      <c r="L574">
        <v>357110</v>
      </c>
      <c r="M574">
        <v>13310</v>
      </c>
      <c r="N574">
        <v>1.1999999999999999E-3</v>
      </c>
      <c r="O574">
        <v>12</v>
      </c>
    </row>
    <row r="575" spans="1:17" x14ac:dyDescent="0.25">
      <c r="A575" t="s">
        <v>564</v>
      </c>
      <c r="B575" t="s">
        <v>28</v>
      </c>
      <c r="C575" t="s">
        <v>146</v>
      </c>
      <c r="D575" t="s">
        <v>76</v>
      </c>
      <c r="E575" t="s">
        <v>346</v>
      </c>
      <c r="F575" t="s">
        <v>78</v>
      </c>
      <c r="G575" t="s">
        <v>584</v>
      </c>
      <c r="H575" t="s">
        <v>8937</v>
      </c>
      <c r="I575">
        <v>1.018296452312477E-2</v>
      </c>
      <c r="J575">
        <v>1088681</v>
      </c>
      <c r="K575">
        <v>3.1043656016353501E-2</v>
      </c>
      <c r="L575">
        <v>357110</v>
      </c>
      <c r="M575">
        <v>11086</v>
      </c>
      <c r="N575">
        <v>5.5999999999999999E-3</v>
      </c>
      <c r="O575">
        <v>13</v>
      </c>
      <c r="P575">
        <v>6</v>
      </c>
    </row>
    <row r="576" spans="1:17" x14ac:dyDescent="0.25">
      <c r="A576" t="s">
        <v>564</v>
      </c>
      <c r="B576" t="s">
        <v>28</v>
      </c>
      <c r="C576" t="s">
        <v>146</v>
      </c>
      <c r="D576" t="s">
        <v>76</v>
      </c>
      <c r="E576" t="s">
        <v>81</v>
      </c>
      <c r="F576" t="s">
        <v>590</v>
      </c>
      <c r="G576" t="s">
        <v>591</v>
      </c>
      <c r="H576" t="s">
        <v>8936</v>
      </c>
      <c r="I576">
        <v>7.8434362315499221E-3</v>
      </c>
      <c r="J576">
        <v>1088681</v>
      </c>
      <c r="K576">
        <v>2.391139984878609E-2</v>
      </c>
      <c r="L576">
        <v>357110</v>
      </c>
      <c r="M576">
        <v>8539</v>
      </c>
      <c r="N576">
        <v>3.4500000000000003E-2</v>
      </c>
      <c r="O576">
        <v>14</v>
      </c>
    </row>
    <row r="577" spans="1:15" x14ac:dyDescent="0.25">
      <c r="A577" t="s">
        <v>564</v>
      </c>
      <c r="B577" t="s">
        <v>28</v>
      </c>
      <c r="C577" t="s">
        <v>146</v>
      </c>
      <c r="D577" t="s">
        <v>76</v>
      </c>
      <c r="E577" t="s">
        <v>592</v>
      </c>
      <c r="F577" t="s">
        <v>624</v>
      </c>
      <c r="G577" t="s">
        <v>625</v>
      </c>
      <c r="H577" t="s">
        <v>8941</v>
      </c>
      <c r="I577">
        <v>7.0029696485931136E-3</v>
      </c>
      <c r="J577">
        <v>1088681</v>
      </c>
      <c r="K577">
        <v>2.134916412309933E-2</v>
      </c>
      <c r="L577">
        <v>357110</v>
      </c>
      <c r="M577">
        <v>7624</v>
      </c>
      <c r="N577">
        <v>1.0500000000000001E-2</v>
      </c>
      <c r="O577">
        <v>15</v>
      </c>
    </row>
    <row r="578" spans="1:15" x14ac:dyDescent="0.25">
      <c r="A578" t="s">
        <v>564</v>
      </c>
      <c r="B578" t="s">
        <v>28</v>
      </c>
      <c r="C578" t="s">
        <v>146</v>
      </c>
      <c r="D578" t="s">
        <v>76</v>
      </c>
      <c r="E578" t="s">
        <v>600</v>
      </c>
      <c r="F578" t="s">
        <v>78</v>
      </c>
      <c r="G578" t="s">
        <v>601</v>
      </c>
      <c r="H578" t="s">
        <v>8939</v>
      </c>
      <c r="I578">
        <v>6.9377531159265206E-3</v>
      </c>
      <c r="J578">
        <v>1088681</v>
      </c>
      <c r="K578">
        <v>2.115034583181653E-2</v>
      </c>
      <c r="L578">
        <v>357110</v>
      </c>
      <c r="M578">
        <v>7553</v>
      </c>
      <c r="N578">
        <v>9.9000000000000008E-3</v>
      </c>
      <c r="O578">
        <v>16</v>
      </c>
    </row>
    <row r="579" spans="1:15" x14ac:dyDescent="0.25">
      <c r="A579" t="s">
        <v>564</v>
      </c>
      <c r="B579" t="s">
        <v>28</v>
      </c>
      <c r="C579" t="s">
        <v>146</v>
      </c>
      <c r="D579" t="s">
        <v>76</v>
      </c>
      <c r="E579" t="s">
        <v>606</v>
      </c>
      <c r="F579" t="s">
        <v>78</v>
      </c>
      <c r="G579" t="s">
        <v>607</v>
      </c>
      <c r="H579" t="s">
        <v>8942</v>
      </c>
      <c r="I579">
        <v>5.4129722113272849E-3</v>
      </c>
      <c r="J579">
        <v>1088681</v>
      </c>
      <c r="K579">
        <v>1.650191817647224E-2</v>
      </c>
      <c r="L579">
        <v>357110</v>
      </c>
      <c r="M579">
        <v>5893</v>
      </c>
      <c r="N579">
        <v>2.4299999999999999E-2</v>
      </c>
      <c r="O579">
        <v>17</v>
      </c>
    </row>
    <row r="580" spans="1:15" x14ac:dyDescent="0.25">
      <c r="A580" t="s">
        <v>564</v>
      </c>
      <c r="B580" t="s">
        <v>28</v>
      </c>
      <c r="C580" t="s">
        <v>146</v>
      </c>
      <c r="D580" t="s">
        <v>76</v>
      </c>
      <c r="E580" t="s">
        <v>600</v>
      </c>
      <c r="F580" t="s">
        <v>614</v>
      </c>
      <c r="G580" t="s">
        <v>615</v>
      </c>
      <c r="H580" t="s">
        <v>8940</v>
      </c>
      <c r="I580">
        <v>4.2510156786055783E-3</v>
      </c>
      <c r="J580">
        <v>1088681</v>
      </c>
      <c r="K580">
        <v>1.295959228248999E-2</v>
      </c>
      <c r="L580">
        <v>357110</v>
      </c>
      <c r="M580">
        <v>4628</v>
      </c>
      <c r="N580">
        <v>8.2000000000000007E-3</v>
      </c>
      <c r="O580">
        <v>18</v>
      </c>
    </row>
    <row r="581" spans="1:15" x14ac:dyDescent="0.25">
      <c r="A581" t="s">
        <v>564</v>
      </c>
      <c r="B581" t="s">
        <v>28</v>
      </c>
      <c r="C581" t="s">
        <v>146</v>
      </c>
      <c r="D581" t="s">
        <v>76</v>
      </c>
      <c r="E581" t="s">
        <v>592</v>
      </c>
      <c r="F581" t="s">
        <v>803</v>
      </c>
      <c r="G581" t="s">
        <v>804</v>
      </c>
      <c r="H581" t="s">
        <v>8946</v>
      </c>
      <c r="I581">
        <v>3.854205226324332E-3</v>
      </c>
      <c r="J581">
        <v>1088681</v>
      </c>
      <c r="K581">
        <v>1.1749880989050989E-2</v>
      </c>
      <c r="L581">
        <v>357110</v>
      </c>
      <c r="M581">
        <v>4196</v>
      </c>
      <c r="N581">
        <v>3.5999999999999999E-3</v>
      </c>
      <c r="O581">
        <v>19</v>
      </c>
    </row>
    <row r="582" spans="1:15" x14ac:dyDescent="0.25">
      <c r="A582" t="s">
        <v>564</v>
      </c>
      <c r="B582" t="s">
        <v>28</v>
      </c>
      <c r="C582" t="s">
        <v>146</v>
      </c>
      <c r="D582" t="s">
        <v>76</v>
      </c>
      <c r="E582" t="s">
        <v>592</v>
      </c>
      <c r="F582" t="s">
        <v>811</v>
      </c>
      <c r="G582" t="s">
        <v>812</v>
      </c>
      <c r="H582" t="s">
        <v>8945</v>
      </c>
      <c r="I582">
        <v>3.4886252263059609E-3</v>
      </c>
      <c r="J582">
        <v>1088681</v>
      </c>
      <c r="K582">
        <v>1.0635378454817841E-2</v>
      </c>
      <c r="L582">
        <v>357110</v>
      </c>
      <c r="M582">
        <v>3798</v>
      </c>
      <c r="N582">
        <v>1.0999999999999999E-2</v>
      </c>
      <c r="O582">
        <v>20</v>
      </c>
    </row>
    <row r="583" spans="1:15" x14ac:dyDescent="0.25">
      <c r="A583" t="s">
        <v>564</v>
      </c>
      <c r="B583" t="s">
        <v>28</v>
      </c>
      <c r="C583" t="s">
        <v>146</v>
      </c>
      <c r="D583" t="s">
        <v>76</v>
      </c>
      <c r="E583" t="s">
        <v>602</v>
      </c>
      <c r="F583" t="s">
        <v>78</v>
      </c>
      <c r="G583" t="s">
        <v>603</v>
      </c>
      <c r="H583" t="s">
        <v>8935</v>
      </c>
      <c r="I583">
        <v>3.2709306031794439E-3</v>
      </c>
      <c r="J583">
        <v>1088681</v>
      </c>
      <c r="K583">
        <v>9.9717173980006166E-3</v>
      </c>
      <c r="L583">
        <v>357110</v>
      </c>
      <c r="M583">
        <v>3561</v>
      </c>
      <c r="N583">
        <v>1.49E-2</v>
      </c>
      <c r="O583">
        <v>21</v>
      </c>
    </row>
    <row r="584" spans="1:15" x14ac:dyDescent="0.25">
      <c r="A584" t="s">
        <v>564</v>
      </c>
      <c r="B584" t="s">
        <v>28</v>
      </c>
      <c r="C584" t="s">
        <v>146</v>
      </c>
      <c r="D584" t="s">
        <v>76</v>
      </c>
      <c r="E584" t="s">
        <v>610</v>
      </c>
      <c r="F584" t="s">
        <v>78</v>
      </c>
      <c r="G584" t="s">
        <v>611</v>
      </c>
      <c r="H584" t="s">
        <v>8943</v>
      </c>
      <c r="I584">
        <v>3.2332703519212698E-3</v>
      </c>
      <c r="J584">
        <v>1088681</v>
      </c>
      <c r="K584">
        <v>9.8569068354288601E-3</v>
      </c>
      <c r="L584">
        <v>357110</v>
      </c>
      <c r="M584">
        <v>3520</v>
      </c>
      <c r="N584">
        <v>6.0499999999999998E-2</v>
      </c>
      <c r="O584">
        <v>22</v>
      </c>
    </row>
    <row r="585" spans="1:15" x14ac:dyDescent="0.25">
      <c r="A585" t="s">
        <v>564</v>
      </c>
      <c r="B585" t="s">
        <v>28</v>
      </c>
      <c r="C585" t="s">
        <v>146</v>
      </c>
      <c r="D585" t="s">
        <v>76</v>
      </c>
      <c r="E585" t="s">
        <v>600</v>
      </c>
      <c r="F585" t="s">
        <v>612</v>
      </c>
      <c r="G585" t="s">
        <v>613</v>
      </c>
      <c r="H585" t="s">
        <v>8958</v>
      </c>
      <c r="I585">
        <v>2.7473612564194649E-3</v>
      </c>
      <c r="J585">
        <v>1088681</v>
      </c>
      <c r="K585">
        <v>8.3755705524908297E-3</v>
      </c>
      <c r="L585">
        <v>357110</v>
      </c>
      <c r="M585">
        <v>2991</v>
      </c>
      <c r="N585">
        <v>1.23E-2</v>
      </c>
      <c r="O585">
        <v>23</v>
      </c>
    </row>
    <row r="586" spans="1:15" x14ac:dyDescent="0.25">
      <c r="A586" t="s">
        <v>564</v>
      </c>
      <c r="B586" t="s">
        <v>28</v>
      </c>
      <c r="C586" t="s">
        <v>146</v>
      </c>
      <c r="D586" t="s">
        <v>76</v>
      </c>
      <c r="E586" t="s">
        <v>618</v>
      </c>
      <c r="F586" t="s">
        <v>78</v>
      </c>
      <c r="G586" t="s">
        <v>619</v>
      </c>
      <c r="H586" t="s">
        <v>8949</v>
      </c>
      <c r="I586">
        <v>2.667448040335048E-3</v>
      </c>
      <c r="J586">
        <v>1088681</v>
      </c>
      <c r="K586">
        <v>8.131948139228809E-3</v>
      </c>
      <c r="L586">
        <v>357110</v>
      </c>
      <c r="M586">
        <v>2904</v>
      </c>
      <c r="N586">
        <v>1.55E-2</v>
      </c>
      <c r="O586">
        <v>24</v>
      </c>
    </row>
    <row r="587" spans="1:15" x14ac:dyDescent="0.25">
      <c r="A587" t="s">
        <v>564</v>
      </c>
      <c r="B587" t="s">
        <v>28</v>
      </c>
      <c r="C587" t="s">
        <v>146</v>
      </c>
      <c r="D587" t="s">
        <v>76</v>
      </c>
      <c r="E587" t="s">
        <v>608</v>
      </c>
      <c r="F587" t="s">
        <v>78</v>
      </c>
      <c r="G587" t="s">
        <v>609</v>
      </c>
      <c r="H587" t="s">
        <v>8948</v>
      </c>
      <c r="I587">
        <v>2.6343805026449439E-3</v>
      </c>
      <c r="J587">
        <v>1088681</v>
      </c>
      <c r="K587">
        <v>8.0311388647755586E-3</v>
      </c>
      <c r="L587">
        <v>357110</v>
      </c>
      <c r="M587">
        <v>2868</v>
      </c>
      <c r="N587">
        <v>0.10489999999999999</v>
      </c>
      <c r="O587">
        <v>25</v>
      </c>
    </row>
    <row r="588" spans="1:15" x14ac:dyDescent="0.25">
      <c r="A588" t="s">
        <v>564</v>
      </c>
      <c r="B588" t="s">
        <v>28</v>
      </c>
      <c r="C588" t="s">
        <v>146</v>
      </c>
      <c r="D588" t="s">
        <v>76</v>
      </c>
      <c r="E588" t="s">
        <v>620</v>
      </c>
      <c r="F588" t="s">
        <v>78</v>
      </c>
      <c r="G588" t="s">
        <v>621</v>
      </c>
      <c r="H588" t="s">
        <v>8950</v>
      </c>
      <c r="I588">
        <v>2.1025442714624389E-3</v>
      </c>
      <c r="J588">
        <v>1088681</v>
      </c>
      <c r="K588">
        <v>6.4097897006524596E-3</v>
      </c>
      <c r="L588">
        <v>357110</v>
      </c>
      <c r="M588">
        <v>2289</v>
      </c>
      <c r="N588">
        <v>5.9799999999999999E-2</v>
      </c>
      <c r="O588">
        <v>26</v>
      </c>
    </row>
    <row r="589" spans="1:15" x14ac:dyDescent="0.25">
      <c r="A589" t="s">
        <v>564</v>
      </c>
      <c r="B589" t="s">
        <v>28</v>
      </c>
      <c r="C589" t="s">
        <v>146</v>
      </c>
      <c r="D589" t="s">
        <v>76</v>
      </c>
      <c r="E589" t="s">
        <v>602</v>
      </c>
      <c r="F589" t="s">
        <v>616</v>
      </c>
      <c r="G589" t="s">
        <v>617</v>
      </c>
      <c r="H589" t="s">
        <v>8953</v>
      </c>
      <c r="I589">
        <v>1.975785376983708E-3</v>
      </c>
      <c r="J589">
        <v>1088681</v>
      </c>
      <c r="K589">
        <v>6.0233541485816694E-3</v>
      </c>
      <c r="L589">
        <v>357110</v>
      </c>
      <c r="M589">
        <v>2151</v>
      </c>
      <c r="N589">
        <v>1.3899999999999999E-2</v>
      </c>
      <c r="O589">
        <v>27</v>
      </c>
    </row>
    <row r="590" spans="1:15" x14ac:dyDescent="0.25">
      <c r="A590" t="s">
        <v>564</v>
      </c>
      <c r="B590" t="s">
        <v>28</v>
      </c>
      <c r="C590" t="s">
        <v>146</v>
      </c>
      <c r="D590" t="s">
        <v>76</v>
      </c>
      <c r="E590" t="s">
        <v>587</v>
      </c>
      <c r="F590" t="s">
        <v>78</v>
      </c>
      <c r="G590" t="s">
        <v>588</v>
      </c>
      <c r="H590" t="s">
        <v>8933</v>
      </c>
      <c r="I590">
        <v>1.755335125716349E-3</v>
      </c>
      <c r="J590">
        <v>1088681</v>
      </c>
      <c r="K590">
        <v>5.3512923188933376E-3</v>
      </c>
      <c r="L590">
        <v>357110</v>
      </c>
      <c r="M590">
        <v>1911</v>
      </c>
      <c r="O590">
        <v>28</v>
      </c>
    </row>
    <row r="591" spans="1:15" x14ac:dyDescent="0.25">
      <c r="A591" t="s">
        <v>564</v>
      </c>
      <c r="B591" t="s">
        <v>28</v>
      </c>
      <c r="C591" t="s">
        <v>146</v>
      </c>
      <c r="D591" t="s">
        <v>76</v>
      </c>
      <c r="E591" t="s">
        <v>626</v>
      </c>
      <c r="F591" t="s">
        <v>78</v>
      </c>
      <c r="G591" t="s">
        <v>627</v>
      </c>
      <c r="H591" t="s">
        <v>8957</v>
      </c>
      <c r="I591">
        <v>1.5137583920358669E-3</v>
      </c>
      <c r="J591">
        <v>1088681</v>
      </c>
      <c r="K591">
        <v>4.6148245638598746E-3</v>
      </c>
      <c r="L591">
        <v>357110</v>
      </c>
      <c r="M591">
        <v>1648</v>
      </c>
      <c r="N591">
        <v>2.06E-2</v>
      </c>
      <c r="O591">
        <v>29</v>
      </c>
    </row>
    <row r="592" spans="1:15" x14ac:dyDescent="0.25">
      <c r="A592" t="s">
        <v>564</v>
      </c>
      <c r="B592" t="s">
        <v>28</v>
      </c>
      <c r="C592" t="s">
        <v>146</v>
      </c>
      <c r="D592" t="s">
        <v>76</v>
      </c>
      <c r="E592" t="s">
        <v>682</v>
      </c>
      <c r="F592" t="s">
        <v>78</v>
      </c>
      <c r="G592" t="s">
        <v>683</v>
      </c>
      <c r="H592" t="s">
        <v>8952</v>
      </c>
      <c r="I592">
        <v>1.424659748815309E-3</v>
      </c>
      <c r="J592">
        <v>1088681</v>
      </c>
      <c r="K592">
        <v>4.3431995743608409E-3</v>
      </c>
      <c r="L592">
        <v>357110</v>
      </c>
      <c r="M592">
        <v>1551</v>
      </c>
      <c r="N592">
        <v>3.3500000000000002E-2</v>
      </c>
      <c r="O592">
        <v>30</v>
      </c>
    </row>
    <row r="593" spans="1:15" x14ac:dyDescent="0.25">
      <c r="A593" t="s">
        <v>564</v>
      </c>
      <c r="B593" t="s">
        <v>28</v>
      </c>
      <c r="C593" t="s">
        <v>146</v>
      </c>
      <c r="D593" t="s">
        <v>76</v>
      </c>
      <c r="E593" t="s">
        <v>632</v>
      </c>
      <c r="F593" t="s">
        <v>78</v>
      </c>
      <c r="G593" t="s">
        <v>633</v>
      </c>
      <c r="H593" t="s">
        <v>8951</v>
      </c>
      <c r="I593">
        <v>1.329131306599454E-3</v>
      </c>
      <c r="J593">
        <v>1088681</v>
      </c>
      <c r="K593">
        <v>4.0519727814958984E-3</v>
      </c>
      <c r="L593">
        <v>357110</v>
      </c>
      <c r="M593">
        <v>1447</v>
      </c>
      <c r="N593">
        <v>1.5E-3</v>
      </c>
      <c r="O593">
        <v>31</v>
      </c>
    </row>
    <row r="594" spans="1:15" x14ac:dyDescent="0.25">
      <c r="A594" t="s">
        <v>564</v>
      </c>
      <c r="B594" t="s">
        <v>28</v>
      </c>
      <c r="C594" t="s">
        <v>146</v>
      </c>
      <c r="D594" t="s">
        <v>76</v>
      </c>
      <c r="E594" t="s">
        <v>634</v>
      </c>
      <c r="F594" t="s">
        <v>78</v>
      </c>
      <c r="G594" t="s">
        <v>635</v>
      </c>
      <c r="H594" t="s">
        <v>8944</v>
      </c>
      <c r="I594">
        <v>1.089391658346201E-3</v>
      </c>
      <c r="J594">
        <v>1088681</v>
      </c>
      <c r="K594">
        <v>3.3211055417098371E-3</v>
      </c>
      <c r="L594">
        <v>357110</v>
      </c>
      <c r="M594">
        <v>1186</v>
      </c>
      <c r="N594">
        <v>2.7799999999999998E-2</v>
      </c>
      <c r="O594">
        <v>32</v>
      </c>
    </row>
    <row r="595" spans="1:15" x14ac:dyDescent="0.25">
      <c r="A595" t="s">
        <v>564</v>
      </c>
      <c r="B595" t="s">
        <v>28</v>
      </c>
      <c r="C595" t="s">
        <v>146</v>
      </c>
      <c r="D595" t="s">
        <v>76</v>
      </c>
      <c r="E595" t="s">
        <v>81</v>
      </c>
      <c r="F595" t="s">
        <v>622</v>
      </c>
      <c r="G595" t="s">
        <v>623</v>
      </c>
      <c r="H595" t="s">
        <v>8956</v>
      </c>
      <c r="I595">
        <v>8.3219969853428135E-4</v>
      </c>
      <c r="J595">
        <v>1088681</v>
      </c>
      <c r="K595">
        <v>2.5370334070734511E-3</v>
      </c>
      <c r="L595">
        <v>357110</v>
      </c>
      <c r="M595">
        <v>906</v>
      </c>
      <c r="O595">
        <v>33</v>
      </c>
    </row>
    <row r="596" spans="1:15" x14ac:dyDescent="0.25">
      <c r="A596" t="s">
        <v>564</v>
      </c>
      <c r="B596" t="s">
        <v>28</v>
      </c>
      <c r="C596" t="s">
        <v>146</v>
      </c>
      <c r="D596" t="s">
        <v>76</v>
      </c>
      <c r="E596" t="s">
        <v>630</v>
      </c>
      <c r="F596" t="s">
        <v>78</v>
      </c>
      <c r="G596" t="s">
        <v>631</v>
      </c>
      <c r="H596" t="s">
        <v>8947</v>
      </c>
      <c r="I596">
        <v>8.1015467340754543E-4</v>
      </c>
      <c r="J596">
        <v>1088681</v>
      </c>
      <c r="K596">
        <v>2.4698272241046181E-3</v>
      </c>
      <c r="L596">
        <v>357110</v>
      </c>
      <c r="M596">
        <v>882</v>
      </c>
      <c r="N596">
        <v>1.1999999999999999E-3</v>
      </c>
      <c r="O596">
        <v>34</v>
      </c>
    </row>
    <row r="597" spans="1:15" x14ac:dyDescent="0.25">
      <c r="A597" t="s">
        <v>564</v>
      </c>
      <c r="B597" t="s">
        <v>28</v>
      </c>
      <c r="C597" t="s">
        <v>146</v>
      </c>
      <c r="D597" t="s">
        <v>76</v>
      </c>
      <c r="E597" t="s">
        <v>634</v>
      </c>
      <c r="F597" t="s">
        <v>638</v>
      </c>
      <c r="G597" t="s">
        <v>639</v>
      </c>
      <c r="H597" t="s">
        <v>8954</v>
      </c>
      <c r="I597">
        <v>7.4677522616817965E-4</v>
      </c>
      <c r="J597">
        <v>1088681</v>
      </c>
      <c r="K597">
        <v>2.276609448069223E-3</v>
      </c>
      <c r="L597">
        <v>357110</v>
      </c>
      <c r="M597">
        <v>813</v>
      </c>
      <c r="N597">
        <v>2.8299999999999999E-2</v>
      </c>
      <c r="O597">
        <v>35</v>
      </c>
    </row>
    <row r="598" spans="1:15" x14ac:dyDescent="0.25">
      <c r="A598" t="s">
        <v>564</v>
      </c>
      <c r="B598" t="s">
        <v>28</v>
      </c>
      <c r="C598" t="s">
        <v>146</v>
      </c>
      <c r="D598" t="s">
        <v>76</v>
      </c>
      <c r="E598" t="s">
        <v>642</v>
      </c>
      <c r="F598" t="s">
        <v>78</v>
      </c>
      <c r="G598" t="s">
        <v>643</v>
      </c>
      <c r="H598" t="s">
        <v>8963</v>
      </c>
      <c r="I598">
        <v>6.6226929651569193E-4</v>
      </c>
      <c r="J598">
        <v>1088681</v>
      </c>
      <c r="K598">
        <v>2.0189857466886949E-3</v>
      </c>
      <c r="L598">
        <v>357110</v>
      </c>
      <c r="M598">
        <v>721</v>
      </c>
      <c r="N598">
        <v>1.5E-3</v>
      </c>
      <c r="O598">
        <v>36</v>
      </c>
    </row>
    <row r="599" spans="1:15" x14ac:dyDescent="0.25">
      <c r="A599" t="s">
        <v>564</v>
      </c>
      <c r="B599" t="s">
        <v>28</v>
      </c>
      <c r="C599" t="s">
        <v>146</v>
      </c>
      <c r="D599" t="s">
        <v>76</v>
      </c>
      <c r="E599" t="s">
        <v>602</v>
      </c>
      <c r="F599" t="s">
        <v>640</v>
      </c>
      <c r="G599" t="s">
        <v>641</v>
      </c>
      <c r="H599" t="s">
        <v>8961</v>
      </c>
      <c r="I599">
        <v>6.2644613068474602E-4</v>
      </c>
      <c r="J599">
        <v>1088681</v>
      </c>
      <c r="K599">
        <v>1.909775699364341E-3</v>
      </c>
      <c r="L599">
        <v>357110</v>
      </c>
      <c r="M599">
        <v>682</v>
      </c>
      <c r="O599">
        <v>37</v>
      </c>
    </row>
    <row r="600" spans="1:15" x14ac:dyDescent="0.25">
      <c r="A600" t="s">
        <v>564</v>
      </c>
      <c r="B600" t="s">
        <v>28</v>
      </c>
      <c r="C600" t="s">
        <v>146</v>
      </c>
      <c r="D600" t="s">
        <v>76</v>
      </c>
      <c r="E600" t="s">
        <v>594</v>
      </c>
      <c r="F600" t="s">
        <v>78</v>
      </c>
      <c r="G600" t="s">
        <v>595</v>
      </c>
      <c r="H600" t="s">
        <v>8962</v>
      </c>
      <c r="I600">
        <v>6.2093487440306207E-4</v>
      </c>
      <c r="J600">
        <v>1088681</v>
      </c>
      <c r="K600">
        <v>1.892974153622133E-3</v>
      </c>
      <c r="L600">
        <v>357110</v>
      </c>
      <c r="M600">
        <v>676</v>
      </c>
      <c r="N600">
        <v>1.3299999999999999E-2</v>
      </c>
      <c r="O600">
        <v>38</v>
      </c>
    </row>
    <row r="601" spans="1:15" x14ac:dyDescent="0.25">
      <c r="A601" t="s">
        <v>564</v>
      </c>
      <c r="B601" t="s">
        <v>28</v>
      </c>
      <c r="C601" t="s">
        <v>146</v>
      </c>
      <c r="D601" t="s">
        <v>76</v>
      </c>
      <c r="E601" t="s">
        <v>602</v>
      </c>
      <c r="F601" t="s">
        <v>628</v>
      </c>
      <c r="G601" t="s">
        <v>629</v>
      </c>
      <c r="H601" t="s">
        <v>8965</v>
      </c>
      <c r="I601">
        <v>5.924600502810281E-4</v>
      </c>
      <c r="J601">
        <v>1088681</v>
      </c>
      <c r="K601">
        <v>1.80616616728739E-3</v>
      </c>
      <c r="L601">
        <v>357110</v>
      </c>
      <c r="M601">
        <v>645</v>
      </c>
      <c r="N601">
        <v>2.7900000000000001E-2</v>
      </c>
      <c r="O601">
        <v>39</v>
      </c>
    </row>
    <row r="602" spans="1:15" x14ac:dyDescent="0.25">
      <c r="A602" t="s">
        <v>564</v>
      </c>
      <c r="B602" t="s">
        <v>28</v>
      </c>
      <c r="C602" t="s">
        <v>146</v>
      </c>
      <c r="D602" t="s">
        <v>76</v>
      </c>
      <c r="E602" t="s">
        <v>8368</v>
      </c>
      <c r="F602" t="s">
        <v>78</v>
      </c>
      <c r="G602" t="s">
        <v>8369</v>
      </c>
      <c r="H602" t="s">
        <v>8959</v>
      </c>
      <c r="I602">
        <v>5.924600502810281E-4</v>
      </c>
      <c r="J602">
        <v>1088681</v>
      </c>
      <c r="K602">
        <v>1.80616616728739E-3</v>
      </c>
      <c r="L602">
        <v>357110</v>
      </c>
      <c r="M602">
        <v>645</v>
      </c>
      <c r="N602">
        <v>1.0800000000000001E-2</v>
      </c>
      <c r="O602">
        <v>40</v>
      </c>
    </row>
    <row r="603" spans="1:15" x14ac:dyDescent="0.25">
      <c r="A603" t="s">
        <v>564</v>
      </c>
      <c r="B603" t="s">
        <v>28</v>
      </c>
      <c r="C603" t="s">
        <v>146</v>
      </c>
      <c r="D603" t="s">
        <v>76</v>
      </c>
      <c r="E603" t="s">
        <v>81</v>
      </c>
      <c r="F603" t="s">
        <v>582</v>
      </c>
      <c r="G603" t="s">
        <v>583</v>
      </c>
      <c r="H603" t="s">
        <v>8960</v>
      </c>
      <c r="I603">
        <v>5.309176884688903E-4</v>
      </c>
      <c r="J603">
        <v>1088681</v>
      </c>
      <c r="K603">
        <v>1.6185489064993979E-3</v>
      </c>
      <c r="L603">
        <v>357110</v>
      </c>
      <c r="M603">
        <v>578</v>
      </c>
      <c r="N603">
        <v>2.07E-2</v>
      </c>
      <c r="O603">
        <v>41</v>
      </c>
    </row>
    <row r="604" spans="1:15" x14ac:dyDescent="0.25">
      <c r="A604" t="s">
        <v>564</v>
      </c>
      <c r="B604" t="s">
        <v>28</v>
      </c>
      <c r="C604" t="s">
        <v>146</v>
      </c>
      <c r="D604" t="s">
        <v>76</v>
      </c>
      <c r="E604" t="s">
        <v>662</v>
      </c>
      <c r="F604" t="s">
        <v>78</v>
      </c>
      <c r="G604" t="s">
        <v>663</v>
      </c>
      <c r="H604" t="s">
        <v>8990</v>
      </c>
      <c r="I604">
        <v>4.197740201215967E-4</v>
      </c>
      <c r="J604">
        <v>1088681</v>
      </c>
      <c r="K604">
        <v>1.279717734031531E-3</v>
      </c>
      <c r="L604">
        <v>357110</v>
      </c>
      <c r="M604">
        <v>457</v>
      </c>
      <c r="N604">
        <v>1.09E-2</v>
      </c>
      <c r="O604">
        <v>42</v>
      </c>
    </row>
    <row r="605" spans="1:15" x14ac:dyDescent="0.25">
      <c r="A605" t="s">
        <v>564</v>
      </c>
      <c r="B605" t="s">
        <v>28</v>
      </c>
      <c r="C605" t="s">
        <v>146</v>
      </c>
      <c r="D605" t="s">
        <v>76</v>
      </c>
      <c r="E605" t="s">
        <v>634</v>
      </c>
      <c r="F605" t="s">
        <v>658</v>
      </c>
      <c r="G605" t="s">
        <v>659</v>
      </c>
      <c r="H605" t="s">
        <v>8955</v>
      </c>
      <c r="I605">
        <v>3.4812768845970488E-4</v>
      </c>
      <c r="J605">
        <v>1088681</v>
      </c>
      <c r="K605">
        <v>1.0612976393828231E-3</v>
      </c>
      <c r="L605">
        <v>357110</v>
      </c>
      <c r="M605">
        <v>379</v>
      </c>
      <c r="N605">
        <v>2.63E-2</v>
      </c>
      <c r="O605">
        <v>43</v>
      </c>
    </row>
    <row r="606" spans="1:15" x14ac:dyDescent="0.25">
      <c r="A606" t="s">
        <v>564</v>
      </c>
      <c r="B606" t="s">
        <v>28</v>
      </c>
      <c r="C606" t="s">
        <v>146</v>
      </c>
      <c r="D606" t="s">
        <v>76</v>
      </c>
      <c r="E606" t="s">
        <v>80</v>
      </c>
      <c r="F606" t="s">
        <v>8354</v>
      </c>
      <c r="G606" t="s">
        <v>8355</v>
      </c>
      <c r="H606" t="s">
        <v>8966</v>
      </c>
      <c r="I606">
        <v>3.4720914574609088E-4</v>
      </c>
      <c r="J606">
        <v>1088681</v>
      </c>
      <c r="K606">
        <v>1.058497381759122E-3</v>
      </c>
      <c r="L606">
        <v>357110</v>
      </c>
      <c r="M606">
        <v>378</v>
      </c>
      <c r="N606">
        <v>3.1699999999999999E-2</v>
      </c>
      <c r="O606">
        <v>44</v>
      </c>
    </row>
    <row r="607" spans="1:15" x14ac:dyDescent="0.25">
      <c r="A607" t="s">
        <v>564</v>
      </c>
      <c r="B607" t="s">
        <v>28</v>
      </c>
      <c r="C607" t="s">
        <v>146</v>
      </c>
      <c r="D607" t="s">
        <v>76</v>
      </c>
      <c r="E607" t="s">
        <v>602</v>
      </c>
      <c r="F607" t="s">
        <v>652</v>
      </c>
      <c r="G607" t="s">
        <v>653</v>
      </c>
      <c r="H607" t="s">
        <v>8938</v>
      </c>
      <c r="I607">
        <v>3.4169788946440688E-4</v>
      </c>
      <c r="J607">
        <v>1088681</v>
      </c>
      <c r="K607">
        <v>1.0416958360169139E-3</v>
      </c>
      <c r="L607">
        <v>357110</v>
      </c>
      <c r="M607">
        <v>372</v>
      </c>
      <c r="N607">
        <v>2.7000000000000001E-3</v>
      </c>
      <c r="O607">
        <v>45</v>
      </c>
    </row>
    <row r="608" spans="1:15" x14ac:dyDescent="0.25">
      <c r="A608" t="s">
        <v>564</v>
      </c>
      <c r="B608" t="s">
        <v>28</v>
      </c>
      <c r="C608" t="s">
        <v>146</v>
      </c>
      <c r="D608" t="s">
        <v>76</v>
      </c>
      <c r="E608" t="s">
        <v>80</v>
      </c>
      <c r="F608" t="s">
        <v>8371</v>
      </c>
      <c r="G608" t="s">
        <v>8372</v>
      </c>
      <c r="H608" t="s">
        <v>8971</v>
      </c>
      <c r="I608">
        <v>3.15060150769601E-4</v>
      </c>
      <c r="J608">
        <v>1088681</v>
      </c>
      <c r="K608">
        <v>9.6048836492957355E-4</v>
      </c>
      <c r="L608">
        <v>357110</v>
      </c>
      <c r="M608">
        <v>343</v>
      </c>
      <c r="N608">
        <v>1.4500000000000001E-2</v>
      </c>
      <c r="O608">
        <v>46</v>
      </c>
    </row>
    <row r="609" spans="1:15" x14ac:dyDescent="0.25">
      <c r="A609" t="s">
        <v>564</v>
      </c>
      <c r="B609" t="s">
        <v>28</v>
      </c>
      <c r="C609" t="s">
        <v>146</v>
      </c>
      <c r="D609" t="s">
        <v>76</v>
      </c>
      <c r="E609" t="s">
        <v>644</v>
      </c>
      <c r="F609" t="s">
        <v>78</v>
      </c>
      <c r="G609" t="s">
        <v>645</v>
      </c>
      <c r="H609" t="s">
        <v>8964</v>
      </c>
      <c r="I609">
        <v>2.3790256282602519E-4</v>
      </c>
      <c r="J609">
        <v>1088681</v>
      </c>
      <c r="K609">
        <v>7.252667245386576E-4</v>
      </c>
      <c r="L609">
        <v>357110</v>
      </c>
      <c r="M609">
        <v>259</v>
      </c>
      <c r="N609">
        <v>7.6899999999999996E-2</v>
      </c>
      <c r="O609">
        <v>47</v>
      </c>
    </row>
    <row r="610" spans="1:15" x14ac:dyDescent="0.25">
      <c r="A610" t="s">
        <v>564</v>
      </c>
      <c r="B610" t="s">
        <v>28</v>
      </c>
      <c r="C610" t="s">
        <v>146</v>
      </c>
      <c r="D610" t="s">
        <v>76</v>
      </c>
      <c r="E610" t="s">
        <v>602</v>
      </c>
      <c r="F610" t="s">
        <v>648</v>
      </c>
      <c r="G610" t="s">
        <v>649</v>
      </c>
      <c r="H610" t="s">
        <v>8968</v>
      </c>
      <c r="I610">
        <v>2.287171356898853E-4</v>
      </c>
      <c r="J610">
        <v>1088681</v>
      </c>
      <c r="K610">
        <v>6.9726414830164371E-4</v>
      </c>
      <c r="L610">
        <v>357110</v>
      </c>
      <c r="M610">
        <v>249</v>
      </c>
      <c r="N610">
        <v>1.6E-2</v>
      </c>
      <c r="O610">
        <v>48</v>
      </c>
    </row>
    <row r="611" spans="1:15" x14ac:dyDescent="0.25">
      <c r="A611" t="s">
        <v>564</v>
      </c>
      <c r="B611" t="s">
        <v>28</v>
      </c>
      <c r="C611" t="s">
        <v>146</v>
      </c>
      <c r="D611" t="s">
        <v>76</v>
      </c>
      <c r="E611" t="s">
        <v>602</v>
      </c>
      <c r="F611" t="s">
        <v>650</v>
      </c>
      <c r="G611" t="s">
        <v>651</v>
      </c>
      <c r="H611" t="s">
        <v>8967</v>
      </c>
      <c r="I611">
        <v>1.2767743719234559E-4</v>
      </c>
      <c r="J611">
        <v>1088681</v>
      </c>
      <c r="K611">
        <v>3.8923580969449188E-4</v>
      </c>
      <c r="L611">
        <v>357110</v>
      </c>
      <c r="M611">
        <v>139</v>
      </c>
      <c r="N611">
        <v>1.43E-2</v>
      </c>
      <c r="O611">
        <v>49</v>
      </c>
    </row>
    <row r="612" spans="1:15" x14ac:dyDescent="0.25">
      <c r="A612" t="s">
        <v>564</v>
      </c>
      <c r="B612" t="s">
        <v>28</v>
      </c>
      <c r="C612" t="s">
        <v>146</v>
      </c>
      <c r="D612" t="s">
        <v>76</v>
      </c>
      <c r="E612" t="s">
        <v>660</v>
      </c>
      <c r="F612" t="s">
        <v>78</v>
      </c>
      <c r="G612" t="s">
        <v>661</v>
      </c>
      <c r="H612" t="s">
        <v>8973</v>
      </c>
      <c r="I612">
        <v>1.120622110609077E-4</v>
      </c>
      <c r="J612">
        <v>1088681</v>
      </c>
      <c r="K612">
        <v>3.4163143009156838E-4</v>
      </c>
      <c r="L612">
        <v>357110</v>
      </c>
      <c r="M612">
        <v>122</v>
      </c>
      <c r="N612">
        <v>5.6899999999999999E-2</v>
      </c>
      <c r="O612">
        <v>50</v>
      </c>
    </row>
    <row r="613" spans="1:15" x14ac:dyDescent="0.25">
      <c r="A613" t="s">
        <v>564</v>
      </c>
      <c r="B613" t="s">
        <v>28</v>
      </c>
      <c r="C613" t="s">
        <v>146</v>
      </c>
      <c r="D613" t="s">
        <v>76</v>
      </c>
      <c r="E613" t="s">
        <v>654</v>
      </c>
      <c r="F613" t="s">
        <v>78</v>
      </c>
      <c r="G613" t="s">
        <v>655</v>
      </c>
      <c r="H613" t="s">
        <v>8978</v>
      </c>
      <c r="I613">
        <v>8.2668844225259743E-5</v>
      </c>
      <c r="J613">
        <v>1088681</v>
      </c>
      <c r="K613">
        <v>2.520231861331242E-4</v>
      </c>
      <c r="L613">
        <v>357110</v>
      </c>
      <c r="M613">
        <v>90</v>
      </c>
      <c r="O613">
        <v>51</v>
      </c>
    </row>
    <row r="614" spans="1:15" x14ac:dyDescent="0.25">
      <c r="A614" t="s">
        <v>564</v>
      </c>
      <c r="B614" t="s">
        <v>28</v>
      </c>
      <c r="C614" t="s">
        <v>146</v>
      </c>
      <c r="D614" t="s">
        <v>76</v>
      </c>
      <c r="E614" t="s">
        <v>664</v>
      </c>
      <c r="F614" t="s">
        <v>78</v>
      </c>
      <c r="G614" t="s">
        <v>665</v>
      </c>
      <c r="H614" t="s">
        <v>8974</v>
      </c>
      <c r="I614">
        <v>6.3379447239365799E-5</v>
      </c>
      <c r="J614">
        <v>1088681</v>
      </c>
      <c r="K614">
        <v>1.9321777603539529E-4</v>
      </c>
      <c r="L614">
        <v>357110</v>
      </c>
      <c r="M614">
        <v>69</v>
      </c>
      <c r="O614">
        <v>52</v>
      </c>
    </row>
    <row r="615" spans="1:15" x14ac:dyDescent="0.25">
      <c r="A615" t="s">
        <v>564</v>
      </c>
      <c r="B615" t="s">
        <v>28</v>
      </c>
      <c r="C615" t="s">
        <v>146</v>
      </c>
      <c r="D615" t="s">
        <v>76</v>
      </c>
      <c r="E615" t="s">
        <v>654</v>
      </c>
      <c r="F615" t="s">
        <v>8392</v>
      </c>
      <c r="G615" t="s">
        <v>8393</v>
      </c>
      <c r="H615" t="s">
        <v>8982</v>
      </c>
      <c r="I615">
        <v>5.8786733671295818E-5</v>
      </c>
      <c r="J615">
        <v>1088681</v>
      </c>
      <c r="K615">
        <v>1.7921648791688829E-4</v>
      </c>
      <c r="L615">
        <v>357110</v>
      </c>
      <c r="M615">
        <v>64</v>
      </c>
      <c r="O615">
        <v>53</v>
      </c>
    </row>
    <row r="616" spans="1:15" x14ac:dyDescent="0.25">
      <c r="A616" t="s">
        <v>564</v>
      </c>
      <c r="B616" t="s">
        <v>28</v>
      </c>
      <c r="C616" t="s">
        <v>146</v>
      </c>
      <c r="D616" t="s">
        <v>76</v>
      </c>
      <c r="E616" t="s">
        <v>636</v>
      </c>
      <c r="F616" t="s">
        <v>78</v>
      </c>
      <c r="G616" t="s">
        <v>637</v>
      </c>
      <c r="H616" t="s">
        <v>8972</v>
      </c>
      <c r="I616">
        <v>5.3275477389611831E-5</v>
      </c>
      <c r="J616">
        <v>1088681</v>
      </c>
      <c r="K616">
        <v>1.6241494217468009E-4</v>
      </c>
      <c r="L616">
        <v>357110</v>
      </c>
      <c r="M616">
        <v>58</v>
      </c>
      <c r="O616">
        <v>54</v>
      </c>
    </row>
    <row r="617" spans="1:15" x14ac:dyDescent="0.25">
      <c r="A617" t="s">
        <v>564</v>
      </c>
      <c r="B617" t="s">
        <v>28</v>
      </c>
      <c r="C617" t="s">
        <v>146</v>
      </c>
      <c r="D617" t="s">
        <v>76</v>
      </c>
      <c r="E617" t="s">
        <v>602</v>
      </c>
      <c r="F617" t="s">
        <v>670</v>
      </c>
      <c r="G617" t="s">
        <v>671</v>
      </c>
      <c r="H617" t="s">
        <v>8976</v>
      </c>
      <c r="I617">
        <v>5.0519849248769841E-5</v>
      </c>
      <c r="J617">
        <v>1088681</v>
      </c>
      <c r="K617">
        <v>1.5401416930357591E-4</v>
      </c>
      <c r="L617">
        <v>357110</v>
      </c>
      <c r="M617">
        <v>55</v>
      </c>
      <c r="N617">
        <v>0.21429999999999999</v>
      </c>
      <c r="O617">
        <v>55</v>
      </c>
    </row>
    <row r="618" spans="1:15" x14ac:dyDescent="0.25">
      <c r="A618" t="s">
        <v>564</v>
      </c>
      <c r="B618" t="s">
        <v>28</v>
      </c>
      <c r="C618" t="s">
        <v>146</v>
      </c>
      <c r="D618" t="s">
        <v>76</v>
      </c>
      <c r="E618" t="s">
        <v>81</v>
      </c>
      <c r="F618" t="s">
        <v>646</v>
      </c>
      <c r="G618" t="s">
        <v>647</v>
      </c>
      <c r="H618" t="s">
        <v>8975</v>
      </c>
      <c r="I618">
        <v>3.1230452262875903E-5</v>
      </c>
      <c r="J618">
        <v>1088681</v>
      </c>
      <c r="K618">
        <v>9.520875920584694E-5</v>
      </c>
      <c r="L618">
        <v>357110</v>
      </c>
      <c r="M618">
        <v>34</v>
      </c>
      <c r="O618">
        <v>56</v>
      </c>
    </row>
    <row r="619" spans="1:15" x14ac:dyDescent="0.25">
      <c r="A619" t="s">
        <v>564</v>
      </c>
      <c r="B619" t="s">
        <v>28</v>
      </c>
      <c r="C619" t="s">
        <v>146</v>
      </c>
      <c r="D619" t="s">
        <v>76</v>
      </c>
      <c r="E619" t="s">
        <v>676</v>
      </c>
      <c r="F619" t="s">
        <v>78</v>
      </c>
      <c r="G619" t="s">
        <v>677</v>
      </c>
      <c r="H619" t="s">
        <v>8980</v>
      </c>
      <c r="I619">
        <v>3.0311909549261901E-5</v>
      </c>
      <c r="J619">
        <v>1088681</v>
      </c>
      <c r="K619">
        <v>9.2408501582145555E-5</v>
      </c>
      <c r="L619">
        <v>357110</v>
      </c>
      <c r="M619">
        <v>33</v>
      </c>
      <c r="N619">
        <v>2.9399999999999999E-2</v>
      </c>
      <c r="O619">
        <v>57</v>
      </c>
    </row>
    <row r="620" spans="1:15" x14ac:dyDescent="0.25">
      <c r="A620" t="s">
        <v>564</v>
      </c>
      <c r="B620" t="s">
        <v>28</v>
      </c>
      <c r="C620" t="s">
        <v>146</v>
      </c>
      <c r="D620" t="s">
        <v>76</v>
      </c>
      <c r="E620" t="s">
        <v>81</v>
      </c>
      <c r="F620" t="s">
        <v>604</v>
      </c>
      <c r="G620" t="s">
        <v>605</v>
      </c>
      <c r="H620" t="s">
        <v>8977</v>
      </c>
      <c r="I620">
        <v>2.847482412203391E-5</v>
      </c>
      <c r="J620">
        <v>1088681</v>
      </c>
      <c r="K620">
        <v>8.6807986334742801E-5</v>
      </c>
      <c r="L620">
        <v>357110</v>
      </c>
      <c r="M620">
        <v>31</v>
      </c>
      <c r="O620">
        <v>58</v>
      </c>
    </row>
    <row r="621" spans="1:15" x14ac:dyDescent="0.25">
      <c r="A621" t="s">
        <v>564</v>
      </c>
      <c r="B621" t="s">
        <v>28</v>
      </c>
      <c r="C621" t="s">
        <v>146</v>
      </c>
      <c r="D621" t="s">
        <v>76</v>
      </c>
      <c r="E621" t="s">
        <v>678</v>
      </c>
      <c r="F621" t="s">
        <v>78</v>
      </c>
      <c r="G621" t="s">
        <v>679</v>
      </c>
      <c r="H621" t="s">
        <v>8984</v>
      </c>
      <c r="I621">
        <v>2.7556281408419911E-5</v>
      </c>
      <c r="J621">
        <v>1088681</v>
      </c>
      <c r="K621">
        <v>8.4007728711041417E-5</v>
      </c>
      <c r="L621">
        <v>357110</v>
      </c>
      <c r="M621">
        <v>30</v>
      </c>
      <c r="O621">
        <v>59</v>
      </c>
    </row>
    <row r="622" spans="1:15" x14ac:dyDescent="0.25">
      <c r="A622" t="s">
        <v>564</v>
      </c>
      <c r="B622" t="s">
        <v>28</v>
      </c>
      <c r="C622" t="s">
        <v>146</v>
      </c>
      <c r="D622" t="s">
        <v>76</v>
      </c>
      <c r="E622" t="s">
        <v>654</v>
      </c>
      <c r="F622" t="s">
        <v>8395</v>
      </c>
      <c r="G622" t="s">
        <v>8396</v>
      </c>
      <c r="H622" t="s">
        <v>8989</v>
      </c>
      <c r="I622">
        <v>2.571919598119192E-5</v>
      </c>
      <c r="J622">
        <v>1088681</v>
      </c>
      <c r="K622">
        <v>7.8407213463638648E-5</v>
      </c>
      <c r="L622">
        <v>357110</v>
      </c>
      <c r="M622">
        <v>28</v>
      </c>
      <c r="O622">
        <v>60</v>
      </c>
    </row>
    <row r="623" spans="1:15" x14ac:dyDescent="0.25">
      <c r="A623" t="s">
        <v>564</v>
      </c>
      <c r="B623" t="s">
        <v>28</v>
      </c>
      <c r="C623" t="s">
        <v>146</v>
      </c>
      <c r="D623" t="s">
        <v>76</v>
      </c>
      <c r="E623" t="s">
        <v>668</v>
      </c>
      <c r="F623" t="s">
        <v>78</v>
      </c>
      <c r="G623" t="s">
        <v>669</v>
      </c>
      <c r="H623" t="s">
        <v>8986</v>
      </c>
      <c r="I623">
        <v>2.2045025126735931E-5</v>
      </c>
      <c r="J623">
        <v>1088681</v>
      </c>
      <c r="K623">
        <v>6.7206182968833139E-5</v>
      </c>
      <c r="L623">
        <v>357110</v>
      </c>
      <c r="M623">
        <v>24</v>
      </c>
      <c r="O623">
        <v>61</v>
      </c>
    </row>
    <row r="624" spans="1:15" x14ac:dyDescent="0.25">
      <c r="A624" t="s">
        <v>564</v>
      </c>
      <c r="B624" t="s">
        <v>28</v>
      </c>
      <c r="C624" t="s">
        <v>146</v>
      </c>
      <c r="D624" t="s">
        <v>76</v>
      </c>
      <c r="E624" t="s">
        <v>656</v>
      </c>
      <c r="F624" t="s">
        <v>78</v>
      </c>
      <c r="G624" t="s">
        <v>657</v>
      </c>
      <c r="H624" t="s">
        <v>8991</v>
      </c>
      <c r="I624">
        <v>1.9289396985893941E-5</v>
      </c>
      <c r="J624">
        <v>1088681</v>
      </c>
      <c r="K624">
        <v>5.8805410097728993E-5</v>
      </c>
      <c r="L624">
        <v>357110</v>
      </c>
      <c r="M624">
        <v>21</v>
      </c>
      <c r="O624">
        <v>62</v>
      </c>
    </row>
    <row r="625" spans="1:15" x14ac:dyDescent="0.25">
      <c r="A625" t="s">
        <v>564</v>
      </c>
      <c r="B625" t="s">
        <v>28</v>
      </c>
      <c r="C625" t="s">
        <v>146</v>
      </c>
      <c r="D625" t="s">
        <v>76</v>
      </c>
      <c r="E625" t="s">
        <v>8399</v>
      </c>
      <c r="F625" t="s">
        <v>78</v>
      </c>
      <c r="G625" t="s">
        <v>8400</v>
      </c>
      <c r="H625" t="s">
        <v>8979</v>
      </c>
      <c r="I625">
        <v>1.745231155866595E-5</v>
      </c>
      <c r="J625">
        <v>1088681</v>
      </c>
      <c r="K625">
        <v>5.3204894850326231E-5</v>
      </c>
      <c r="L625">
        <v>357110</v>
      </c>
      <c r="M625">
        <v>19</v>
      </c>
      <c r="O625">
        <v>63</v>
      </c>
    </row>
    <row r="626" spans="1:15" x14ac:dyDescent="0.25">
      <c r="A626" t="s">
        <v>564</v>
      </c>
      <c r="B626" t="s">
        <v>28</v>
      </c>
      <c r="C626" t="s">
        <v>146</v>
      </c>
      <c r="D626" t="s">
        <v>76</v>
      </c>
      <c r="E626" t="s">
        <v>654</v>
      </c>
      <c r="F626" t="s">
        <v>8388</v>
      </c>
      <c r="G626" t="s">
        <v>8389</v>
      </c>
      <c r="H626" t="s">
        <v>8995</v>
      </c>
      <c r="I626">
        <v>1.6533768845051951E-5</v>
      </c>
      <c r="J626">
        <v>1088681</v>
      </c>
      <c r="K626">
        <v>5.0404637226624847E-5</v>
      </c>
      <c r="L626">
        <v>357110</v>
      </c>
      <c r="M626">
        <v>18</v>
      </c>
      <c r="O626">
        <v>64</v>
      </c>
    </row>
    <row r="627" spans="1:15" x14ac:dyDescent="0.25">
      <c r="A627" t="s">
        <v>564</v>
      </c>
      <c r="B627" t="s">
        <v>28</v>
      </c>
      <c r="C627" t="s">
        <v>146</v>
      </c>
      <c r="D627" t="s">
        <v>76</v>
      </c>
      <c r="E627" t="s">
        <v>602</v>
      </c>
      <c r="F627" t="s">
        <v>666</v>
      </c>
      <c r="G627" t="s">
        <v>667</v>
      </c>
      <c r="H627" t="s">
        <v>8996</v>
      </c>
      <c r="I627">
        <v>1.4696683417823949E-5</v>
      </c>
      <c r="J627">
        <v>1088681</v>
      </c>
      <c r="K627">
        <v>4.4804121979222092E-5</v>
      </c>
      <c r="L627">
        <v>357110</v>
      </c>
      <c r="M627">
        <v>16</v>
      </c>
      <c r="O627">
        <v>65</v>
      </c>
    </row>
    <row r="628" spans="1:15" x14ac:dyDescent="0.25">
      <c r="A628" t="s">
        <v>564</v>
      </c>
      <c r="B628" t="s">
        <v>28</v>
      </c>
      <c r="C628" t="s">
        <v>146</v>
      </c>
      <c r="D628" t="s">
        <v>76</v>
      </c>
      <c r="E628" t="s">
        <v>674</v>
      </c>
      <c r="F628" t="s">
        <v>78</v>
      </c>
      <c r="G628" t="s">
        <v>675</v>
      </c>
      <c r="H628" t="s">
        <v>8981</v>
      </c>
      <c r="I628">
        <v>1.285959799059596E-5</v>
      </c>
      <c r="J628">
        <v>1088681</v>
      </c>
      <c r="K628">
        <v>3.9203606731819317E-5</v>
      </c>
      <c r="L628">
        <v>357110</v>
      </c>
      <c r="M628">
        <v>14</v>
      </c>
      <c r="N628">
        <v>7.1499999999999994E-2</v>
      </c>
      <c r="O628">
        <v>66</v>
      </c>
    </row>
    <row r="629" spans="1:15" x14ac:dyDescent="0.25">
      <c r="A629" t="s">
        <v>564</v>
      </c>
      <c r="B629" t="s">
        <v>28</v>
      </c>
      <c r="C629" t="s">
        <v>146</v>
      </c>
      <c r="D629" t="s">
        <v>76</v>
      </c>
      <c r="E629" t="s">
        <v>654</v>
      </c>
      <c r="F629" t="s">
        <v>8507</v>
      </c>
      <c r="G629" t="s">
        <v>8508</v>
      </c>
      <c r="H629" t="s">
        <v>8992</v>
      </c>
      <c r="I629">
        <v>6.4297989952979799E-6</v>
      </c>
      <c r="J629">
        <v>1088681</v>
      </c>
      <c r="K629">
        <v>1.9601803365909659E-5</v>
      </c>
      <c r="L629">
        <v>357110</v>
      </c>
      <c r="M629">
        <v>7</v>
      </c>
      <c r="O629">
        <v>67</v>
      </c>
    </row>
    <row r="630" spans="1:15" x14ac:dyDescent="0.25">
      <c r="A630" t="s">
        <v>564</v>
      </c>
      <c r="B630" t="s">
        <v>28</v>
      </c>
      <c r="C630" t="s">
        <v>146</v>
      </c>
      <c r="D630" t="s">
        <v>76</v>
      </c>
      <c r="E630" t="s">
        <v>672</v>
      </c>
      <c r="F630" t="s">
        <v>78</v>
      </c>
      <c r="G630" t="s">
        <v>673</v>
      </c>
      <c r="H630" t="s">
        <v>8983</v>
      </c>
      <c r="I630">
        <v>6.4297989952979799E-6</v>
      </c>
      <c r="J630">
        <v>1088681</v>
      </c>
      <c r="K630">
        <v>1.9601803365909659E-5</v>
      </c>
      <c r="L630">
        <v>357110</v>
      </c>
      <c r="M630">
        <v>7</v>
      </c>
      <c r="O630">
        <v>68</v>
      </c>
    </row>
    <row r="631" spans="1:15" x14ac:dyDescent="0.25">
      <c r="A631" t="s">
        <v>564</v>
      </c>
      <c r="B631" t="s">
        <v>28</v>
      </c>
      <c r="C631" t="s">
        <v>146</v>
      </c>
      <c r="D631" t="s">
        <v>76</v>
      </c>
      <c r="E631" t="s">
        <v>680</v>
      </c>
      <c r="F631" t="s">
        <v>78</v>
      </c>
      <c r="G631" t="s">
        <v>681</v>
      </c>
      <c r="H631" t="s">
        <v>8993</v>
      </c>
      <c r="I631">
        <v>3.674170854455989E-6</v>
      </c>
      <c r="J631">
        <v>1088681</v>
      </c>
      <c r="K631">
        <v>1.120103049480552E-5</v>
      </c>
      <c r="L631">
        <v>357110</v>
      </c>
      <c r="M631">
        <v>4</v>
      </c>
      <c r="O631">
        <v>69</v>
      </c>
    </row>
    <row r="632" spans="1:15" x14ac:dyDescent="0.25">
      <c r="A632" t="s">
        <v>564</v>
      </c>
      <c r="B632" t="s">
        <v>28</v>
      </c>
      <c r="C632" t="s">
        <v>146</v>
      </c>
      <c r="D632" t="s">
        <v>76</v>
      </c>
      <c r="E632" t="s">
        <v>654</v>
      </c>
      <c r="F632" t="s">
        <v>8471</v>
      </c>
      <c r="G632" t="s">
        <v>8472</v>
      </c>
      <c r="H632" t="s">
        <v>8994</v>
      </c>
      <c r="I632">
        <v>2.7556281408419909E-6</v>
      </c>
      <c r="J632">
        <v>1088681</v>
      </c>
      <c r="K632">
        <v>8.4007728711041423E-6</v>
      </c>
      <c r="L632">
        <v>357110</v>
      </c>
      <c r="M632">
        <v>3</v>
      </c>
      <c r="O632">
        <v>70</v>
      </c>
    </row>
    <row r="633" spans="1:15" x14ac:dyDescent="0.25">
      <c r="A633" t="s">
        <v>564</v>
      </c>
      <c r="B633" t="s">
        <v>28</v>
      </c>
      <c r="C633" t="s">
        <v>146</v>
      </c>
      <c r="D633" t="s">
        <v>76</v>
      </c>
      <c r="E633" t="s">
        <v>81</v>
      </c>
      <c r="F633" t="s">
        <v>851</v>
      </c>
      <c r="G633" t="s">
        <v>852</v>
      </c>
      <c r="H633" t="s">
        <v>8985</v>
      </c>
      <c r="I633">
        <v>9.1854271361399715E-7</v>
      </c>
      <c r="J633">
        <v>1088681</v>
      </c>
      <c r="K633">
        <v>2.8002576237013799E-6</v>
      </c>
      <c r="L633">
        <v>357110</v>
      </c>
      <c r="M633">
        <v>1</v>
      </c>
      <c r="O633">
        <v>71</v>
      </c>
    </row>
    <row r="634" spans="1:15" x14ac:dyDescent="0.25">
      <c r="A634" t="s">
        <v>564</v>
      </c>
      <c r="B634" t="s">
        <v>28</v>
      </c>
      <c r="C634" t="s">
        <v>146</v>
      </c>
      <c r="D634" t="s">
        <v>76</v>
      </c>
      <c r="E634" t="s">
        <v>596</v>
      </c>
      <c r="F634" t="s">
        <v>78</v>
      </c>
      <c r="G634" t="s">
        <v>597</v>
      </c>
      <c r="H634" t="s">
        <v>8987</v>
      </c>
      <c r="I634">
        <v>9.1854271361399715E-7</v>
      </c>
      <c r="J634">
        <v>1088681</v>
      </c>
      <c r="K634">
        <v>2.8002576237013799E-6</v>
      </c>
      <c r="L634">
        <v>357110</v>
      </c>
      <c r="M634">
        <v>1</v>
      </c>
      <c r="O634">
        <v>72</v>
      </c>
    </row>
    <row r="635" spans="1:15" x14ac:dyDescent="0.25">
      <c r="A635" t="s">
        <v>564</v>
      </c>
      <c r="B635" t="s">
        <v>28</v>
      </c>
      <c r="C635" t="s">
        <v>146</v>
      </c>
      <c r="D635" t="s">
        <v>76</v>
      </c>
      <c r="E635" t="s">
        <v>1000</v>
      </c>
      <c r="F635" t="s">
        <v>78</v>
      </c>
      <c r="G635" t="s">
        <v>1001</v>
      </c>
      <c r="H635" t="s">
        <v>9000</v>
      </c>
      <c r="I635">
        <v>9.1854271361399715E-7</v>
      </c>
      <c r="J635">
        <v>1088681</v>
      </c>
      <c r="K635">
        <v>2.8002576237013799E-6</v>
      </c>
      <c r="L635">
        <v>357110</v>
      </c>
      <c r="M635">
        <v>1</v>
      </c>
      <c r="O635">
        <v>73</v>
      </c>
    </row>
    <row r="636" spans="1:15" x14ac:dyDescent="0.25">
      <c r="A636" t="s">
        <v>564</v>
      </c>
      <c r="B636" t="s">
        <v>28</v>
      </c>
      <c r="C636" t="s">
        <v>146</v>
      </c>
      <c r="D636" t="s">
        <v>76</v>
      </c>
      <c r="E636" t="s">
        <v>602</v>
      </c>
      <c r="F636" t="s">
        <v>867</v>
      </c>
      <c r="G636" t="s">
        <v>868</v>
      </c>
      <c r="H636" t="s">
        <v>9070</v>
      </c>
      <c r="J636">
        <v>1088681</v>
      </c>
      <c r="L636">
        <v>357110</v>
      </c>
      <c r="O636">
        <v>74</v>
      </c>
    </row>
    <row r="637" spans="1:15" x14ac:dyDescent="0.25">
      <c r="A637" t="s">
        <v>564</v>
      </c>
      <c r="B637" t="s">
        <v>28</v>
      </c>
      <c r="C637" t="s">
        <v>146</v>
      </c>
      <c r="D637" t="s">
        <v>76</v>
      </c>
      <c r="E637" t="s">
        <v>602</v>
      </c>
      <c r="F637" t="s">
        <v>864</v>
      </c>
      <c r="G637" t="s">
        <v>865</v>
      </c>
      <c r="H637" t="s">
        <v>9073</v>
      </c>
      <c r="J637">
        <v>1088681</v>
      </c>
      <c r="L637">
        <v>357110</v>
      </c>
      <c r="O637">
        <v>75</v>
      </c>
    </row>
    <row r="638" spans="1:15" x14ac:dyDescent="0.25">
      <c r="A638" t="s">
        <v>564</v>
      </c>
      <c r="B638" t="s">
        <v>28</v>
      </c>
      <c r="C638" t="s">
        <v>146</v>
      </c>
      <c r="D638" t="s">
        <v>76</v>
      </c>
      <c r="E638" t="s">
        <v>602</v>
      </c>
      <c r="F638" t="s">
        <v>854</v>
      </c>
      <c r="G638" t="s">
        <v>855</v>
      </c>
      <c r="H638" t="s">
        <v>9077</v>
      </c>
      <c r="J638">
        <v>1088681</v>
      </c>
      <c r="L638">
        <v>357110</v>
      </c>
      <c r="O638">
        <v>76</v>
      </c>
    </row>
    <row r="639" spans="1:15" x14ac:dyDescent="0.25">
      <c r="A639" t="s">
        <v>564</v>
      </c>
      <c r="B639" t="s">
        <v>28</v>
      </c>
      <c r="C639" t="s">
        <v>146</v>
      </c>
      <c r="D639" t="s">
        <v>76</v>
      </c>
      <c r="E639" t="s">
        <v>602</v>
      </c>
      <c r="F639" t="s">
        <v>1099</v>
      </c>
      <c r="G639" t="s">
        <v>1100</v>
      </c>
      <c r="H639" t="s">
        <v>9074</v>
      </c>
      <c r="J639">
        <v>1088681</v>
      </c>
      <c r="L639">
        <v>357110</v>
      </c>
      <c r="O639">
        <v>77</v>
      </c>
    </row>
    <row r="640" spans="1:15" x14ac:dyDescent="0.25">
      <c r="A640" t="s">
        <v>564</v>
      </c>
      <c r="B640" t="s">
        <v>28</v>
      </c>
      <c r="C640" t="s">
        <v>146</v>
      </c>
      <c r="D640" t="s">
        <v>76</v>
      </c>
      <c r="E640" t="s">
        <v>602</v>
      </c>
      <c r="F640" t="s">
        <v>1090</v>
      </c>
      <c r="G640" t="s">
        <v>1091</v>
      </c>
      <c r="H640" t="s">
        <v>9075</v>
      </c>
      <c r="J640">
        <v>1088681</v>
      </c>
      <c r="L640">
        <v>357110</v>
      </c>
      <c r="O640">
        <v>78</v>
      </c>
    </row>
    <row r="641" spans="1:15" x14ac:dyDescent="0.25">
      <c r="A641" t="s">
        <v>564</v>
      </c>
      <c r="B641" t="s">
        <v>28</v>
      </c>
      <c r="C641" t="s">
        <v>146</v>
      </c>
      <c r="D641" t="s">
        <v>76</v>
      </c>
      <c r="E641" t="s">
        <v>602</v>
      </c>
      <c r="F641" t="s">
        <v>1087</v>
      </c>
      <c r="G641" t="s">
        <v>1088</v>
      </c>
      <c r="H641" t="s">
        <v>9071</v>
      </c>
      <c r="J641">
        <v>1088681</v>
      </c>
      <c r="L641">
        <v>357110</v>
      </c>
      <c r="O641">
        <v>79</v>
      </c>
    </row>
    <row r="642" spans="1:15" x14ac:dyDescent="0.25">
      <c r="A642" t="s">
        <v>564</v>
      </c>
      <c r="B642" t="s">
        <v>28</v>
      </c>
      <c r="C642" t="s">
        <v>146</v>
      </c>
      <c r="D642" t="s">
        <v>76</v>
      </c>
      <c r="E642" t="s">
        <v>654</v>
      </c>
      <c r="F642" t="s">
        <v>8518</v>
      </c>
      <c r="G642" t="s">
        <v>8519</v>
      </c>
      <c r="H642" t="s">
        <v>9024</v>
      </c>
      <c r="J642">
        <v>1088681</v>
      </c>
      <c r="L642">
        <v>357110</v>
      </c>
      <c r="O642">
        <v>80</v>
      </c>
    </row>
    <row r="643" spans="1:15" x14ac:dyDescent="0.25">
      <c r="A643" t="s">
        <v>564</v>
      </c>
      <c r="B643" t="s">
        <v>28</v>
      </c>
      <c r="C643" t="s">
        <v>146</v>
      </c>
      <c r="D643" t="s">
        <v>76</v>
      </c>
      <c r="E643" t="s">
        <v>654</v>
      </c>
      <c r="F643" t="s">
        <v>8465</v>
      </c>
      <c r="G643" t="s">
        <v>8466</v>
      </c>
      <c r="H643" t="s">
        <v>9023</v>
      </c>
      <c r="J643">
        <v>1088681</v>
      </c>
      <c r="L643">
        <v>357110</v>
      </c>
      <c r="O643">
        <v>81</v>
      </c>
    </row>
    <row r="644" spans="1:15" x14ac:dyDescent="0.25">
      <c r="A644" t="s">
        <v>564</v>
      </c>
      <c r="B644" t="s">
        <v>28</v>
      </c>
      <c r="C644" t="s">
        <v>146</v>
      </c>
      <c r="D644" t="s">
        <v>76</v>
      </c>
      <c r="E644" t="s">
        <v>886</v>
      </c>
      <c r="F644" t="s">
        <v>8512</v>
      </c>
      <c r="G644" t="s">
        <v>8513</v>
      </c>
      <c r="H644" t="s">
        <v>8997</v>
      </c>
      <c r="J644">
        <v>1088681</v>
      </c>
      <c r="L644">
        <v>357110</v>
      </c>
      <c r="O644">
        <v>82</v>
      </c>
    </row>
    <row r="645" spans="1:15" x14ac:dyDescent="0.25">
      <c r="A645" t="s">
        <v>564</v>
      </c>
      <c r="B645" t="s">
        <v>28</v>
      </c>
      <c r="C645" t="s">
        <v>146</v>
      </c>
      <c r="D645" t="s">
        <v>76</v>
      </c>
      <c r="E645" t="s">
        <v>886</v>
      </c>
      <c r="F645" t="s">
        <v>8495</v>
      </c>
      <c r="G645" t="s">
        <v>8496</v>
      </c>
      <c r="H645" t="s">
        <v>9015</v>
      </c>
      <c r="J645">
        <v>1088681</v>
      </c>
      <c r="L645">
        <v>357110</v>
      </c>
      <c r="O645">
        <v>83</v>
      </c>
    </row>
    <row r="646" spans="1:15" x14ac:dyDescent="0.25">
      <c r="A646" t="s">
        <v>564</v>
      </c>
      <c r="B646" t="s">
        <v>28</v>
      </c>
      <c r="C646" t="s">
        <v>146</v>
      </c>
      <c r="D646" t="s">
        <v>76</v>
      </c>
      <c r="E646" t="s">
        <v>886</v>
      </c>
      <c r="F646" t="s">
        <v>8504</v>
      </c>
      <c r="G646" t="s">
        <v>8505</v>
      </c>
      <c r="H646" t="s">
        <v>8970</v>
      </c>
      <c r="J646">
        <v>1088681</v>
      </c>
      <c r="L646">
        <v>357110</v>
      </c>
      <c r="O646">
        <v>84</v>
      </c>
    </row>
    <row r="647" spans="1:15" x14ac:dyDescent="0.25">
      <c r="A647" t="s">
        <v>564</v>
      </c>
      <c r="B647" t="s">
        <v>28</v>
      </c>
      <c r="C647" t="s">
        <v>146</v>
      </c>
      <c r="D647" t="s">
        <v>76</v>
      </c>
      <c r="E647" t="s">
        <v>686</v>
      </c>
      <c r="F647" t="s">
        <v>1084</v>
      </c>
      <c r="G647" t="s">
        <v>1085</v>
      </c>
      <c r="H647" t="s">
        <v>9086</v>
      </c>
      <c r="J647">
        <v>1088681</v>
      </c>
      <c r="L647">
        <v>357110</v>
      </c>
      <c r="O647">
        <v>85</v>
      </c>
    </row>
    <row r="648" spans="1:15" x14ac:dyDescent="0.25">
      <c r="A648" t="s">
        <v>564</v>
      </c>
      <c r="B648" t="s">
        <v>28</v>
      </c>
      <c r="C648" t="s">
        <v>146</v>
      </c>
      <c r="D648" t="s">
        <v>76</v>
      </c>
      <c r="E648" t="s">
        <v>686</v>
      </c>
      <c r="F648" t="s">
        <v>1069</v>
      </c>
      <c r="G648" t="s">
        <v>1070</v>
      </c>
      <c r="H648" t="s">
        <v>9014</v>
      </c>
      <c r="J648">
        <v>1088681</v>
      </c>
      <c r="L648">
        <v>357110</v>
      </c>
      <c r="O648">
        <v>86</v>
      </c>
    </row>
    <row r="649" spans="1:15" x14ac:dyDescent="0.25">
      <c r="A649" t="s">
        <v>564</v>
      </c>
      <c r="B649" t="s">
        <v>28</v>
      </c>
      <c r="C649" t="s">
        <v>146</v>
      </c>
      <c r="D649" t="s">
        <v>76</v>
      </c>
      <c r="E649" t="s">
        <v>686</v>
      </c>
      <c r="F649" t="s">
        <v>1063</v>
      </c>
      <c r="G649" t="s">
        <v>1064</v>
      </c>
      <c r="H649" t="s">
        <v>9013</v>
      </c>
      <c r="J649">
        <v>1088681</v>
      </c>
      <c r="L649">
        <v>357110</v>
      </c>
      <c r="O649">
        <v>87</v>
      </c>
    </row>
    <row r="650" spans="1:15" x14ac:dyDescent="0.25">
      <c r="A650" t="s">
        <v>564</v>
      </c>
      <c r="B650" t="s">
        <v>28</v>
      </c>
      <c r="C650" t="s">
        <v>146</v>
      </c>
      <c r="D650" t="s">
        <v>76</v>
      </c>
      <c r="E650" t="s">
        <v>686</v>
      </c>
      <c r="F650" t="s">
        <v>1045</v>
      </c>
      <c r="G650" t="s">
        <v>1046</v>
      </c>
      <c r="H650" t="s">
        <v>9006</v>
      </c>
      <c r="J650">
        <v>1088681</v>
      </c>
      <c r="L650">
        <v>357110</v>
      </c>
      <c r="O650">
        <v>88</v>
      </c>
    </row>
    <row r="651" spans="1:15" x14ac:dyDescent="0.25">
      <c r="A651" t="s">
        <v>564</v>
      </c>
      <c r="B651" t="s">
        <v>28</v>
      </c>
      <c r="C651" t="s">
        <v>146</v>
      </c>
      <c r="D651" t="s">
        <v>76</v>
      </c>
      <c r="E651" t="s">
        <v>686</v>
      </c>
      <c r="F651" t="s">
        <v>1039</v>
      </c>
      <c r="G651" t="s">
        <v>1040</v>
      </c>
      <c r="H651" t="s">
        <v>9084</v>
      </c>
      <c r="J651">
        <v>1088681</v>
      </c>
      <c r="L651">
        <v>357110</v>
      </c>
      <c r="O651">
        <v>89</v>
      </c>
    </row>
    <row r="652" spans="1:15" x14ac:dyDescent="0.25">
      <c r="A652" t="s">
        <v>564</v>
      </c>
      <c r="B652" t="s">
        <v>28</v>
      </c>
      <c r="C652" t="s">
        <v>146</v>
      </c>
      <c r="D652" t="s">
        <v>76</v>
      </c>
      <c r="E652" t="s">
        <v>686</v>
      </c>
      <c r="F652" t="s">
        <v>1036</v>
      </c>
      <c r="G652" t="s">
        <v>1037</v>
      </c>
      <c r="H652" t="s">
        <v>9004</v>
      </c>
      <c r="J652">
        <v>1088681</v>
      </c>
      <c r="L652">
        <v>357110</v>
      </c>
      <c r="O652">
        <v>90</v>
      </c>
    </row>
    <row r="653" spans="1:15" x14ac:dyDescent="0.25">
      <c r="A653" t="s">
        <v>564</v>
      </c>
      <c r="B653" t="s">
        <v>28</v>
      </c>
      <c r="C653" t="s">
        <v>146</v>
      </c>
      <c r="D653" t="s">
        <v>76</v>
      </c>
      <c r="E653" t="s">
        <v>686</v>
      </c>
      <c r="F653" t="s">
        <v>1024</v>
      </c>
      <c r="G653" t="s">
        <v>1025</v>
      </c>
      <c r="H653" t="s">
        <v>9007</v>
      </c>
      <c r="J653">
        <v>1088681</v>
      </c>
      <c r="L653">
        <v>357110</v>
      </c>
      <c r="O653">
        <v>91</v>
      </c>
    </row>
    <row r="654" spans="1:15" x14ac:dyDescent="0.25">
      <c r="A654" t="s">
        <v>564</v>
      </c>
      <c r="B654" t="s">
        <v>28</v>
      </c>
      <c r="C654" t="s">
        <v>146</v>
      </c>
      <c r="D654" t="s">
        <v>76</v>
      </c>
      <c r="E654" t="s">
        <v>686</v>
      </c>
      <c r="F654" t="s">
        <v>1021</v>
      </c>
      <c r="G654" t="s">
        <v>1022</v>
      </c>
      <c r="H654" t="s">
        <v>9081</v>
      </c>
      <c r="J654">
        <v>1088681</v>
      </c>
      <c r="L654">
        <v>357110</v>
      </c>
      <c r="O654">
        <v>92</v>
      </c>
    </row>
    <row r="655" spans="1:15" x14ac:dyDescent="0.25">
      <c r="A655" t="s">
        <v>564</v>
      </c>
      <c r="B655" t="s">
        <v>28</v>
      </c>
      <c r="C655" t="s">
        <v>146</v>
      </c>
      <c r="D655" t="s">
        <v>76</v>
      </c>
      <c r="E655" t="s">
        <v>686</v>
      </c>
      <c r="F655" t="s">
        <v>1012</v>
      </c>
      <c r="G655" t="s">
        <v>1013</v>
      </c>
      <c r="H655" t="s">
        <v>9005</v>
      </c>
      <c r="J655">
        <v>1088681</v>
      </c>
      <c r="L655">
        <v>357110</v>
      </c>
      <c r="O655">
        <v>93</v>
      </c>
    </row>
    <row r="656" spans="1:15" x14ac:dyDescent="0.25">
      <c r="A656" t="s">
        <v>564</v>
      </c>
      <c r="B656" t="s">
        <v>28</v>
      </c>
      <c r="C656" t="s">
        <v>146</v>
      </c>
      <c r="D656" t="s">
        <v>76</v>
      </c>
      <c r="E656" t="s">
        <v>686</v>
      </c>
      <c r="F656" t="s">
        <v>1009</v>
      </c>
      <c r="G656" t="s">
        <v>1010</v>
      </c>
      <c r="H656" t="s">
        <v>9011</v>
      </c>
      <c r="J656">
        <v>1088681</v>
      </c>
      <c r="L656">
        <v>357110</v>
      </c>
      <c r="O656">
        <v>94</v>
      </c>
    </row>
    <row r="657" spans="1:15" x14ac:dyDescent="0.25">
      <c r="A657" t="s">
        <v>564</v>
      </c>
      <c r="B657" t="s">
        <v>28</v>
      </c>
      <c r="C657" t="s">
        <v>146</v>
      </c>
      <c r="D657" t="s">
        <v>76</v>
      </c>
      <c r="E657" t="s">
        <v>686</v>
      </c>
      <c r="F657" t="s">
        <v>1006</v>
      </c>
      <c r="G657" t="s">
        <v>1007</v>
      </c>
      <c r="H657" t="s">
        <v>9010</v>
      </c>
      <c r="J657">
        <v>1088681</v>
      </c>
      <c r="L657">
        <v>357110</v>
      </c>
      <c r="O657">
        <v>95</v>
      </c>
    </row>
    <row r="658" spans="1:15" x14ac:dyDescent="0.25">
      <c r="A658" t="s">
        <v>564</v>
      </c>
      <c r="B658" t="s">
        <v>28</v>
      </c>
      <c r="C658" t="s">
        <v>146</v>
      </c>
      <c r="D658" t="s">
        <v>76</v>
      </c>
      <c r="E658" t="s">
        <v>686</v>
      </c>
      <c r="F658" t="s">
        <v>991</v>
      </c>
      <c r="G658" t="s">
        <v>992</v>
      </c>
      <c r="H658" t="s">
        <v>9009</v>
      </c>
      <c r="J658">
        <v>1088681</v>
      </c>
      <c r="L658">
        <v>357110</v>
      </c>
      <c r="O658">
        <v>96</v>
      </c>
    </row>
    <row r="659" spans="1:15" x14ac:dyDescent="0.25">
      <c r="A659" t="s">
        <v>564</v>
      </c>
      <c r="B659" t="s">
        <v>28</v>
      </c>
      <c r="C659" t="s">
        <v>146</v>
      </c>
      <c r="D659" t="s">
        <v>76</v>
      </c>
      <c r="E659" t="s">
        <v>686</v>
      </c>
      <c r="F659" t="s">
        <v>958</v>
      </c>
      <c r="G659" t="s">
        <v>959</v>
      </c>
      <c r="H659" t="s">
        <v>9083</v>
      </c>
      <c r="J659">
        <v>1088681</v>
      </c>
      <c r="L659">
        <v>357110</v>
      </c>
      <c r="O659">
        <v>97</v>
      </c>
    </row>
    <row r="660" spans="1:15" x14ac:dyDescent="0.25">
      <c r="A660" t="s">
        <v>564</v>
      </c>
      <c r="B660" t="s">
        <v>28</v>
      </c>
      <c r="C660" t="s">
        <v>146</v>
      </c>
      <c r="D660" t="s">
        <v>76</v>
      </c>
      <c r="E660" t="s">
        <v>686</v>
      </c>
      <c r="F660" t="s">
        <v>952</v>
      </c>
      <c r="G660" t="s">
        <v>953</v>
      </c>
      <c r="H660" t="s">
        <v>9002</v>
      </c>
      <c r="J660">
        <v>1088681</v>
      </c>
      <c r="L660">
        <v>357110</v>
      </c>
      <c r="O660">
        <v>98</v>
      </c>
    </row>
    <row r="661" spans="1:15" x14ac:dyDescent="0.25">
      <c r="A661" t="s">
        <v>564</v>
      </c>
      <c r="B661" t="s">
        <v>28</v>
      </c>
      <c r="C661" t="s">
        <v>146</v>
      </c>
      <c r="D661" t="s">
        <v>76</v>
      </c>
      <c r="E661" t="s">
        <v>686</v>
      </c>
      <c r="F661" t="s">
        <v>940</v>
      </c>
      <c r="G661" t="s">
        <v>941</v>
      </c>
      <c r="H661" t="s">
        <v>9012</v>
      </c>
      <c r="J661">
        <v>1088681</v>
      </c>
      <c r="L661">
        <v>357110</v>
      </c>
      <c r="O661">
        <v>99</v>
      </c>
    </row>
    <row r="662" spans="1:15" x14ac:dyDescent="0.25">
      <c r="A662" t="s">
        <v>564</v>
      </c>
      <c r="B662" t="s">
        <v>28</v>
      </c>
      <c r="C662" t="s">
        <v>146</v>
      </c>
      <c r="D662" t="s">
        <v>76</v>
      </c>
      <c r="E662" t="s">
        <v>686</v>
      </c>
      <c r="F662" t="s">
        <v>937</v>
      </c>
      <c r="G662" t="s">
        <v>938</v>
      </c>
      <c r="H662" t="s">
        <v>9085</v>
      </c>
      <c r="J662">
        <v>1088681</v>
      </c>
      <c r="L662">
        <v>357110</v>
      </c>
      <c r="O662">
        <v>100</v>
      </c>
    </row>
    <row r="663" spans="1:15" x14ac:dyDescent="0.25">
      <c r="A663" t="s">
        <v>564</v>
      </c>
      <c r="B663" t="s">
        <v>28</v>
      </c>
      <c r="C663" t="s">
        <v>146</v>
      </c>
      <c r="D663" t="s">
        <v>76</v>
      </c>
      <c r="E663" t="s">
        <v>686</v>
      </c>
      <c r="F663" t="s">
        <v>934</v>
      </c>
      <c r="G663" t="s">
        <v>935</v>
      </c>
      <c r="H663" t="s">
        <v>9003</v>
      </c>
      <c r="J663">
        <v>1088681</v>
      </c>
      <c r="L663">
        <v>357110</v>
      </c>
      <c r="O663">
        <v>101</v>
      </c>
    </row>
    <row r="664" spans="1:15" x14ac:dyDescent="0.25">
      <c r="A664" t="s">
        <v>564</v>
      </c>
      <c r="B664" t="s">
        <v>28</v>
      </c>
      <c r="C664" t="s">
        <v>146</v>
      </c>
      <c r="D664" t="s">
        <v>76</v>
      </c>
      <c r="E664" t="s">
        <v>686</v>
      </c>
      <c r="F664" t="s">
        <v>924</v>
      </c>
      <c r="G664" t="s">
        <v>925</v>
      </c>
      <c r="H664" t="s">
        <v>9082</v>
      </c>
      <c r="J664">
        <v>1088681</v>
      </c>
      <c r="L664">
        <v>357110</v>
      </c>
      <c r="O664">
        <v>102</v>
      </c>
    </row>
    <row r="665" spans="1:15" x14ac:dyDescent="0.25">
      <c r="A665" t="s">
        <v>564</v>
      </c>
      <c r="B665" t="s">
        <v>28</v>
      </c>
      <c r="C665" t="s">
        <v>146</v>
      </c>
      <c r="D665" t="s">
        <v>76</v>
      </c>
      <c r="E665" t="s">
        <v>686</v>
      </c>
      <c r="F665" t="s">
        <v>921</v>
      </c>
      <c r="G665" t="s">
        <v>922</v>
      </c>
      <c r="H665" t="s">
        <v>9001</v>
      </c>
      <c r="J665">
        <v>1088681</v>
      </c>
      <c r="L665">
        <v>357110</v>
      </c>
      <c r="O665">
        <v>103</v>
      </c>
    </row>
    <row r="666" spans="1:15" x14ac:dyDescent="0.25">
      <c r="A666" t="s">
        <v>564</v>
      </c>
      <c r="B666" t="s">
        <v>28</v>
      </c>
      <c r="C666" t="s">
        <v>146</v>
      </c>
      <c r="D666" t="s">
        <v>76</v>
      </c>
      <c r="E666" t="s">
        <v>686</v>
      </c>
      <c r="F666" t="s">
        <v>915</v>
      </c>
      <c r="G666" t="s">
        <v>916</v>
      </c>
      <c r="H666" t="s">
        <v>9008</v>
      </c>
      <c r="J666">
        <v>1088681</v>
      </c>
      <c r="L666">
        <v>357110</v>
      </c>
      <c r="O666">
        <v>104</v>
      </c>
    </row>
    <row r="667" spans="1:15" x14ac:dyDescent="0.25">
      <c r="A667" t="s">
        <v>564</v>
      </c>
      <c r="B667" t="s">
        <v>28</v>
      </c>
      <c r="C667" t="s">
        <v>146</v>
      </c>
      <c r="D667" t="s">
        <v>76</v>
      </c>
      <c r="E667" t="s">
        <v>686</v>
      </c>
      <c r="F667" t="s">
        <v>909</v>
      </c>
      <c r="G667" t="s">
        <v>910</v>
      </c>
      <c r="H667" t="s">
        <v>9080</v>
      </c>
      <c r="J667">
        <v>1088681</v>
      </c>
      <c r="L667">
        <v>357110</v>
      </c>
      <c r="O667">
        <v>105</v>
      </c>
    </row>
    <row r="668" spans="1:15" x14ac:dyDescent="0.25">
      <c r="A668" t="s">
        <v>564</v>
      </c>
      <c r="B668" t="s">
        <v>28</v>
      </c>
      <c r="C668" t="s">
        <v>146</v>
      </c>
      <c r="D668" t="s">
        <v>76</v>
      </c>
      <c r="E668" t="s">
        <v>686</v>
      </c>
      <c r="F668" t="s">
        <v>894</v>
      </c>
      <c r="G668" t="s">
        <v>895</v>
      </c>
      <c r="H668" t="s">
        <v>9079</v>
      </c>
      <c r="J668">
        <v>1088681</v>
      </c>
      <c r="L668">
        <v>357110</v>
      </c>
      <c r="O668">
        <v>106</v>
      </c>
    </row>
    <row r="669" spans="1:15" x14ac:dyDescent="0.25">
      <c r="A669" t="s">
        <v>564</v>
      </c>
      <c r="B669" t="s">
        <v>28</v>
      </c>
      <c r="C669" t="s">
        <v>146</v>
      </c>
      <c r="D669" t="s">
        <v>76</v>
      </c>
      <c r="E669" t="s">
        <v>897</v>
      </c>
      <c r="F669" t="s">
        <v>78</v>
      </c>
      <c r="G669" t="s">
        <v>898</v>
      </c>
      <c r="H669" t="s">
        <v>9040</v>
      </c>
      <c r="J669">
        <v>1088681</v>
      </c>
      <c r="L669">
        <v>357110</v>
      </c>
      <c r="O669">
        <v>107</v>
      </c>
    </row>
    <row r="670" spans="1:15" x14ac:dyDescent="0.25">
      <c r="A670" t="s">
        <v>564</v>
      </c>
      <c r="B670" t="s">
        <v>28</v>
      </c>
      <c r="C670" t="s">
        <v>146</v>
      </c>
      <c r="D670" t="s">
        <v>76</v>
      </c>
      <c r="E670" t="s">
        <v>900</v>
      </c>
      <c r="F670" t="s">
        <v>78</v>
      </c>
      <c r="G670" t="s">
        <v>901</v>
      </c>
      <c r="H670" t="s">
        <v>9038</v>
      </c>
      <c r="J670">
        <v>1088681</v>
      </c>
      <c r="L670">
        <v>357110</v>
      </c>
      <c r="O670">
        <v>108</v>
      </c>
    </row>
    <row r="671" spans="1:15" x14ac:dyDescent="0.25">
      <c r="A671" t="s">
        <v>564</v>
      </c>
      <c r="B671" t="s">
        <v>28</v>
      </c>
      <c r="C671" t="s">
        <v>146</v>
      </c>
      <c r="D671" t="s">
        <v>76</v>
      </c>
      <c r="E671" t="s">
        <v>903</v>
      </c>
      <c r="F671" t="s">
        <v>78</v>
      </c>
      <c r="G671" t="s">
        <v>904</v>
      </c>
      <c r="H671" t="s">
        <v>9020</v>
      </c>
      <c r="J671">
        <v>1088681</v>
      </c>
      <c r="L671">
        <v>357110</v>
      </c>
      <c r="O671">
        <v>109</v>
      </c>
    </row>
    <row r="672" spans="1:15" x14ac:dyDescent="0.25">
      <c r="A672" t="s">
        <v>564</v>
      </c>
      <c r="B672" t="s">
        <v>28</v>
      </c>
      <c r="C672" t="s">
        <v>146</v>
      </c>
      <c r="D672" t="s">
        <v>76</v>
      </c>
      <c r="E672" t="s">
        <v>906</v>
      </c>
      <c r="F672" t="s">
        <v>78</v>
      </c>
      <c r="G672" t="s">
        <v>907</v>
      </c>
      <c r="H672" t="s">
        <v>9022</v>
      </c>
      <c r="J672">
        <v>1088681</v>
      </c>
      <c r="L672">
        <v>357110</v>
      </c>
      <c r="O672">
        <v>110</v>
      </c>
    </row>
    <row r="673" spans="1:15" x14ac:dyDescent="0.25">
      <c r="A673" t="s">
        <v>564</v>
      </c>
      <c r="B673" t="s">
        <v>28</v>
      </c>
      <c r="C673" t="s">
        <v>146</v>
      </c>
      <c r="D673" t="s">
        <v>76</v>
      </c>
      <c r="E673" t="s">
        <v>912</v>
      </c>
      <c r="F673" t="s">
        <v>78</v>
      </c>
      <c r="G673" t="s">
        <v>913</v>
      </c>
      <c r="H673" t="s">
        <v>9033</v>
      </c>
      <c r="J673">
        <v>1088681</v>
      </c>
      <c r="L673">
        <v>357110</v>
      </c>
      <c r="O673">
        <v>111</v>
      </c>
    </row>
    <row r="674" spans="1:15" x14ac:dyDescent="0.25">
      <c r="A674" t="s">
        <v>564</v>
      </c>
      <c r="B674" t="s">
        <v>28</v>
      </c>
      <c r="C674" t="s">
        <v>146</v>
      </c>
      <c r="D674" t="s">
        <v>76</v>
      </c>
      <c r="E674" t="s">
        <v>918</v>
      </c>
      <c r="F674" t="s">
        <v>78</v>
      </c>
      <c r="G674" t="s">
        <v>919</v>
      </c>
      <c r="H674" t="s">
        <v>9036</v>
      </c>
      <c r="J674">
        <v>1088681</v>
      </c>
      <c r="L674">
        <v>357110</v>
      </c>
      <c r="O674">
        <v>112</v>
      </c>
    </row>
    <row r="675" spans="1:15" x14ac:dyDescent="0.25">
      <c r="A675" t="s">
        <v>564</v>
      </c>
      <c r="B675" t="s">
        <v>28</v>
      </c>
      <c r="C675" t="s">
        <v>146</v>
      </c>
      <c r="D675" t="s">
        <v>76</v>
      </c>
      <c r="E675" t="s">
        <v>927</v>
      </c>
      <c r="F675" t="s">
        <v>78</v>
      </c>
      <c r="G675" t="s">
        <v>928</v>
      </c>
      <c r="H675" t="s">
        <v>9035</v>
      </c>
      <c r="J675">
        <v>1088681</v>
      </c>
      <c r="L675">
        <v>357110</v>
      </c>
      <c r="O675">
        <v>113</v>
      </c>
    </row>
    <row r="676" spans="1:15" x14ac:dyDescent="0.25">
      <c r="A676" t="s">
        <v>564</v>
      </c>
      <c r="B676" t="s">
        <v>28</v>
      </c>
      <c r="C676" t="s">
        <v>146</v>
      </c>
      <c r="D676" t="s">
        <v>76</v>
      </c>
      <c r="E676" t="s">
        <v>690</v>
      </c>
      <c r="F676" t="s">
        <v>78</v>
      </c>
      <c r="G676" t="s">
        <v>691</v>
      </c>
      <c r="H676" t="s">
        <v>9018</v>
      </c>
      <c r="J676">
        <v>1088681</v>
      </c>
      <c r="L676">
        <v>357110</v>
      </c>
      <c r="O676">
        <v>114</v>
      </c>
    </row>
    <row r="677" spans="1:15" x14ac:dyDescent="0.25">
      <c r="A677" t="s">
        <v>564</v>
      </c>
      <c r="B677" t="s">
        <v>28</v>
      </c>
      <c r="C677" t="s">
        <v>146</v>
      </c>
      <c r="D677" t="s">
        <v>76</v>
      </c>
      <c r="E677" t="s">
        <v>931</v>
      </c>
      <c r="F677" t="s">
        <v>78</v>
      </c>
      <c r="G677" t="s">
        <v>932</v>
      </c>
      <c r="H677" t="s">
        <v>9028</v>
      </c>
      <c r="J677">
        <v>1088681</v>
      </c>
      <c r="L677">
        <v>357110</v>
      </c>
      <c r="O677">
        <v>115</v>
      </c>
    </row>
    <row r="678" spans="1:15" x14ac:dyDescent="0.25">
      <c r="A678" t="s">
        <v>564</v>
      </c>
      <c r="B678" t="s">
        <v>28</v>
      </c>
      <c r="C678" t="s">
        <v>146</v>
      </c>
      <c r="D678" t="s">
        <v>76</v>
      </c>
      <c r="E678" t="s">
        <v>943</v>
      </c>
      <c r="F678" t="s">
        <v>78</v>
      </c>
      <c r="G678" t="s">
        <v>944</v>
      </c>
      <c r="H678" t="s">
        <v>9027</v>
      </c>
      <c r="J678">
        <v>1088681</v>
      </c>
      <c r="L678">
        <v>357110</v>
      </c>
      <c r="O678">
        <v>116</v>
      </c>
    </row>
    <row r="679" spans="1:15" x14ac:dyDescent="0.25">
      <c r="A679" t="s">
        <v>564</v>
      </c>
      <c r="B679" t="s">
        <v>28</v>
      </c>
      <c r="C679" t="s">
        <v>146</v>
      </c>
      <c r="D679" t="s">
        <v>76</v>
      </c>
      <c r="E679" t="s">
        <v>946</v>
      </c>
      <c r="F679" t="s">
        <v>78</v>
      </c>
      <c r="G679" t="s">
        <v>947</v>
      </c>
      <c r="H679" t="s">
        <v>9056</v>
      </c>
      <c r="J679">
        <v>1088681</v>
      </c>
      <c r="L679">
        <v>357110</v>
      </c>
      <c r="O679">
        <v>117</v>
      </c>
    </row>
    <row r="680" spans="1:15" x14ac:dyDescent="0.25">
      <c r="A680" t="s">
        <v>564</v>
      </c>
      <c r="B680" t="s">
        <v>28</v>
      </c>
      <c r="C680" t="s">
        <v>146</v>
      </c>
      <c r="D680" t="s">
        <v>76</v>
      </c>
      <c r="E680" t="s">
        <v>949</v>
      </c>
      <c r="F680" t="s">
        <v>78</v>
      </c>
      <c r="G680" t="s">
        <v>950</v>
      </c>
      <c r="H680" t="s">
        <v>9055</v>
      </c>
      <c r="J680">
        <v>1088681</v>
      </c>
      <c r="L680">
        <v>357110</v>
      </c>
      <c r="O680">
        <v>118</v>
      </c>
    </row>
    <row r="681" spans="1:15" x14ac:dyDescent="0.25">
      <c r="A681" t="s">
        <v>564</v>
      </c>
      <c r="B681" t="s">
        <v>28</v>
      </c>
      <c r="C681" t="s">
        <v>146</v>
      </c>
      <c r="D681" t="s">
        <v>76</v>
      </c>
      <c r="E681" t="s">
        <v>955</v>
      </c>
      <c r="F681" t="s">
        <v>78</v>
      </c>
      <c r="G681" t="s">
        <v>956</v>
      </c>
      <c r="H681" t="s">
        <v>9053</v>
      </c>
      <c r="J681">
        <v>1088681</v>
      </c>
      <c r="L681">
        <v>357110</v>
      </c>
      <c r="O681">
        <v>119</v>
      </c>
    </row>
    <row r="682" spans="1:15" x14ac:dyDescent="0.25">
      <c r="A682" t="s">
        <v>564</v>
      </c>
      <c r="B682" t="s">
        <v>28</v>
      </c>
      <c r="C682" t="s">
        <v>146</v>
      </c>
      <c r="D682" t="s">
        <v>76</v>
      </c>
      <c r="E682" t="s">
        <v>961</v>
      </c>
      <c r="F682" t="s">
        <v>78</v>
      </c>
      <c r="G682" t="s">
        <v>962</v>
      </c>
      <c r="H682" t="s">
        <v>9019</v>
      </c>
      <c r="J682">
        <v>1088681</v>
      </c>
      <c r="L682">
        <v>357110</v>
      </c>
      <c r="O682">
        <v>120</v>
      </c>
    </row>
    <row r="683" spans="1:15" x14ac:dyDescent="0.25">
      <c r="A683" t="s">
        <v>564</v>
      </c>
      <c r="B683" t="s">
        <v>28</v>
      </c>
      <c r="C683" t="s">
        <v>146</v>
      </c>
      <c r="D683" t="s">
        <v>76</v>
      </c>
      <c r="E683" t="s">
        <v>964</v>
      </c>
      <c r="F683" t="s">
        <v>78</v>
      </c>
      <c r="G683" t="s">
        <v>965</v>
      </c>
      <c r="H683" t="s">
        <v>9049</v>
      </c>
      <c r="J683">
        <v>1088681</v>
      </c>
      <c r="L683">
        <v>357110</v>
      </c>
      <c r="O683">
        <v>121</v>
      </c>
    </row>
    <row r="684" spans="1:15" x14ac:dyDescent="0.25">
      <c r="A684" t="s">
        <v>564</v>
      </c>
      <c r="B684" t="s">
        <v>28</v>
      </c>
      <c r="C684" t="s">
        <v>146</v>
      </c>
      <c r="D684" t="s">
        <v>76</v>
      </c>
      <c r="E684" t="s">
        <v>967</v>
      </c>
      <c r="F684" t="s">
        <v>78</v>
      </c>
      <c r="G684" t="s">
        <v>968</v>
      </c>
      <c r="H684" t="s">
        <v>9063</v>
      </c>
      <c r="J684">
        <v>1088681</v>
      </c>
      <c r="L684">
        <v>357110</v>
      </c>
      <c r="O684">
        <v>122</v>
      </c>
    </row>
    <row r="685" spans="1:15" x14ac:dyDescent="0.25">
      <c r="A685" t="s">
        <v>564</v>
      </c>
      <c r="B685" t="s">
        <v>28</v>
      </c>
      <c r="C685" t="s">
        <v>146</v>
      </c>
      <c r="D685" t="s">
        <v>76</v>
      </c>
      <c r="E685" t="s">
        <v>970</v>
      </c>
      <c r="F685" t="s">
        <v>78</v>
      </c>
      <c r="G685" t="s">
        <v>971</v>
      </c>
      <c r="H685" t="s">
        <v>9058</v>
      </c>
      <c r="J685">
        <v>1088681</v>
      </c>
      <c r="L685">
        <v>357110</v>
      </c>
      <c r="O685">
        <v>123</v>
      </c>
    </row>
    <row r="686" spans="1:15" x14ac:dyDescent="0.25">
      <c r="A686" t="s">
        <v>564</v>
      </c>
      <c r="B686" t="s">
        <v>28</v>
      </c>
      <c r="C686" t="s">
        <v>146</v>
      </c>
      <c r="D686" t="s">
        <v>76</v>
      </c>
      <c r="E686" t="s">
        <v>973</v>
      </c>
      <c r="F686" t="s">
        <v>78</v>
      </c>
      <c r="G686" t="s">
        <v>974</v>
      </c>
      <c r="H686" t="s">
        <v>9067</v>
      </c>
      <c r="J686">
        <v>1088681</v>
      </c>
      <c r="L686">
        <v>357110</v>
      </c>
      <c r="O686">
        <v>124</v>
      </c>
    </row>
    <row r="687" spans="1:15" x14ac:dyDescent="0.25">
      <c r="A687" t="s">
        <v>564</v>
      </c>
      <c r="B687" t="s">
        <v>28</v>
      </c>
      <c r="C687" t="s">
        <v>146</v>
      </c>
      <c r="D687" t="s">
        <v>76</v>
      </c>
      <c r="E687" t="s">
        <v>976</v>
      </c>
      <c r="F687" t="s">
        <v>78</v>
      </c>
      <c r="G687" t="s">
        <v>977</v>
      </c>
      <c r="H687" t="s">
        <v>9057</v>
      </c>
      <c r="J687">
        <v>1088681</v>
      </c>
      <c r="L687">
        <v>357110</v>
      </c>
      <c r="O687">
        <v>125</v>
      </c>
    </row>
    <row r="688" spans="1:15" x14ac:dyDescent="0.25">
      <c r="A688" t="s">
        <v>564</v>
      </c>
      <c r="B688" t="s">
        <v>28</v>
      </c>
      <c r="C688" t="s">
        <v>146</v>
      </c>
      <c r="D688" t="s">
        <v>76</v>
      </c>
      <c r="E688" t="s">
        <v>979</v>
      </c>
      <c r="F688" t="s">
        <v>78</v>
      </c>
      <c r="G688" t="s">
        <v>980</v>
      </c>
      <c r="H688" t="s">
        <v>9052</v>
      </c>
      <c r="J688">
        <v>1088681</v>
      </c>
      <c r="L688">
        <v>357110</v>
      </c>
      <c r="O688">
        <v>126</v>
      </c>
    </row>
    <row r="689" spans="1:15" x14ac:dyDescent="0.25">
      <c r="A689" t="s">
        <v>564</v>
      </c>
      <c r="B689" t="s">
        <v>28</v>
      </c>
      <c r="C689" t="s">
        <v>146</v>
      </c>
      <c r="D689" t="s">
        <v>76</v>
      </c>
      <c r="E689" t="s">
        <v>982</v>
      </c>
      <c r="F689" t="s">
        <v>78</v>
      </c>
      <c r="G689" t="s">
        <v>983</v>
      </c>
      <c r="H689" t="s">
        <v>9050</v>
      </c>
      <c r="J689">
        <v>1088681</v>
      </c>
      <c r="L689">
        <v>357110</v>
      </c>
      <c r="O689">
        <v>127</v>
      </c>
    </row>
    <row r="690" spans="1:15" x14ac:dyDescent="0.25">
      <c r="A690" t="s">
        <v>564</v>
      </c>
      <c r="B690" t="s">
        <v>28</v>
      </c>
      <c r="C690" t="s">
        <v>146</v>
      </c>
      <c r="D690" t="s">
        <v>76</v>
      </c>
      <c r="E690" t="s">
        <v>985</v>
      </c>
      <c r="F690" t="s">
        <v>78</v>
      </c>
      <c r="G690" t="s">
        <v>986</v>
      </c>
      <c r="H690" t="s">
        <v>9066</v>
      </c>
      <c r="J690">
        <v>1088681</v>
      </c>
      <c r="L690">
        <v>357110</v>
      </c>
      <c r="O690">
        <v>128</v>
      </c>
    </row>
    <row r="691" spans="1:15" x14ac:dyDescent="0.25">
      <c r="A691" t="s">
        <v>564</v>
      </c>
      <c r="B691" t="s">
        <v>28</v>
      </c>
      <c r="C691" t="s">
        <v>146</v>
      </c>
      <c r="D691" t="s">
        <v>76</v>
      </c>
      <c r="E691" t="s">
        <v>988</v>
      </c>
      <c r="F691" t="s">
        <v>78</v>
      </c>
      <c r="G691" t="s">
        <v>989</v>
      </c>
      <c r="H691" t="s">
        <v>9060</v>
      </c>
      <c r="J691">
        <v>1088681</v>
      </c>
      <c r="L691">
        <v>357110</v>
      </c>
      <c r="O691">
        <v>129</v>
      </c>
    </row>
    <row r="692" spans="1:15" x14ac:dyDescent="0.25">
      <c r="A692" t="s">
        <v>564</v>
      </c>
      <c r="B692" t="s">
        <v>28</v>
      </c>
      <c r="C692" t="s">
        <v>146</v>
      </c>
      <c r="D692" t="s">
        <v>76</v>
      </c>
      <c r="E692" t="s">
        <v>994</v>
      </c>
      <c r="F692" t="s">
        <v>78</v>
      </c>
      <c r="G692" t="s">
        <v>995</v>
      </c>
      <c r="H692" t="s">
        <v>9048</v>
      </c>
      <c r="J692">
        <v>1088681</v>
      </c>
      <c r="L692">
        <v>357110</v>
      </c>
      <c r="O692">
        <v>130</v>
      </c>
    </row>
    <row r="693" spans="1:15" x14ac:dyDescent="0.25">
      <c r="A693" t="s">
        <v>564</v>
      </c>
      <c r="B693" t="s">
        <v>28</v>
      </c>
      <c r="C693" t="s">
        <v>146</v>
      </c>
      <c r="D693" t="s">
        <v>76</v>
      </c>
      <c r="E693" t="s">
        <v>997</v>
      </c>
      <c r="F693" t="s">
        <v>78</v>
      </c>
      <c r="G693" t="s">
        <v>998</v>
      </c>
      <c r="H693" t="s">
        <v>9059</v>
      </c>
      <c r="J693">
        <v>1088681</v>
      </c>
      <c r="L693">
        <v>357110</v>
      </c>
      <c r="O693">
        <v>131</v>
      </c>
    </row>
    <row r="694" spans="1:15" x14ac:dyDescent="0.25">
      <c r="A694" t="s">
        <v>564</v>
      </c>
      <c r="B694" t="s">
        <v>28</v>
      </c>
      <c r="C694" t="s">
        <v>146</v>
      </c>
      <c r="D694" t="s">
        <v>76</v>
      </c>
      <c r="E694" t="s">
        <v>1003</v>
      </c>
      <c r="F694" t="s">
        <v>78</v>
      </c>
      <c r="G694" t="s">
        <v>1004</v>
      </c>
      <c r="H694" t="s">
        <v>9065</v>
      </c>
      <c r="J694">
        <v>1088681</v>
      </c>
      <c r="L694">
        <v>357110</v>
      </c>
      <c r="O694">
        <v>132</v>
      </c>
    </row>
    <row r="695" spans="1:15" x14ac:dyDescent="0.25">
      <c r="A695" t="s">
        <v>564</v>
      </c>
      <c r="B695" t="s">
        <v>28</v>
      </c>
      <c r="C695" t="s">
        <v>146</v>
      </c>
      <c r="D695" t="s">
        <v>76</v>
      </c>
      <c r="E695" t="s">
        <v>1015</v>
      </c>
      <c r="F695" t="s">
        <v>78</v>
      </c>
      <c r="G695" t="s">
        <v>1016</v>
      </c>
      <c r="H695" t="s">
        <v>9026</v>
      </c>
      <c r="J695">
        <v>1088681</v>
      </c>
      <c r="L695">
        <v>357110</v>
      </c>
      <c r="O695">
        <v>133</v>
      </c>
    </row>
    <row r="696" spans="1:15" x14ac:dyDescent="0.25">
      <c r="A696" t="s">
        <v>564</v>
      </c>
      <c r="B696" t="s">
        <v>28</v>
      </c>
      <c r="C696" t="s">
        <v>146</v>
      </c>
      <c r="D696" t="s">
        <v>76</v>
      </c>
      <c r="E696" t="s">
        <v>1018</v>
      </c>
      <c r="F696" t="s">
        <v>78</v>
      </c>
      <c r="G696" t="s">
        <v>1019</v>
      </c>
      <c r="H696" t="s">
        <v>9044</v>
      </c>
      <c r="J696">
        <v>1088681</v>
      </c>
      <c r="L696">
        <v>357110</v>
      </c>
      <c r="O696">
        <v>134</v>
      </c>
    </row>
    <row r="697" spans="1:15" x14ac:dyDescent="0.25">
      <c r="A697" t="s">
        <v>564</v>
      </c>
      <c r="B697" t="s">
        <v>28</v>
      </c>
      <c r="C697" t="s">
        <v>146</v>
      </c>
      <c r="D697" t="s">
        <v>76</v>
      </c>
      <c r="E697" t="s">
        <v>692</v>
      </c>
      <c r="F697" t="s">
        <v>78</v>
      </c>
      <c r="G697" t="s">
        <v>693</v>
      </c>
      <c r="H697" t="s">
        <v>8998</v>
      </c>
      <c r="J697">
        <v>1088681</v>
      </c>
      <c r="L697">
        <v>357110</v>
      </c>
      <c r="O697">
        <v>135</v>
      </c>
    </row>
    <row r="698" spans="1:15" x14ac:dyDescent="0.25">
      <c r="A698" t="s">
        <v>564</v>
      </c>
      <c r="B698" t="s">
        <v>28</v>
      </c>
      <c r="C698" t="s">
        <v>146</v>
      </c>
      <c r="D698" t="s">
        <v>76</v>
      </c>
      <c r="E698" t="s">
        <v>1027</v>
      </c>
      <c r="F698" t="s">
        <v>78</v>
      </c>
      <c r="G698" t="s">
        <v>1028</v>
      </c>
      <c r="H698" t="s">
        <v>9062</v>
      </c>
      <c r="J698">
        <v>1088681</v>
      </c>
      <c r="L698">
        <v>357110</v>
      </c>
      <c r="O698">
        <v>136</v>
      </c>
    </row>
    <row r="699" spans="1:15" x14ac:dyDescent="0.25">
      <c r="A699" t="s">
        <v>564</v>
      </c>
      <c r="B699" t="s">
        <v>28</v>
      </c>
      <c r="C699" t="s">
        <v>146</v>
      </c>
      <c r="D699" t="s">
        <v>76</v>
      </c>
      <c r="E699" t="s">
        <v>1030</v>
      </c>
      <c r="F699" t="s">
        <v>78</v>
      </c>
      <c r="G699" t="s">
        <v>1031</v>
      </c>
      <c r="H699" t="s">
        <v>9051</v>
      </c>
      <c r="J699">
        <v>1088681</v>
      </c>
      <c r="L699">
        <v>357110</v>
      </c>
      <c r="O699">
        <v>137</v>
      </c>
    </row>
    <row r="700" spans="1:15" x14ac:dyDescent="0.25">
      <c r="A700" t="s">
        <v>564</v>
      </c>
      <c r="B700" t="s">
        <v>28</v>
      </c>
      <c r="C700" t="s">
        <v>146</v>
      </c>
      <c r="D700" t="s">
        <v>76</v>
      </c>
      <c r="E700" t="s">
        <v>1033</v>
      </c>
      <c r="F700" t="s">
        <v>78</v>
      </c>
      <c r="G700" t="s">
        <v>1034</v>
      </c>
      <c r="H700" t="s">
        <v>9068</v>
      </c>
      <c r="J700">
        <v>1088681</v>
      </c>
      <c r="L700">
        <v>357110</v>
      </c>
      <c r="O700">
        <v>138</v>
      </c>
    </row>
    <row r="701" spans="1:15" x14ac:dyDescent="0.25">
      <c r="A701" t="s">
        <v>564</v>
      </c>
      <c r="B701" t="s">
        <v>28</v>
      </c>
      <c r="C701" t="s">
        <v>146</v>
      </c>
      <c r="D701" t="s">
        <v>76</v>
      </c>
      <c r="E701" t="s">
        <v>1042</v>
      </c>
      <c r="F701" t="s">
        <v>78</v>
      </c>
      <c r="G701" t="s">
        <v>1043</v>
      </c>
      <c r="H701" t="s">
        <v>9045</v>
      </c>
      <c r="J701">
        <v>1088681</v>
      </c>
      <c r="L701">
        <v>357110</v>
      </c>
      <c r="O701">
        <v>139</v>
      </c>
    </row>
    <row r="702" spans="1:15" x14ac:dyDescent="0.25">
      <c r="A702" t="s">
        <v>564</v>
      </c>
      <c r="B702" t="s">
        <v>28</v>
      </c>
      <c r="C702" t="s">
        <v>146</v>
      </c>
      <c r="D702" t="s">
        <v>76</v>
      </c>
      <c r="E702" t="s">
        <v>10855</v>
      </c>
      <c r="F702" t="s">
        <v>78</v>
      </c>
      <c r="G702" t="s">
        <v>10856</v>
      </c>
      <c r="H702" t="s">
        <v>10860</v>
      </c>
      <c r="J702">
        <v>1088681</v>
      </c>
      <c r="L702">
        <v>357110</v>
      </c>
      <c r="O702">
        <v>140</v>
      </c>
    </row>
    <row r="703" spans="1:15" x14ac:dyDescent="0.25">
      <c r="A703" t="s">
        <v>564</v>
      </c>
      <c r="B703" t="s">
        <v>28</v>
      </c>
      <c r="C703" t="s">
        <v>146</v>
      </c>
      <c r="D703" t="s">
        <v>76</v>
      </c>
      <c r="E703" t="s">
        <v>1048</v>
      </c>
      <c r="F703" t="s">
        <v>78</v>
      </c>
      <c r="G703" t="s">
        <v>1049</v>
      </c>
      <c r="H703" t="s">
        <v>9064</v>
      </c>
      <c r="J703">
        <v>1088681</v>
      </c>
      <c r="L703">
        <v>357110</v>
      </c>
      <c r="O703">
        <v>141</v>
      </c>
    </row>
    <row r="704" spans="1:15" x14ac:dyDescent="0.25">
      <c r="A704" t="s">
        <v>564</v>
      </c>
      <c r="B704" t="s">
        <v>28</v>
      </c>
      <c r="C704" t="s">
        <v>146</v>
      </c>
      <c r="D704" t="s">
        <v>76</v>
      </c>
      <c r="E704" t="s">
        <v>1051</v>
      </c>
      <c r="F704" t="s">
        <v>78</v>
      </c>
      <c r="G704" t="s">
        <v>1052</v>
      </c>
      <c r="H704" t="s">
        <v>9061</v>
      </c>
      <c r="J704">
        <v>1088681</v>
      </c>
      <c r="L704">
        <v>357110</v>
      </c>
      <c r="O704">
        <v>142</v>
      </c>
    </row>
    <row r="705" spans="1:15" x14ac:dyDescent="0.25">
      <c r="A705" t="s">
        <v>564</v>
      </c>
      <c r="B705" t="s">
        <v>28</v>
      </c>
      <c r="C705" t="s">
        <v>146</v>
      </c>
      <c r="D705" t="s">
        <v>76</v>
      </c>
      <c r="E705" t="s">
        <v>1054</v>
      </c>
      <c r="F705" t="s">
        <v>78</v>
      </c>
      <c r="G705" t="s">
        <v>1055</v>
      </c>
      <c r="H705" t="s">
        <v>9047</v>
      </c>
      <c r="J705">
        <v>1088681</v>
      </c>
      <c r="L705">
        <v>357110</v>
      </c>
      <c r="O705">
        <v>143</v>
      </c>
    </row>
    <row r="706" spans="1:15" x14ac:dyDescent="0.25">
      <c r="A706" t="s">
        <v>564</v>
      </c>
      <c r="B706" t="s">
        <v>28</v>
      </c>
      <c r="C706" t="s">
        <v>146</v>
      </c>
      <c r="D706" t="s">
        <v>76</v>
      </c>
      <c r="E706" t="s">
        <v>1057</v>
      </c>
      <c r="F706" t="s">
        <v>78</v>
      </c>
      <c r="G706" t="s">
        <v>1058</v>
      </c>
      <c r="H706" t="s">
        <v>9054</v>
      </c>
      <c r="J706">
        <v>1088681</v>
      </c>
      <c r="L706">
        <v>357110</v>
      </c>
      <c r="O706">
        <v>144</v>
      </c>
    </row>
    <row r="707" spans="1:15" x14ac:dyDescent="0.25">
      <c r="A707" t="s">
        <v>564</v>
      </c>
      <c r="B707" t="s">
        <v>28</v>
      </c>
      <c r="C707" t="s">
        <v>146</v>
      </c>
      <c r="D707" t="s">
        <v>76</v>
      </c>
      <c r="E707" t="s">
        <v>1060</v>
      </c>
      <c r="F707" t="s">
        <v>78</v>
      </c>
      <c r="G707" t="s">
        <v>1061</v>
      </c>
      <c r="H707" t="s">
        <v>9046</v>
      </c>
      <c r="J707">
        <v>1088681</v>
      </c>
      <c r="L707">
        <v>357110</v>
      </c>
      <c r="O707">
        <v>145</v>
      </c>
    </row>
    <row r="708" spans="1:15" x14ac:dyDescent="0.25">
      <c r="A708" t="s">
        <v>564</v>
      </c>
      <c r="B708" t="s">
        <v>28</v>
      </c>
      <c r="C708" t="s">
        <v>146</v>
      </c>
      <c r="D708" t="s">
        <v>76</v>
      </c>
      <c r="E708" t="s">
        <v>1066</v>
      </c>
      <c r="F708" t="s">
        <v>78</v>
      </c>
      <c r="G708" t="s">
        <v>1067</v>
      </c>
      <c r="H708" t="s">
        <v>9043</v>
      </c>
      <c r="J708">
        <v>1088681</v>
      </c>
      <c r="L708">
        <v>357110</v>
      </c>
      <c r="O708">
        <v>146</v>
      </c>
    </row>
    <row r="709" spans="1:15" x14ac:dyDescent="0.25">
      <c r="A709" t="s">
        <v>564</v>
      </c>
      <c r="B709" t="s">
        <v>28</v>
      </c>
      <c r="C709" t="s">
        <v>146</v>
      </c>
      <c r="D709" t="s">
        <v>76</v>
      </c>
      <c r="E709" t="s">
        <v>1072</v>
      </c>
      <c r="F709" t="s">
        <v>78</v>
      </c>
      <c r="G709" t="s">
        <v>1073</v>
      </c>
      <c r="H709" t="s">
        <v>9042</v>
      </c>
      <c r="J709">
        <v>1088681</v>
      </c>
      <c r="L709">
        <v>357110</v>
      </c>
      <c r="O709">
        <v>147</v>
      </c>
    </row>
    <row r="710" spans="1:15" x14ac:dyDescent="0.25">
      <c r="A710" t="s">
        <v>564</v>
      </c>
      <c r="B710" t="s">
        <v>28</v>
      </c>
      <c r="C710" t="s">
        <v>146</v>
      </c>
      <c r="D710" t="s">
        <v>76</v>
      </c>
      <c r="E710" t="s">
        <v>1075</v>
      </c>
      <c r="F710" t="s">
        <v>78</v>
      </c>
      <c r="G710" t="s">
        <v>1076</v>
      </c>
      <c r="H710" t="s">
        <v>9041</v>
      </c>
      <c r="J710">
        <v>1088681</v>
      </c>
      <c r="L710">
        <v>357110</v>
      </c>
      <c r="O710">
        <v>148</v>
      </c>
    </row>
    <row r="711" spans="1:15" x14ac:dyDescent="0.25">
      <c r="A711" t="s">
        <v>564</v>
      </c>
      <c r="B711" t="s">
        <v>28</v>
      </c>
      <c r="C711" t="s">
        <v>146</v>
      </c>
      <c r="D711" t="s">
        <v>76</v>
      </c>
      <c r="E711" t="s">
        <v>1078</v>
      </c>
      <c r="F711" t="s">
        <v>78</v>
      </c>
      <c r="G711" t="s">
        <v>1079</v>
      </c>
      <c r="H711" t="s">
        <v>9021</v>
      </c>
      <c r="J711">
        <v>1088681</v>
      </c>
      <c r="L711">
        <v>357110</v>
      </c>
      <c r="O711">
        <v>149</v>
      </c>
    </row>
    <row r="712" spans="1:15" x14ac:dyDescent="0.25">
      <c r="A712" t="s">
        <v>564</v>
      </c>
      <c r="B712" t="s">
        <v>28</v>
      </c>
      <c r="C712" t="s">
        <v>146</v>
      </c>
      <c r="D712" t="s">
        <v>76</v>
      </c>
      <c r="E712" t="s">
        <v>1081</v>
      </c>
      <c r="F712" t="s">
        <v>78</v>
      </c>
      <c r="G712" t="s">
        <v>1082</v>
      </c>
      <c r="H712" t="s">
        <v>9030</v>
      </c>
      <c r="J712">
        <v>1088681</v>
      </c>
      <c r="L712">
        <v>357110</v>
      </c>
      <c r="O712">
        <v>150</v>
      </c>
    </row>
    <row r="713" spans="1:15" x14ac:dyDescent="0.25">
      <c r="A713" t="s">
        <v>564</v>
      </c>
      <c r="B713" t="s">
        <v>28</v>
      </c>
      <c r="C713" t="s">
        <v>146</v>
      </c>
      <c r="D713" t="s">
        <v>76</v>
      </c>
      <c r="E713" t="s">
        <v>1093</v>
      </c>
      <c r="F713" t="s">
        <v>78</v>
      </c>
      <c r="G713" t="s">
        <v>1094</v>
      </c>
      <c r="H713" t="s">
        <v>9029</v>
      </c>
      <c r="J713">
        <v>1088681</v>
      </c>
      <c r="L713">
        <v>357110</v>
      </c>
      <c r="O713">
        <v>151</v>
      </c>
    </row>
    <row r="714" spans="1:15" x14ac:dyDescent="0.25">
      <c r="A714" t="s">
        <v>564</v>
      </c>
      <c r="B714" t="s">
        <v>28</v>
      </c>
      <c r="C714" t="s">
        <v>146</v>
      </c>
      <c r="D714" t="s">
        <v>76</v>
      </c>
      <c r="E714" t="s">
        <v>1096</v>
      </c>
      <c r="F714" t="s">
        <v>78</v>
      </c>
      <c r="G714" t="s">
        <v>1097</v>
      </c>
      <c r="H714" t="s">
        <v>9039</v>
      </c>
      <c r="J714">
        <v>1088681</v>
      </c>
      <c r="L714">
        <v>357110</v>
      </c>
      <c r="O714">
        <v>152</v>
      </c>
    </row>
    <row r="715" spans="1:15" x14ac:dyDescent="0.25">
      <c r="A715" t="s">
        <v>564</v>
      </c>
      <c r="B715" t="s">
        <v>28</v>
      </c>
      <c r="C715" t="s">
        <v>146</v>
      </c>
      <c r="D715" t="s">
        <v>76</v>
      </c>
      <c r="E715" t="s">
        <v>8468</v>
      </c>
      <c r="F715" t="s">
        <v>78</v>
      </c>
      <c r="G715" t="s">
        <v>8469</v>
      </c>
      <c r="H715" t="s">
        <v>9016</v>
      </c>
      <c r="J715">
        <v>1088681</v>
      </c>
      <c r="L715">
        <v>357110</v>
      </c>
      <c r="O715">
        <v>153</v>
      </c>
    </row>
    <row r="716" spans="1:15" x14ac:dyDescent="0.25">
      <c r="A716" t="s">
        <v>564</v>
      </c>
      <c r="B716" t="s">
        <v>28</v>
      </c>
      <c r="C716" t="s">
        <v>146</v>
      </c>
      <c r="D716" t="s">
        <v>76</v>
      </c>
      <c r="E716" t="s">
        <v>688</v>
      </c>
      <c r="F716" t="s">
        <v>78</v>
      </c>
      <c r="G716" t="s">
        <v>689</v>
      </c>
      <c r="H716" t="s">
        <v>9034</v>
      </c>
      <c r="J716">
        <v>1088681</v>
      </c>
      <c r="L716">
        <v>357110</v>
      </c>
      <c r="O716">
        <v>154</v>
      </c>
    </row>
    <row r="717" spans="1:15" x14ac:dyDescent="0.25">
      <c r="A717" t="s">
        <v>564</v>
      </c>
      <c r="B717" t="s">
        <v>28</v>
      </c>
      <c r="C717" t="s">
        <v>146</v>
      </c>
      <c r="D717" t="s">
        <v>76</v>
      </c>
      <c r="E717" t="s">
        <v>858</v>
      </c>
      <c r="F717" t="s">
        <v>78</v>
      </c>
      <c r="G717" t="s">
        <v>859</v>
      </c>
      <c r="H717" t="s">
        <v>9037</v>
      </c>
      <c r="J717">
        <v>1088681</v>
      </c>
      <c r="L717">
        <v>357110</v>
      </c>
      <c r="O717">
        <v>155</v>
      </c>
    </row>
    <row r="718" spans="1:15" x14ac:dyDescent="0.25">
      <c r="A718" t="s">
        <v>564</v>
      </c>
      <c r="B718" t="s">
        <v>28</v>
      </c>
      <c r="C718" t="s">
        <v>146</v>
      </c>
      <c r="D718" t="s">
        <v>76</v>
      </c>
      <c r="E718" t="s">
        <v>861</v>
      </c>
      <c r="F718" t="s">
        <v>78</v>
      </c>
      <c r="G718" t="s">
        <v>862</v>
      </c>
      <c r="H718" t="s">
        <v>9017</v>
      </c>
      <c r="J718">
        <v>1088681</v>
      </c>
      <c r="L718">
        <v>357110</v>
      </c>
      <c r="O718">
        <v>156</v>
      </c>
    </row>
    <row r="719" spans="1:15" x14ac:dyDescent="0.25">
      <c r="A719" t="s">
        <v>564</v>
      </c>
      <c r="B719" t="s">
        <v>28</v>
      </c>
      <c r="C719" t="s">
        <v>146</v>
      </c>
      <c r="D719" t="s">
        <v>76</v>
      </c>
      <c r="E719" t="s">
        <v>873</v>
      </c>
      <c r="F719" t="s">
        <v>78</v>
      </c>
      <c r="G719" t="s">
        <v>874</v>
      </c>
      <c r="H719" t="s">
        <v>9032</v>
      </c>
      <c r="J719">
        <v>1088681</v>
      </c>
      <c r="L719">
        <v>357110</v>
      </c>
      <c r="O719">
        <v>157</v>
      </c>
    </row>
    <row r="720" spans="1:15" x14ac:dyDescent="0.25">
      <c r="A720" t="s">
        <v>564</v>
      </c>
      <c r="B720" t="s">
        <v>28</v>
      </c>
      <c r="C720" t="s">
        <v>146</v>
      </c>
      <c r="D720" t="s">
        <v>76</v>
      </c>
      <c r="E720" t="s">
        <v>694</v>
      </c>
      <c r="F720" t="s">
        <v>78</v>
      </c>
      <c r="G720" t="s">
        <v>695</v>
      </c>
      <c r="H720" t="s">
        <v>9025</v>
      </c>
      <c r="J720">
        <v>1088681</v>
      </c>
      <c r="L720">
        <v>357110</v>
      </c>
      <c r="O720">
        <v>158</v>
      </c>
    </row>
    <row r="721" spans="1:17" x14ac:dyDescent="0.25">
      <c r="A721" t="s">
        <v>564</v>
      </c>
      <c r="B721" t="s">
        <v>28</v>
      </c>
      <c r="C721" t="s">
        <v>146</v>
      </c>
      <c r="D721" t="s">
        <v>76</v>
      </c>
      <c r="E721" t="s">
        <v>886</v>
      </c>
      <c r="F721" t="s">
        <v>78</v>
      </c>
      <c r="G721" t="s">
        <v>887</v>
      </c>
      <c r="H721" t="s">
        <v>8969</v>
      </c>
      <c r="J721">
        <v>1088681</v>
      </c>
      <c r="L721">
        <v>357110</v>
      </c>
      <c r="O721">
        <v>159</v>
      </c>
    </row>
    <row r="722" spans="1:17" x14ac:dyDescent="0.25">
      <c r="A722" t="s">
        <v>564</v>
      </c>
      <c r="B722" t="s">
        <v>28</v>
      </c>
      <c r="C722" t="s">
        <v>146</v>
      </c>
      <c r="D722" t="s">
        <v>76</v>
      </c>
      <c r="E722" t="s">
        <v>684</v>
      </c>
      <c r="F722" t="s">
        <v>78</v>
      </c>
      <c r="G722" t="s">
        <v>685</v>
      </c>
      <c r="H722" t="s">
        <v>8999</v>
      </c>
      <c r="J722">
        <v>1088681</v>
      </c>
      <c r="L722">
        <v>357110</v>
      </c>
      <c r="O722">
        <v>160</v>
      </c>
    </row>
    <row r="723" spans="1:17" x14ac:dyDescent="0.25">
      <c r="A723" t="s">
        <v>564</v>
      </c>
      <c r="B723" t="s">
        <v>28</v>
      </c>
      <c r="C723" t="s">
        <v>146</v>
      </c>
      <c r="D723" t="s">
        <v>76</v>
      </c>
      <c r="E723" t="s">
        <v>890</v>
      </c>
      <c r="F723" t="s">
        <v>78</v>
      </c>
      <c r="G723" t="s">
        <v>891</v>
      </c>
      <c r="H723" t="s">
        <v>9031</v>
      </c>
      <c r="J723">
        <v>1088681</v>
      </c>
      <c r="L723">
        <v>357110</v>
      </c>
      <c r="O723">
        <v>161</v>
      </c>
    </row>
    <row r="724" spans="1:17" x14ac:dyDescent="0.25">
      <c r="A724" t="s">
        <v>564</v>
      </c>
      <c r="B724" t="s">
        <v>28</v>
      </c>
      <c r="C724" t="s">
        <v>146</v>
      </c>
      <c r="D724" t="s">
        <v>76</v>
      </c>
      <c r="E724" t="s">
        <v>686</v>
      </c>
      <c r="F724" t="s">
        <v>78</v>
      </c>
      <c r="G724" t="s">
        <v>687</v>
      </c>
      <c r="H724" t="s">
        <v>9078</v>
      </c>
      <c r="J724">
        <v>1088681</v>
      </c>
      <c r="L724">
        <v>357110</v>
      </c>
      <c r="O724">
        <v>162</v>
      </c>
    </row>
    <row r="725" spans="1:17" x14ac:dyDescent="0.25">
      <c r="A725" t="s">
        <v>564</v>
      </c>
      <c r="B725" t="s">
        <v>28</v>
      </c>
      <c r="C725" t="s">
        <v>146</v>
      </c>
      <c r="D725" t="s">
        <v>76</v>
      </c>
      <c r="E725" t="s">
        <v>634</v>
      </c>
      <c r="F725" t="s">
        <v>883</v>
      </c>
      <c r="G725" t="s">
        <v>884</v>
      </c>
      <c r="H725" t="s">
        <v>9069</v>
      </c>
      <c r="J725">
        <v>1088681</v>
      </c>
      <c r="L725">
        <v>357110</v>
      </c>
      <c r="O725">
        <v>163</v>
      </c>
    </row>
    <row r="726" spans="1:17" x14ac:dyDescent="0.25">
      <c r="A726" t="s">
        <v>564</v>
      </c>
      <c r="B726" t="s">
        <v>28</v>
      </c>
      <c r="C726" t="s">
        <v>146</v>
      </c>
      <c r="D726" t="s">
        <v>76</v>
      </c>
      <c r="E726" t="s">
        <v>634</v>
      </c>
      <c r="F726" t="s">
        <v>880</v>
      </c>
      <c r="G726" t="s">
        <v>881</v>
      </c>
      <c r="H726" t="s">
        <v>8988</v>
      </c>
      <c r="J726">
        <v>1088681</v>
      </c>
      <c r="L726">
        <v>357110</v>
      </c>
      <c r="O726">
        <v>164</v>
      </c>
    </row>
    <row r="727" spans="1:17" x14ac:dyDescent="0.25">
      <c r="A727" t="s">
        <v>564</v>
      </c>
      <c r="B727" t="s">
        <v>28</v>
      </c>
      <c r="C727" t="s">
        <v>146</v>
      </c>
      <c r="D727" t="s">
        <v>76</v>
      </c>
      <c r="E727" t="s">
        <v>602</v>
      </c>
      <c r="F727" t="s">
        <v>876</v>
      </c>
      <c r="G727" t="s">
        <v>877</v>
      </c>
      <c r="H727" t="s">
        <v>9076</v>
      </c>
      <c r="J727">
        <v>1088681</v>
      </c>
      <c r="L727">
        <v>357110</v>
      </c>
      <c r="O727">
        <v>165</v>
      </c>
    </row>
    <row r="728" spans="1:17" x14ac:dyDescent="0.25">
      <c r="A728" t="s">
        <v>564</v>
      </c>
      <c r="B728" t="s">
        <v>28</v>
      </c>
      <c r="C728" t="s">
        <v>146</v>
      </c>
      <c r="D728" t="s">
        <v>76</v>
      </c>
      <c r="E728" t="s">
        <v>602</v>
      </c>
      <c r="F728" t="s">
        <v>870</v>
      </c>
      <c r="G728" t="s">
        <v>871</v>
      </c>
      <c r="H728" t="s">
        <v>9072</v>
      </c>
      <c r="J728">
        <v>1088681</v>
      </c>
      <c r="L728">
        <v>357110</v>
      </c>
      <c r="O728">
        <v>166</v>
      </c>
    </row>
    <row r="729" spans="1:17" x14ac:dyDescent="0.25">
      <c r="A729" t="s">
        <v>564</v>
      </c>
      <c r="B729" t="s">
        <v>28</v>
      </c>
      <c r="C729" t="s">
        <v>146</v>
      </c>
      <c r="D729" t="s">
        <v>59</v>
      </c>
      <c r="E729" t="s">
        <v>78</v>
      </c>
      <c r="F729" t="s">
        <v>78</v>
      </c>
      <c r="G729" t="s">
        <v>696</v>
      </c>
      <c r="H729" t="s">
        <v>9087</v>
      </c>
      <c r="I729">
        <v>0.67197921154130547</v>
      </c>
      <c r="J729">
        <v>1088681</v>
      </c>
      <c r="K729">
        <v>1</v>
      </c>
      <c r="L729">
        <v>731571</v>
      </c>
      <c r="M729">
        <v>731571</v>
      </c>
      <c r="N729">
        <v>2.7000000000000001E-3</v>
      </c>
      <c r="O729">
        <v>1</v>
      </c>
    </row>
    <row r="730" spans="1:17" x14ac:dyDescent="0.25">
      <c r="A730" t="s">
        <v>564</v>
      </c>
      <c r="B730" t="s">
        <v>28</v>
      </c>
      <c r="C730" t="s">
        <v>146</v>
      </c>
      <c r="D730" t="s">
        <v>59</v>
      </c>
      <c r="E730" t="s">
        <v>60</v>
      </c>
      <c r="F730" t="s">
        <v>78</v>
      </c>
      <c r="G730" t="s">
        <v>697</v>
      </c>
      <c r="H730" t="s">
        <v>9088</v>
      </c>
      <c r="I730">
        <v>0.59740732133655317</v>
      </c>
      <c r="J730">
        <v>1088681</v>
      </c>
      <c r="K730">
        <v>0.88902649230218256</v>
      </c>
      <c r="L730">
        <v>731571</v>
      </c>
      <c r="M730">
        <v>650386</v>
      </c>
      <c r="N730">
        <v>2.0999999999999999E-3</v>
      </c>
      <c r="O730">
        <v>2</v>
      </c>
    </row>
    <row r="731" spans="1:17" x14ac:dyDescent="0.25">
      <c r="A731" t="s">
        <v>564</v>
      </c>
      <c r="B731" t="s">
        <v>28</v>
      </c>
      <c r="C731" t="s">
        <v>146</v>
      </c>
      <c r="D731" t="s">
        <v>59</v>
      </c>
      <c r="E731" t="s">
        <v>60</v>
      </c>
      <c r="F731" t="s">
        <v>62</v>
      </c>
      <c r="G731" t="s">
        <v>699</v>
      </c>
      <c r="H731" t="s">
        <v>9090</v>
      </c>
      <c r="I731">
        <v>0.2782826190592102</v>
      </c>
      <c r="J731">
        <v>1088681</v>
      </c>
      <c r="K731">
        <v>0.41412385127349233</v>
      </c>
      <c r="L731">
        <v>731571</v>
      </c>
      <c r="M731">
        <v>302961</v>
      </c>
      <c r="N731">
        <v>1E-4</v>
      </c>
      <c r="O731">
        <v>3</v>
      </c>
      <c r="Q731">
        <v>2</v>
      </c>
    </row>
    <row r="732" spans="1:17" x14ac:dyDescent="0.25">
      <c r="A732" t="s">
        <v>564</v>
      </c>
      <c r="B732" t="s">
        <v>28</v>
      </c>
      <c r="C732" t="s">
        <v>146</v>
      </c>
      <c r="D732" t="s">
        <v>59</v>
      </c>
      <c r="E732" t="s">
        <v>60</v>
      </c>
      <c r="F732" t="s">
        <v>61</v>
      </c>
      <c r="G732" t="s">
        <v>698</v>
      </c>
      <c r="H732" t="s">
        <v>9089</v>
      </c>
      <c r="I732">
        <v>0.2634839774001751</v>
      </c>
      <c r="J732">
        <v>1088681</v>
      </c>
      <c r="K732">
        <v>0.39210138182076648</v>
      </c>
      <c r="L732">
        <v>731571</v>
      </c>
      <c r="M732">
        <v>286850</v>
      </c>
      <c r="N732">
        <v>2.5000000000000001E-3</v>
      </c>
      <c r="O732">
        <v>4</v>
      </c>
      <c r="Q732">
        <v>1</v>
      </c>
    </row>
    <row r="733" spans="1:17" x14ac:dyDescent="0.25">
      <c r="A733" t="s">
        <v>564</v>
      </c>
      <c r="B733" t="s">
        <v>28</v>
      </c>
      <c r="C733" t="s">
        <v>146</v>
      </c>
      <c r="D733" t="s">
        <v>59</v>
      </c>
      <c r="E733" t="s">
        <v>60</v>
      </c>
      <c r="F733" t="s">
        <v>63</v>
      </c>
      <c r="G733" t="s">
        <v>702</v>
      </c>
      <c r="H733" t="s">
        <v>9091</v>
      </c>
      <c r="I733">
        <v>0.14736548171594799</v>
      </c>
      <c r="J733">
        <v>1088681</v>
      </c>
      <c r="K733">
        <v>0.2193006557121592</v>
      </c>
      <c r="L733">
        <v>731571</v>
      </c>
      <c r="M733">
        <v>160434</v>
      </c>
      <c r="N733">
        <v>3.8999999999999998E-3</v>
      </c>
      <c r="O733">
        <v>5</v>
      </c>
      <c r="Q733">
        <v>3</v>
      </c>
    </row>
    <row r="734" spans="1:17" x14ac:dyDescent="0.25">
      <c r="A734" t="s">
        <v>564</v>
      </c>
      <c r="B734" t="s">
        <v>28</v>
      </c>
      <c r="C734" t="s">
        <v>146</v>
      </c>
      <c r="D734" t="s">
        <v>59</v>
      </c>
      <c r="E734" t="s">
        <v>72</v>
      </c>
      <c r="F734" t="s">
        <v>78</v>
      </c>
      <c r="G734" t="s">
        <v>705</v>
      </c>
      <c r="H734" t="s">
        <v>9092</v>
      </c>
      <c r="I734">
        <v>5.2785894123255572E-2</v>
      </c>
      <c r="J734">
        <v>1088681</v>
      </c>
      <c r="K734">
        <v>7.8552867732591916E-2</v>
      </c>
      <c r="L734">
        <v>731571</v>
      </c>
      <c r="M734">
        <v>57467</v>
      </c>
      <c r="N734">
        <v>6.0000000000000001E-3</v>
      </c>
      <c r="O734">
        <v>6</v>
      </c>
    </row>
    <row r="735" spans="1:17" x14ac:dyDescent="0.25">
      <c r="A735" t="s">
        <v>564</v>
      </c>
      <c r="B735" t="s">
        <v>28</v>
      </c>
      <c r="C735" t="s">
        <v>146</v>
      </c>
      <c r="D735" t="s">
        <v>59</v>
      </c>
      <c r="E735" t="s">
        <v>72</v>
      </c>
      <c r="F735" t="s">
        <v>73</v>
      </c>
      <c r="G735" t="s">
        <v>706</v>
      </c>
      <c r="H735" t="s">
        <v>9095</v>
      </c>
      <c r="I735">
        <v>4.703857236417279E-2</v>
      </c>
      <c r="J735">
        <v>1088681</v>
      </c>
      <c r="K735">
        <v>7.0000041007639721E-2</v>
      </c>
      <c r="L735">
        <v>731571</v>
      </c>
      <c r="M735">
        <v>51210</v>
      </c>
      <c r="N735">
        <v>6.7000000000000002E-3</v>
      </c>
      <c r="O735">
        <v>7</v>
      </c>
      <c r="Q735">
        <v>6</v>
      </c>
    </row>
    <row r="736" spans="1:17" x14ac:dyDescent="0.25">
      <c r="A736" t="s">
        <v>564</v>
      </c>
      <c r="B736" t="s">
        <v>28</v>
      </c>
      <c r="C736" t="s">
        <v>146</v>
      </c>
      <c r="D736" t="s">
        <v>59</v>
      </c>
      <c r="E736" t="s">
        <v>64</v>
      </c>
      <c r="F736" t="s">
        <v>78</v>
      </c>
      <c r="G736" t="s">
        <v>703</v>
      </c>
      <c r="H736" t="s">
        <v>9093</v>
      </c>
      <c r="I736">
        <v>3.1234126433730362E-2</v>
      </c>
      <c r="J736">
        <v>1088681</v>
      </c>
      <c r="K736">
        <v>4.6480792705014283E-2</v>
      </c>
      <c r="L736">
        <v>731571</v>
      </c>
      <c r="M736">
        <v>34004</v>
      </c>
      <c r="N736">
        <v>1.4800000000000001E-2</v>
      </c>
      <c r="O736">
        <v>8</v>
      </c>
    </row>
    <row r="737" spans="1:17" x14ac:dyDescent="0.25">
      <c r="A737" t="s">
        <v>564</v>
      </c>
      <c r="B737" t="s">
        <v>28</v>
      </c>
      <c r="C737" t="s">
        <v>146</v>
      </c>
      <c r="D737" t="s">
        <v>59</v>
      </c>
      <c r="E737" t="s">
        <v>64</v>
      </c>
      <c r="F737" t="s">
        <v>65</v>
      </c>
      <c r="G737" t="s">
        <v>704</v>
      </c>
      <c r="H737" t="s">
        <v>9096</v>
      </c>
      <c r="I737">
        <v>3.046989889600351E-2</v>
      </c>
      <c r="J737">
        <v>1088681</v>
      </c>
      <c r="K737">
        <v>4.5343514163355303E-2</v>
      </c>
      <c r="L737">
        <v>731571</v>
      </c>
      <c r="M737">
        <v>33172</v>
      </c>
      <c r="N737">
        <v>1.52E-2</v>
      </c>
      <c r="O737">
        <v>9</v>
      </c>
      <c r="Q737">
        <v>4</v>
      </c>
    </row>
    <row r="738" spans="1:17" x14ac:dyDescent="0.25">
      <c r="A738" t="s">
        <v>564</v>
      </c>
      <c r="B738" t="s">
        <v>28</v>
      </c>
      <c r="C738" t="s">
        <v>146</v>
      </c>
      <c r="D738" t="s">
        <v>59</v>
      </c>
      <c r="E738" t="s">
        <v>68</v>
      </c>
      <c r="F738" t="s">
        <v>78</v>
      </c>
      <c r="G738" t="s">
        <v>700</v>
      </c>
      <c r="H738" t="s">
        <v>9097</v>
      </c>
      <c r="I738">
        <v>2.9373158895948399E-2</v>
      </c>
      <c r="J738">
        <v>1088681</v>
      </c>
      <c r="K738">
        <v>4.3711410102368738E-2</v>
      </c>
      <c r="L738">
        <v>731571</v>
      </c>
      <c r="M738">
        <v>31978</v>
      </c>
      <c r="O738">
        <v>10</v>
      </c>
    </row>
    <row r="739" spans="1:17" x14ac:dyDescent="0.25">
      <c r="A739" t="s">
        <v>564</v>
      </c>
      <c r="B739" t="s">
        <v>28</v>
      </c>
      <c r="C739" t="s">
        <v>146</v>
      </c>
      <c r="D739" t="s">
        <v>59</v>
      </c>
      <c r="E739" t="s">
        <v>68</v>
      </c>
      <c r="F739" t="s">
        <v>69</v>
      </c>
      <c r="G739" t="s">
        <v>701</v>
      </c>
      <c r="H739" t="s">
        <v>9098</v>
      </c>
      <c r="I739">
        <v>2.7181515981265399E-2</v>
      </c>
      <c r="J739">
        <v>1088681</v>
      </c>
      <c r="K739">
        <v>4.0449935823043827E-2</v>
      </c>
      <c r="L739">
        <v>731571</v>
      </c>
      <c r="M739">
        <v>29592</v>
      </c>
      <c r="O739">
        <v>11</v>
      </c>
      <c r="Q739">
        <v>11</v>
      </c>
    </row>
    <row r="740" spans="1:17" x14ac:dyDescent="0.25">
      <c r="A740" t="s">
        <v>564</v>
      </c>
      <c r="B740" t="s">
        <v>28</v>
      </c>
      <c r="C740" t="s">
        <v>146</v>
      </c>
      <c r="D740" t="s">
        <v>59</v>
      </c>
      <c r="E740" t="s">
        <v>72</v>
      </c>
      <c r="F740" t="s">
        <v>74</v>
      </c>
      <c r="G740" t="s">
        <v>708</v>
      </c>
      <c r="H740" t="s">
        <v>9094</v>
      </c>
      <c r="I740">
        <v>5.6830237691298004E-3</v>
      </c>
      <c r="J740">
        <v>1088681</v>
      </c>
      <c r="K740">
        <v>8.4571422322645383E-3</v>
      </c>
      <c r="L740">
        <v>731571</v>
      </c>
      <c r="M740">
        <v>6187</v>
      </c>
      <c r="O740">
        <v>12</v>
      </c>
      <c r="Q740">
        <v>9</v>
      </c>
    </row>
    <row r="741" spans="1:17" x14ac:dyDescent="0.25">
      <c r="A741" t="s">
        <v>564</v>
      </c>
      <c r="B741" t="s">
        <v>28</v>
      </c>
      <c r="C741" t="s">
        <v>146</v>
      </c>
      <c r="D741" t="s">
        <v>59</v>
      </c>
      <c r="E741" t="s">
        <v>68</v>
      </c>
      <c r="F741" t="s">
        <v>70</v>
      </c>
      <c r="G741" t="s">
        <v>707</v>
      </c>
      <c r="H741" t="s">
        <v>9101</v>
      </c>
      <c r="I741">
        <v>2.3294243217250972E-3</v>
      </c>
      <c r="J741">
        <v>1088681</v>
      </c>
      <c r="K741">
        <v>3.4665124779413069E-3</v>
      </c>
      <c r="L741">
        <v>731571</v>
      </c>
      <c r="M741">
        <v>2536</v>
      </c>
      <c r="O741">
        <v>13</v>
      </c>
      <c r="Q741">
        <v>10</v>
      </c>
    </row>
    <row r="742" spans="1:17" x14ac:dyDescent="0.25">
      <c r="A742" t="s">
        <v>564</v>
      </c>
      <c r="B742" t="s">
        <v>28</v>
      </c>
      <c r="C742" t="s">
        <v>146</v>
      </c>
      <c r="D742" t="s">
        <v>59</v>
      </c>
      <c r="E742" t="s">
        <v>64</v>
      </c>
      <c r="F742" t="s">
        <v>8535</v>
      </c>
      <c r="G742" t="s">
        <v>8536</v>
      </c>
      <c r="H742" t="s">
        <v>9102</v>
      </c>
      <c r="I742">
        <v>7.6055336687238964E-4</v>
      </c>
      <c r="J742">
        <v>1088681</v>
      </c>
      <c r="K742">
        <v>1.1318108563625399E-3</v>
      </c>
      <c r="L742">
        <v>731571</v>
      </c>
      <c r="M742">
        <v>828</v>
      </c>
      <c r="O742">
        <v>14</v>
      </c>
    </row>
    <row r="743" spans="1:17" x14ac:dyDescent="0.25">
      <c r="A743" t="s">
        <v>564</v>
      </c>
      <c r="B743" t="s">
        <v>28</v>
      </c>
      <c r="C743" t="s">
        <v>146</v>
      </c>
      <c r="D743" t="s">
        <v>59</v>
      </c>
      <c r="E743" t="s">
        <v>68</v>
      </c>
      <c r="F743" t="s">
        <v>71</v>
      </c>
      <c r="G743" t="s">
        <v>8538</v>
      </c>
      <c r="H743" t="s">
        <v>9107</v>
      </c>
      <c r="I743">
        <v>3.0771180906068911E-4</v>
      </c>
      <c r="J743">
        <v>1088681</v>
      </c>
      <c r="K743">
        <v>4.5791864357663169E-4</v>
      </c>
      <c r="L743">
        <v>731571</v>
      </c>
      <c r="M743">
        <v>335</v>
      </c>
      <c r="O743">
        <v>15</v>
      </c>
    </row>
    <row r="744" spans="1:17" x14ac:dyDescent="0.25">
      <c r="A744" t="s">
        <v>564</v>
      </c>
      <c r="B744" t="s">
        <v>28</v>
      </c>
      <c r="C744" t="s">
        <v>146</v>
      </c>
      <c r="D744" t="s">
        <v>59</v>
      </c>
      <c r="E744" t="s">
        <v>72</v>
      </c>
      <c r="F744" t="s">
        <v>75</v>
      </c>
      <c r="G744" t="s">
        <v>710</v>
      </c>
      <c r="H744" t="s">
        <v>9103</v>
      </c>
      <c r="I744">
        <v>1.0287678392476771E-4</v>
      </c>
      <c r="J744">
        <v>1088681</v>
      </c>
      <c r="K744">
        <v>1.5309518830024699E-4</v>
      </c>
      <c r="L744">
        <v>731571</v>
      </c>
      <c r="M744">
        <v>112</v>
      </c>
      <c r="O744">
        <v>16</v>
      </c>
      <c r="Q744">
        <v>7</v>
      </c>
    </row>
    <row r="745" spans="1:17" x14ac:dyDescent="0.25">
      <c r="A745" t="s">
        <v>564</v>
      </c>
      <c r="B745" t="s">
        <v>28</v>
      </c>
      <c r="C745" t="s">
        <v>146</v>
      </c>
      <c r="D745" t="s">
        <v>59</v>
      </c>
      <c r="E745" t="s">
        <v>64</v>
      </c>
      <c r="F745" t="s">
        <v>8547</v>
      </c>
      <c r="G745" t="s">
        <v>8548</v>
      </c>
      <c r="H745" t="s">
        <v>9104</v>
      </c>
      <c r="I745">
        <v>9.1854271361399715E-7</v>
      </c>
      <c r="J745">
        <v>1088681</v>
      </c>
      <c r="K745">
        <v>1.366921324109348E-6</v>
      </c>
      <c r="L745">
        <v>731571</v>
      </c>
      <c r="M745">
        <v>1</v>
      </c>
      <c r="O745">
        <v>17</v>
      </c>
    </row>
    <row r="746" spans="1:17" x14ac:dyDescent="0.25">
      <c r="A746" t="s">
        <v>564</v>
      </c>
      <c r="B746" t="s">
        <v>28</v>
      </c>
      <c r="C746" t="s">
        <v>146</v>
      </c>
      <c r="D746" t="s">
        <v>59</v>
      </c>
      <c r="E746" t="s">
        <v>72</v>
      </c>
      <c r="F746" t="s">
        <v>352</v>
      </c>
      <c r="G746" t="s">
        <v>1117</v>
      </c>
      <c r="H746" t="s">
        <v>9106</v>
      </c>
      <c r="J746">
        <v>1088681</v>
      </c>
      <c r="L746">
        <v>731571</v>
      </c>
      <c r="O746">
        <v>18</v>
      </c>
      <c r="Q746">
        <v>8</v>
      </c>
    </row>
    <row r="747" spans="1:17" x14ac:dyDescent="0.25">
      <c r="A747" t="s">
        <v>564</v>
      </c>
      <c r="B747" t="s">
        <v>28</v>
      </c>
      <c r="C747" t="s">
        <v>146</v>
      </c>
      <c r="D747" t="s">
        <v>59</v>
      </c>
      <c r="E747" t="s">
        <v>64</v>
      </c>
      <c r="F747" t="s">
        <v>8543</v>
      </c>
      <c r="G747" t="s">
        <v>8544</v>
      </c>
      <c r="H747" t="s">
        <v>9100</v>
      </c>
      <c r="J747">
        <v>1088681</v>
      </c>
      <c r="L747">
        <v>731571</v>
      </c>
      <c r="O747">
        <v>19</v>
      </c>
    </row>
    <row r="748" spans="1:17" x14ac:dyDescent="0.25">
      <c r="A748" t="s">
        <v>564</v>
      </c>
      <c r="B748" t="s">
        <v>28</v>
      </c>
      <c r="C748" t="s">
        <v>146</v>
      </c>
      <c r="D748" t="s">
        <v>59</v>
      </c>
      <c r="E748" t="s">
        <v>64</v>
      </c>
      <c r="F748" t="s">
        <v>470</v>
      </c>
      <c r="G748" t="s">
        <v>8540</v>
      </c>
      <c r="H748" t="s">
        <v>9099</v>
      </c>
      <c r="J748">
        <v>1088681</v>
      </c>
      <c r="L748">
        <v>731571</v>
      </c>
      <c r="O748">
        <v>20</v>
      </c>
    </row>
    <row r="749" spans="1:17" x14ac:dyDescent="0.25">
      <c r="A749" t="s">
        <v>564</v>
      </c>
      <c r="B749" t="s">
        <v>28</v>
      </c>
      <c r="C749" t="s">
        <v>146</v>
      </c>
      <c r="D749" t="s">
        <v>59</v>
      </c>
      <c r="E749" t="s">
        <v>64</v>
      </c>
      <c r="F749" t="s">
        <v>67</v>
      </c>
      <c r="G749" t="s">
        <v>709</v>
      </c>
      <c r="H749" t="s">
        <v>9105</v>
      </c>
      <c r="J749">
        <v>1088681</v>
      </c>
      <c r="L749">
        <v>731571</v>
      </c>
      <c r="O749">
        <v>21</v>
      </c>
      <c r="Q749">
        <v>5</v>
      </c>
    </row>
    <row r="750" spans="1:17" x14ac:dyDescent="0.25">
      <c r="A750" t="s">
        <v>564</v>
      </c>
      <c r="B750" t="s">
        <v>28</v>
      </c>
      <c r="C750" t="s">
        <v>151</v>
      </c>
      <c r="D750" t="s">
        <v>76</v>
      </c>
      <c r="E750" t="s">
        <v>78</v>
      </c>
      <c r="F750" t="s">
        <v>78</v>
      </c>
      <c r="G750" t="s">
        <v>575</v>
      </c>
      <c r="H750" t="s">
        <v>9108</v>
      </c>
      <c r="I750">
        <v>0.46730088936269099</v>
      </c>
      <c r="J750">
        <v>271093</v>
      </c>
      <c r="K750">
        <v>1</v>
      </c>
      <c r="L750">
        <v>126682</v>
      </c>
      <c r="M750">
        <v>126682</v>
      </c>
      <c r="N750">
        <v>2.24E-2</v>
      </c>
      <c r="O750">
        <v>1</v>
      </c>
    </row>
    <row r="751" spans="1:17" x14ac:dyDescent="0.25">
      <c r="A751" t="s">
        <v>564</v>
      </c>
      <c r="B751" t="s">
        <v>28</v>
      </c>
      <c r="C751" t="s">
        <v>151</v>
      </c>
      <c r="D751" t="s">
        <v>76</v>
      </c>
      <c r="E751" t="s">
        <v>80</v>
      </c>
      <c r="F751" t="s">
        <v>78</v>
      </c>
      <c r="G751" t="s">
        <v>576</v>
      </c>
      <c r="H751" t="s">
        <v>9109</v>
      </c>
      <c r="I751">
        <v>0.21770019882475761</v>
      </c>
      <c r="J751">
        <v>271093</v>
      </c>
      <c r="K751">
        <v>0.4658672897491356</v>
      </c>
      <c r="L751">
        <v>126682</v>
      </c>
      <c r="M751">
        <v>59017</v>
      </c>
      <c r="N751">
        <v>1.5800000000000002E-2</v>
      </c>
      <c r="O751">
        <v>2</v>
      </c>
      <c r="P751">
        <v>1</v>
      </c>
    </row>
    <row r="752" spans="1:17" x14ac:dyDescent="0.25">
      <c r="A752" t="s">
        <v>564</v>
      </c>
      <c r="B752" t="s">
        <v>28</v>
      </c>
      <c r="C752" t="s">
        <v>151</v>
      </c>
      <c r="D752" t="s">
        <v>76</v>
      </c>
      <c r="E752" t="s">
        <v>80</v>
      </c>
      <c r="F752" t="s">
        <v>8326</v>
      </c>
      <c r="G752" t="s">
        <v>8327</v>
      </c>
      <c r="H752" t="s">
        <v>9110</v>
      </c>
      <c r="I752">
        <v>0.21554226778264279</v>
      </c>
      <c r="J752">
        <v>271093</v>
      </c>
      <c r="K752">
        <v>0.46124942770085731</v>
      </c>
      <c r="L752">
        <v>126682</v>
      </c>
      <c r="M752">
        <v>58432</v>
      </c>
      <c r="N752">
        <v>1.5699999999999999E-2</v>
      </c>
      <c r="O752">
        <v>3</v>
      </c>
    </row>
    <row r="753" spans="1:16" x14ac:dyDescent="0.25">
      <c r="A753" t="s">
        <v>564</v>
      </c>
      <c r="B753" t="s">
        <v>28</v>
      </c>
      <c r="C753" t="s">
        <v>151</v>
      </c>
      <c r="D753" t="s">
        <v>76</v>
      </c>
      <c r="E753" t="s">
        <v>79</v>
      </c>
      <c r="F753" t="s">
        <v>78</v>
      </c>
      <c r="G753" t="s">
        <v>577</v>
      </c>
      <c r="H753" t="s">
        <v>9111</v>
      </c>
      <c r="I753">
        <v>7.4634903889071277E-2</v>
      </c>
      <c r="J753">
        <v>271093</v>
      </c>
      <c r="K753">
        <v>0.15971487662019859</v>
      </c>
      <c r="L753">
        <v>126682</v>
      </c>
      <c r="M753">
        <v>20233</v>
      </c>
      <c r="N753">
        <v>1.8599999999999998E-2</v>
      </c>
      <c r="O753">
        <v>4</v>
      </c>
      <c r="P753">
        <v>4</v>
      </c>
    </row>
    <row r="754" spans="1:16" x14ac:dyDescent="0.25">
      <c r="A754" t="s">
        <v>564</v>
      </c>
      <c r="B754" t="s">
        <v>28</v>
      </c>
      <c r="C754" t="s">
        <v>151</v>
      </c>
      <c r="D754" t="s">
        <v>76</v>
      </c>
      <c r="E754" t="s">
        <v>83</v>
      </c>
      <c r="F754" t="s">
        <v>78</v>
      </c>
      <c r="G754" t="s">
        <v>580</v>
      </c>
      <c r="H754" t="s">
        <v>9112</v>
      </c>
      <c r="I754">
        <v>6.4357987849188281E-2</v>
      </c>
      <c r="J754">
        <v>271093</v>
      </c>
      <c r="K754">
        <v>0.1377228019766028</v>
      </c>
      <c r="L754">
        <v>126682</v>
      </c>
      <c r="M754">
        <v>17447</v>
      </c>
      <c r="N754">
        <v>0.1055</v>
      </c>
      <c r="O754">
        <v>5</v>
      </c>
      <c r="P754">
        <v>3</v>
      </c>
    </row>
    <row r="755" spans="1:16" x14ac:dyDescent="0.25">
      <c r="A755" t="s">
        <v>564</v>
      </c>
      <c r="B755" t="s">
        <v>28</v>
      </c>
      <c r="C755" t="s">
        <v>151</v>
      </c>
      <c r="D755" t="s">
        <v>76</v>
      </c>
      <c r="E755" t="s">
        <v>81</v>
      </c>
      <c r="F755" t="s">
        <v>78</v>
      </c>
      <c r="G755" t="s">
        <v>578</v>
      </c>
      <c r="H755" t="s">
        <v>9115</v>
      </c>
      <c r="I755">
        <v>5.1672304338363589E-2</v>
      </c>
      <c r="J755">
        <v>271093</v>
      </c>
      <c r="K755">
        <v>0.1105760881577493</v>
      </c>
      <c r="L755">
        <v>126682</v>
      </c>
      <c r="M755">
        <v>14008</v>
      </c>
      <c r="N755">
        <v>1.4500000000000001E-2</v>
      </c>
      <c r="O755">
        <v>6</v>
      </c>
      <c r="P755">
        <v>5</v>
      </c>
    </row>
    <row r="756" spans="1:16" x14ac:dyDescent="0.25">
      <c r="A756" t="s">
        <v>564</v>
      </c>
      <c r="B756" t="s">
        <v>28</v>
      </c>
      <c r="C756" t="s">
        <v>151</v>
      </c>
      <c r="D756" t="s">
        <v>76</v>
      </c>
      <c r="E756" t="s">
        <v>82</v>
      </c>
      <c r="F756" t="s">
        <v>78</v>
      </c>
      <c r="G756" t="s">
        <v>579</v>
      </c>
      <c r="H756" t="s">
        <v>9113</v>
      </c>
      <c r="I756">
        <v>4.822330344199223E-2</v>
      </c>
      <c r="J756">
        <v>271093</v>
      </c>
      <c r="K756">
        <v>0.10319540266178311</v>
      </c>
      <c r="L756">
        <v>126682</v>
      </c>
      <c r="M756">
        <v>13073</v>
      </c>
      <c r="N756">
        <v>3.78E-2</v>
      </c>
      <c r="O756">
        <v>7</v>
      </c>
      <c r="P756">
        <v>2</v>
      </c>
    </row>
    <row r="757" spans="1:16" x14ac:dyDescent="0.25">
      <c r="A757" t="s">
        <v>564</v>
      </c>
      <c r="B757" t="s">
        <v>28</v>
      </c>
      <c r="C757" t="s">
        <v>151</v>
      </c>
      <c r="D757" t="s">
        <v>76</v>
      </c>
      <c r="E757" t="s">
        <v>77</v>
      </c>
      <c r="F757" t="s">
        <v>78</v>
      </c>
      <c r="G757" t="s">
        <v>581</v>
      </c>
      <c r="H757" t="s">
        <v>9114</v>
      </c>
      <c r="I757">
        <v>4.2328647364557548E-2</v>
      </c>
      <c r="J757">
        <v>271093</v>
      </c>
      <c r="K757">
        <v>9.0581140177767958E-2</v>
      </c>
      <c r="L757">
        <v>126682</v>
      </c>
      <c r="M757">
        <v>11475</v>
      </c>
      <c r="N757">
        <v>4.5699999999999998E-2</v>
      </c>
      <c r="O757">
        <v>8</v>
      </c>
      <c r="P757">
        <v>7</v>
      </c>
    </row>
    <row r="758" spans="1:16" x14ac:dyDescent="0.25">
      <c r="A758" t="s">
        <v>564</v>
      </c>
      <c r="B758" t="s">
        <v>28</v>
      </c>
      <c r="C758" t="s">
        <v>151</v>
      </c>
      <c r="D758" t="s">
        <v>76</v>
      </c>
      <c r="E758" t="s">
        <v>81</v>
      </c>
      <c r="F758" t="s">
        <v>585</v>
      </c>
      <c r="G758" t="s">
        <v>586</v>
      </c>
      <c r="H758" t="s">
        <v>9118</v>
      </c>
      <c r="I758">
        <v>3.3479285706381208E-2</v>
      </c>
      <c r="J758">
        <v>271093</v>
      </c>
      <c r="K758">
        <v>7.1643958889187093E-2</v>
      </c>
      <c r="L758">
        <v>126682</v>
      </c>
      <c r="M758">
        <v>9076</v>
      </c>
      <c r="N758">
        <v>6.9999999999999999E-4</v>
      </c>
      <c r="O758">
        <v>9</v>
      </c>
    </row>
    <row r="759" spans="1:16" x14ac:dyDescent="0.25">
      <c r="A759" t="s">
        <v>564</v>
      </c>
      <c r="B759" t="s">
        <v>28</v>
      </c>
      <c r="C759" t="s">
        <v>151</v>
      </c>
      <c r="D759" t="s">
        <v>76</v>
      </c>
      <c r="E759" t="s">
        <v>592</v>
      </c>
      <c r="F759" t="s">
        <v>78</v>
      </c>
      <c r="G759" t="s">
        <v>593</v>
      </c>
      <c r="H759" t="s">
        <v>9116</v>
      </c>
      <c r="I759">
        <v>3.1966889591394827E-2</v>
      </c>
      <c r="J759">
        <v>271093</v>
      </c>
      <c r="K759">
        <v>6.8407508564752681E-2</v>
      </c>
      <c r="L759">
        <v>126682</v>
      </c>
      <c r="M759">
        <v>8666</v>
      </c>
      <c r="N759">
        <v>1.38E-2</v>
      </c>
      <c r="O759">
        <v>10</v>
      </c>
    </row>
    <row r="760" spans="1:16" x14ac:dyDescent="0.25">
      <c r="A760" t="s">
        <v>564</v>
      </c>
      <c r="B760" t="s">
        <v>28</v>
      </c>
      <c r="C760" t="s">
        <v>151</v>
      </c>
      <c r="D760" t="s">
        <v>76</v>
      </c>
      <c r="E760" t="s">
        <v>84</v>
      </c>
      <c r="F760" t="s">
        <v>78</v>
      </c>
      <c r="G760" t="s">
        <v>589</v>
      </c>
      <c r="H760" t="s">
        <v>9117</v>
      </c>
      <c r="I760">
        <v>2.7241573924815469E-2</v>
      </c>
      <c r="J760">
        <v>271093</v>
      </c>
      <c r="K760">
        <v>5.8295574746214933E-2</v>
      </c>
      <c r="L760">
        <v>126682</v>
      </c>
      <c r="M760">
        <v>7385</v>
      </c>
      <c r="N760">
        <v>0.11849999999999999</v>
      </c>
      <c r="O760">
        <v>11</v>
      </c>
    </row>
    <row r="761" spans="1:16" x14ac:dyDescent="0.25">
      <c r="A761" t="s">
        <v>564</v>
      </c>
      <c r="B761" t="s">
        <v>28</v>
      </c>
      <c r="C761" t="s">
        <v>151</v>
      </c>
      <c r="D761" t="s">
        <v>76</v>
      </c>
      <c r="E761" t="s">
        <v>598</v>
      </c>
      <c r="F761" t="s">
        <v>78</v>
      </c>
      <c r="G761" t="s">
        <v>599</v>
      </c>
      <c r="H761" t="s">
        <v>9122</v>
      </c>
      <c r="I761">
        <v>2.6112809995093939E-2</v>
      </c>
      <c r="J761">
        <v>271093</v>
      </c>
      <c r="K761">
        <v>5.5880077674807793E-2</v>
      </c>
      <c r="L761">
        <v>126682</v>
      </c>
      <c r="M761">
        <v>7079</v>
      </c>
      <c r="N761">
        <v>5.1999999999999998E-3</v>
      </c>
      <c r="O761">
        <v>12</v>
      </c>
    </row>
    <row r="762" spans="1:16" x14ac:dyDescent="0.25">
      <c r="A762" t="s">
        <v>564</v>
      </c>
      <c r="B762" t="s">
        <v>28</v>
      </c>
      <c r="C762" t="s">
        <v>151</v>
      </c>
      <c r="D762" t="s">
        <v>76</v>
      </c>
      <c r="E762" t="s">
        <v>346</v>
      </c>
      <c r="F762" t="s">
        <v>78</v>
      </c>
      <c r="G762" t="s">
        <v>584</v>
      </c>
      <c r="H762" t="s">
        <v>9120</v>
      </c>
      <c r="I762">
        <v>1.925169591247284E-2</v>
      </c>
      <c r="J762">
        <v>271093</v>
      </c>
      <c r="K762">
        <v>4.1197644495666312E-2</v>
      </c>
      <c r="L762">
        <v>126682</v>
      </c>
      <c r="M762">
        <v>5219</v>
      </c>
      <c r="N762">
        <v>6.4999999999999997E-3</v>
      </c>
      <c r="O762">
        <v>13</v>
      </c>
      <c r="P762">
        <v>6</v>
      </c>
    </row>
    <row r="763" spans="1:16" x14ac:dyDescent="0.25">
      <c r="A763" t="s">
        <v>564</v>
      </c>
      <c r="B763" t="s">
        <v>28</v>
      </c>
      <c r="C763" t="s">
        <v>151</v>
      </c>
      <c r="D763" t="s">
        <v>76</v>
      </c>
      <c r="E763" t="s">
        <v>592</v>
      </c>
      <c r="F763" t="s">
        <v>624</v>
      </c>
      <c r="G763" t="s">
        <v>625</v>
      </c>
      <c r="H763" t="s">
        <v>9123</v>
      </c>
      <c r="I763">
        <v>1.8336880701456691E-2</v>
      </c>
      <c r="J763">
        <v>271093</v>
      </c>
      <c r="K763">
        <v>3.9239986738447447E-2</v>
      </c>
      <c r="L763">
        <v>126682</v>
      </c>
      <c r="M763">
        <v>4971</v>
      </c>
      <c r="N763">
        <v>1.5100000000000001E-2</v>
      </c>
      <c r="O763">
        <v>14</v>
      </c>
    </row>
    <row r="764" spans="1:16" x14ac:dyDescent="0.25">
      <c r="A764" t="s">
        <v>564</v>
      </c>
      <c r="B764" t="s">
        <v>28</v>
      </c>
      <c r="C764" t="s">
        <v>151</v>
      </c>
      <c r="D764" t="s">
        <v>76</v>
      </c>
      <c r="E764" t="s">
        <v>81</v>
      </c>
      <c r="F764" t="s">
        <v>590</v>
      </c>
      <c r="G764" t="s">
        <v>591</v>
      </c>
      <c r="H764" t="s">
        <v>9121</v>
      </c>
      <c r="I764">
        <v>1.7027366992139231E-2</v>
      </c>
      <c r="J764">
        <v>271093</v>
      </c>
      <c r="K764">
        <v>3.6437694384363999E-2</v>
      </c>
      <c r="L764">
        <v>126682</v>
      </c>
      <c r="M764">
        <v>4616</v>
      </c>
      <c r="N764">
        <v>4.0300000000000002E-2</v>
      </c>
      <c r="O764">
        <v>15</v>
      </c>
    </row>
    <row r="765" spans="1:16" x14ac:dyDescent="0.25">
      <c r="A765" t="s">
        <v>564</v>
      </c>
      <c r="B765" t="s">
        <v>28</v>
      </c>
      <c r="C765" t="s">
        <v>151</v>
      </c>
      <c r="D765" t="s">
        <v>76</v>
      </c>
      <c r="E765" t="s">
        <v>600</v>
      </c>
      <c r="F765" t="s">
        <v>78</v>
      </c>
      <c r="G765" t="s">
        <v>601</v>
      </c>
      <c r="H765" t="s">
        <v>9125</v>
      </c>
      <c r="I765">
        <v>1.30434942990044E-2</v>
      </c>
      <c r="J765">
        <v>271093</v>
      </c>
      <c r="K765">
        <v>2.7912410602927009E-2</v>
      </c>
      <c r="L765">
        <v>126682</v>
      </c>
      <c r="M765">
        <v>3536</v>
      </c>
      <c r="N765">
        <v>1.38E-2</v>
      </c>
      <c r="O765">
        <v>16</v>
      </c>
    </row>
    <row r="766" spans="1:16" x14ac:dyDescent="0.25">
      <c r="A766" t="s">
        <v>564</v>
      </c>
      <c r="B766" t="s">
        <v>28</v>
      </c>
      <c r="C766" t="s">
        <v>151</v>
      </c>
      <c r="D766" t="s">
        <v>76</v>
      </c>
      <c r="E766" t="s">
        <v>606</v>
      </c>
      <c r="F766" t="s">
        <v>78</v>
      </c>
      <c r="G766" t="s">
        <v>607</v>
      </c>
      <c r="H766" t="s">
        <v>9124</v>
      </c>
      <c r="I766">
        <v>1.130608315227616E-2</v>
      </c>
      <c r="J766">
        <v>271093</v>
      </c>
      <c r="K766">
        <v>2.4194439620466999E-2</v>
      </c>
      <c r="L766">
        <v>126682</v>
      </c>
      <c r="M766">
        <v>3065</v>
      </c>
      <c r="N766">
        <v>0.20810000000000001</v>
      </c>
      <c r="O766">
        <v>17</v>
      </c>
    </row>
    <row r="767" spans="1:16" x14ac:dyDescent="0.25">
      <c r="A767" t="s">
        <v>564</v>
      </c>
      <c r="B767" t="s">
        <v>28</v>
      </c>
      <c r="C767" t="s">
        <v>151</v>
      </c>
      <c r="D767" t="s">
        <v>76</v>
      </c>
      <c r="E767" t="s">
        <v>600</v>
      </c>
      <c r="F767" t="s">
        <v>614</v>
      </c>
      <c r="G767" t="s">
        <v>615</v>
      </c>
      <c r="H767" t="s">
        <v>9128</v>
      </c>
      <c r="I767">
        <v>1.0771211355512679E-2</v>
      </c>
      <c r="J767">
        <v>271093</v>
      </c>
      <c r="K767">
        <v>2.3049841334996289E-2</v>
      </c>
      <c r="L767">
        <v>126682</v>
      </c>
      <c r="M767">
        <v>2920</v>
      </c>
      <c r="N767">
        <v>8.8999999999999999E-3</v>
      </c>
      <c r="O767">
        <v>18</v>
      </c>
    </row>
    <row r="768" spans="1:16" x14ac:dyDescent="0.25">
      <c r="A768" t="s">
        <v>564</v>
      </c>
      <c r="B768" t="s">
        <v>28</v>
      </c>
      <c r="C768" t="s">
        <v>151</v>
      </c>
      <c r="D768" t="s">
        <v>76</v>
      </c>
      <c r="E768" t="s">
        <v>592</v>
      </c>
      <c r="F768" t="s">
        <v>811</v>
      </c>
      <c r="G768" t="s">
        <v>812</v>
      </c>
      <c r="H768" t="s">
        <v>9127</v>
      </c>
      <c r="I768">
        <v>8.096852371695322E-3</v>
      </c>
      <c r="J768">
        <v>271093</v>
      </c>
      <c r="K768">
        <v>1.7326849907642761E-2</v>
      </c>
      <c r="L768">
        <v>126682</v>
      </c>
      <c r="M768">
        <v>2195</v>
      </c>
      <c r="N768">
        <v>1.3599999999999999E-2</v>
      </c>
      <c r="O768">
        <v>19</v>
      </c>
    </row>
    <row r="769" spans="1:15" x14ac:dyDescent="0.25">
      <c r="A769" t="s">
        <v>564</v>
      </c>
      <c r="B769" t="s">
        <v>28</v>
      </c>
      <c r="C769" t="s">
        <v>151</v>
      </c>
      <c r="D769" t="s">
        <v>76</v>
      </c>
      <c r="E769" t="s">
        <v>610</v>
      </c>
      <c r="F769" t="s">
        <v>78</v>
      </c>
      <c r="G769" t="s">
        <v>611</v>
      </c>
      <c r="H769" t="s">
        <v>9130</v>
      </c>
      <c r="I769">
        <v>6.6065888827819231E-3</v>
      </c>
      <c r="J769">
        <v>271093</v>
      </c>
      <c r="K769">
        <v>1.4137762270883E-2</v>
      </c>
      <c r="L769">
        <v>126682</v>
      </c>
      <c r="M769">
        <v>1791</v>
      </c>
      <c r="N769">
        <v>6.6400000000000001E-2</v>
      </c>
      <c r="O769">
        <v>20</v>
      </c>
    </row>
    <row r="770" spans="1:15" x14ac:dyDescent="0.25">
      <c r="A770" t="s">
        <v>564</v>
      </c>
      <c r="B770" t="s">
        <v>28</v>
      </c>
      <c r="C770" t="s">
        <v>151</v>
      </c>
      <c r="D770" t="s">
        <v>76</v>
      </c>
      <c r="E770" t="s">
        <v>592</v>
      </c>
      <c r="F770" t="s">
        <v>803</v>
      </c>
      <c r="G770" t="s">
        <v>804</v>
      </c>
      <c r="H770" t="s">
        <v>9126</v>
      </c>
      <c r="I770">
        <v>6.6065888827819231E-3</v>
      </c>
      <c r="J770">
        <v>271093</v>
      </c>
      <c r="K770">
        <v>1.4137762270883E-2</v>
      </c>
      <c r="L770">
        <v>126682</v>
      </c>
      <c r="M770">
        <v>1791</v>
      </c>
      <c r="N770">
        <v>8.8999999999999999E-3</v>
      </c>
      <c r="O770">
        <v>21</v>
      </c>
    </row>
    <row r="771" spans="1:15" x14ac:dyDescent="0.25">
      <c r="A771" t="s">
        <v>564</v>
      </c>
      <c r="B771" t="s">
        <v>28</v>
      </c>
      <c r="C771" t="s">
        <v>151</v>
      </c>
      <c r="D771" t="s">
        <v>76</v>
      </c>
      <c r="E771" t="s">
        <v>608</v>
      </c>
      <c r="F771" t="s">
        <v>78</v>
      </c>
      <c r="G771" t="s">
        <v>609</v>
      </c>
      <c r="H771" t="s">
        <v>9129</v>
      </c>
      <c r="I771">
        <v>4.9245093012361069E-3</v>
      </c>
      <c r="J771">
        <v>271093</v>
      </c>
      <c r="K771">
        <v>1.0538198007609609E-2</v>
      </c>
      <c r="L771">
        <v>126682</v>
      </c>
      <c r="M771">
        <v>1335</v>
      </c>
      <c r="N771">
        <v>0.1729</v>
      </c>
      <c r="O771">
        <v>22</v>
      </c>
    </row>
    <row r="772" spans="1:15" x14ac:dyDescent="0.25">
      <c r="A772" t="s">
        <v>564</v>
      </c>
      <c r="B772" t="s">
        <v>28</v>
      </c>
      <c r="C772" t="s">
        <v>151</v>
      </c>
      <c r="D772" t="s">
        <v>76</v>
      </c>
      <c r="E772" t="s">
        <v>620</v>
      </c>
      <c r="F772" t="s">
        <v>78</v>
      </c>
      <c r="G772" t="s">
        <v>621</v>
      </c>
      <c r="H772" t="s">
        <v>9132</v>
      </c>
      <c r="I772">
        <v>4.622030078238833E-3</v>
      </c>
      <c r="J772">
        <v>271093</v>
      </c>
      <c r="K772">
        <v>9.8909079427227237E-3</v>
      </c>
      <c r="L772">
        <v>126682</v>
      </c>
      <c r="M772">
        <v>1253</v>
      </c>
      <c r="N772">
        <v>5.5800000000000002E-2</v>
      </c>
      <c r="O772">
        <v>23</v>
      </c>
    </row>
    <row r="773" spans="1:15" x14ac:dyDescent="0.25">
      <c r="A773" t="s">
        <v>564</v>
      </c>
      <c r="B773" t="s">
        <v>28</v>
      </c>
      <c r="C773" t="s">
        <v>151</v>
      </c>
      <c r="D773" t="s">
        <v>76</v>
      </c>
      <c r="E773" t="s">
        <v>602</v>
      </c>
      <c r="F773" t="s">
        <v>78</v>
      </c>
      <c r="G773" t="s">
        <v>603</v>
      </c>
      <c r="H773" t="s">
        <v>9135</v>
      </c>
      <c r="I773">
        <v>4.3453722523266926E-3</v>
      </c>
      <c r="J773">
        <v>271093</v>
      </c>
      <c r="K773">
        <v>9.2988743467895991E-3</v>
      </c>
      <c r="L773">
        <v>126682</v>
      </c>
      <c r="M773">
        <v>1178</v>
      </c>
      <c r="N773">
        <v>1.6899999999999998E-2</v>
      </c>
      <c r="O773">
        <v>24</v>
      </c>
    </row>
    <row r="774" spans="1:15" x14ac:dyDescent="0.25">
      <c r="A774" t="s">
        <v>564</v>
      </c>
      <c r="B774" t="s">
        <v>28</v>
      </c>
      <c r="C774" t="s">
        <v>151</v>
      </c>
      <c r="D774" t="s">
        <v>76</v>
      </c>
      <c r="E774" t="s">
        <v>80</v>
      </c>
      <c r="F774" t="s">
        <v>8354</v>
      </c>
      <c r="G774" t="s">
        <v>8355</v>
      </c>
      <c r="H774" t="s">
        <v>9133</v>
      </c>
      <c r="I774">
        <v>3.8805871047942961E-3</v>
      </c>
      <c r="J774">
        <v>271093</v>
      </c>
      <c r="K774">
        <v>8.3042579056219513E-3</v>
      </c>
      <c r="L774">
        <v>126682</v>
      </c>
      <c r="M774">
        <v>1052</v>
      </c>
      <c r="N774">
        <v>2.5600000000000001E-2</v>
      </c>
      <c r="O774">
        <v>25</v>
      </c>
    </row>
    <row r="775" spans="1:15" x14ac:dyDescent="0.25">
      <c r="A775" t="s">
        <v>564</v>
      </c>
      <c r="B775" t="s">
        <v>28</v>
      </c>
      <c r="C775" t="s">
        <v>151</v>
      </c>
      <c r="D775" t="s">
        <v>76</v>
      </c>
      <c r="E775" t="s">
        <v>618</v>
      </c>
      <c r="F775" t="s">
        <v>78</v>
      </c>
      <c r="G775" t="s">
        <v>619</v>
      </c>
      <c r="H775" t="s">
        <v>9136</v>
      </c>
      <c r="I775">
        <v>3.6850822411497162E-3</v>
      </c>
      <c r="J775">
        <v>271093</v>
      </c>
      <c r="K775">
        <v>7.8858874978292096E-3</v>
      </c>
      <c r="L775">
        <v>126682</v>
      </c>
      <c r="M775">
        <v>999</v>
      </c>
      <c r="N775">
        <v>2.4E-2</v>
      </c>
      <c r="O775">
        <v>26</v>
      </c>
    </row>
    <row r="776" spans="1:15" x14ac:dyDescent="0.25">
      <c r="A776" t="s">
        <v>564</v>
      </c>
      <c r="B776" t="s">
        <v>28</v>
      </c>
      <c r="C776" t="s">
        <v>151</v>
      </c>
      <c r="D776" t="s">
        <v>76</v>
      </c>
      <c r="E776" t="s">
        <v>626</v>
      </c>
      <c r="F776" t="s">
        <v>78</v>
      </c>
      <c r="G776" t="s">
        <v>627</v>
      </c>
      <c r="H776" t="s">
        <v>9137</v>
      </c>
      <c r="I776">
        <v>3.4526896673835179E-3</v>
      </c>
      <c r="J776">
        <v>271093</v>
      </c>
      <c r="K776">
        <v>7.3885792772453857E-3</v>
      </c>
      <c r="L776">
        <v>126682</v>
      </c>
      <c r="M776">
        <v>936</v>
      </c>
      <c r="N776">
        <v>3.3099999999999997E-2</v>
      </c>
      <c r="O776">
        <v>27</v>
      </c>
    </row>
    <row r="777" spans="1:15" x14ac:dyDescent="0.25">
      <c r="A777" t="s">
        <v>564</v>
      </c>
      <c r="B777" t="s">
        <v>28</v>
      </c>
      <c r="C777" t="s">
        <v>151</v>
      </c>
      <c r="D777" t="s">
        <v>76</v>
      </c>
      <c r="E777" t="s">
        <v>600</v>
      </c>
      <c r="F777" t="s">
        <v>612</v>
      </c>
      <c r="G777" t="s">
        <v>613</v>
      </c>
      <c r="H777" t="s">
        <v>9140</v>
      </c>
      <c r="I777">
        <v>2.3423695927227931E-3</v>
      </c>
      <c r="J777">
        <v>271093</v>
      </c>
      <c r="K777">
        <v>5.0125511122337818E-3</v>
      </c>
      <c r="L777">
        <v>126682</v>
      </c>
      <c r="M777">
        <v>635</v>
      </c>
      <c r="N777">
        <v>3.6200000000000003E-2</v>
      </c>
      <c r="O777">
        <v>28</v>
      </c>
    </row>
    <row r="778" spans="1:15" x14ac:dyDescent="0.25">
      <c r="A778" t="s">
        <v>564</v>
      </c>
      <c r="B778" t="s">
        <v>28</v>
      </c>
      <c r="C778" t="s">
        <v>151</v>
      </c>
      <c r="D778" t="s">
        <v>76</v>
      </c>
      <c r="E778" t="s">
        <v>602</v>
      </c>
      <c r="F778" t="s">
        <v>616</v>
      </c>
      <c r="G778" t="s">
        <v>617</v>
      </c>
      <c r="H778" t="s">
        <v>9139</v>
      </c>
      <c r="I778">
        <v>2.0657117668106519E-3</v>
      </c>
      <c r="J778">
        <v>271093</v>
      </c>
      <c r="K778">
        <v>4.4205175163006582E-3</v>
      </c>
      <c r="L778">
        <v>126682</v>
      </c>
      <c r="M778">
        <v>560</v>
      </c>
      <c r="N778">
        <v>2.3199999999999998E-2</v>
      </c>
      <c r="O778">
        <v>29</v>
      </c>
    </row>
    <row r="779" spans="1:15" x14ac:dyDescent="0.25">
      <c r="A779" t="s">
        <v>564</v>
      </c>
      <c r="B779" t="s">
        <v>28</v>
      </c>
      <c r="C779" t="s">
        <v>151</v>
      </c>
      <c r="D779" t="s">
        <v>76</v>
      </c>
      <c r="E779" t="s">
        <v>587</v>
      </c>
      <c r="F779" t="s">
        <v>78</v>
      </c>
      <c r="G779" t="s">
        <v>588</v>
      </c>
      <c r="H779" t="s">
        <v>9119</v>
      </c>
      <c r="I779">
        <v>2.04357914073768E-3</v>
      </c>
      <c r="J779">
        <v>271093</v>
      </c>
      <c r="K779">
        <v>4.3731548286260087E-3</v>
      </c>
      <c r="L779">
        <v>126682</v>
      </c>
      <c r="M779">
        <v>554</v>
      </c>
      <c r="O779">
        <v>30</v>
      </c>
    </row>
    <row r="780" spans="1:15" x14ac:dyDescent="0.25">
      <c r="A780" t="s">
        <v>564</v>
      </c>
      <c r="B780" t="s">
        <v>28</v>
      </c>
      <c r="C780" t="s">
        <v>151</v>
      </c>
      <c r="D780" t="s">
        <v>76</v>
      </c>
      <c r="E780" t="s">
        <v>682</v>
      </c>
      <c r="F780" t="s">
        <v>78</v>
      </c>
      <c r="G780" t="s">
        <v>683</v>
      </c>
      <c r="H780" t="s">
        <v>9131</v>
      </c>
      <c r="I780">
        <v>1.800120253934996E-3</v>
      </c>
      <c r="J780">
        <v>271093</v>
      </c>
      <c r="K780">
        <v>3.8521652642048588E-3</v>
      </c>
      <c r="L780">
        <v>126682</v>
      </c>
      <c r="M780">
        <v>488</v>
      </c>
      <c r="N780">
        <v>1.6299999999999999E-2</v>
      </c>
      <c r="O780">
        <v>31</v>
      </c>
    </row>
    <row r="781" spans="1:15" x14ac:dyDescent="0.25">
      <c r="A781" t="s">
        <v>564</v>
      </c>
      <c r="B781" t="s">
        <v>28</v>
      </c>
      <c r="C781" t="s">
        <v>151</v>
      </c>
      <c r="D781" t="s">
        <v>76</v>
      </c>
      <c r="E781" t="s">
        <v>602</v>
      </c>
      <c r="F781" t="s">
        <v>652</v>
      </c>
      <c r="G781" t="s">
        <v>653</v>
      </c>
      <c r="H781" t="s">
        <v>9160</v>
      </c>
      <c r="I781">
        <v>1.287381083244495E-3</v>
      </c>
      <c r="J781">
        <v>271093</v>
      </c>
      <c r="K781">
        <v>2.7549296664088029E-3</v>
      </c>
      <c r="L781">
        <v>126682</v>
      </c>
      <c r="M781">
        <v>349</v>
      </c>
      <c r="N781">
        <v>8.6E-3</v>
      </c>
      <c r="O781">
        <v>32</v>
      </c>
    </row>
    <row r="782" spans="1:15" x14ac:dyDescent="0.25">
      <c r="A782" t="s">
        <v>564</v>
      </c>
      <c r="B782" t="s">
        <v>28</v>
      </c>
      <c r="C782" t="s">
        <v>151</v>
      </c>
      <c r="D782" t="s">
        <v>76</v>
      </c>
      <c r="E782" t="s">
        <v>81</v>
      </c>
      <c r="F782" t="s">
        <v>582</v>
      </c>
      <c r="G782" t="s">
        <v>583</v>
      </c>
      <c r="H782" t="s">
        <v>9141</v>
      </c>
      <c r="I782">
        <v>1.232049518062067E-3</v>
      </c>
      <c r="J782">
        <v>271093</v>
      </c>
      <c r="K782">
        <v>2.6365229472221779E-3</v>
      </c>
      <c r="L782">
        <v>126682</v>
      </c>
      <c r="M782">
        <v>334</v>
      </c>
      <c r="N782">
        <v>3.2800000000000003E-2</v>
      </c>
      <c r="O782">
        <v>33</v>
      </c>
    </row>
    <row r="783" spans="1:15" x14ac:dyDescent="0.25">
      <c r="A783" t="s">
        <v>564</v>
      </c>
      <c r="B783" t="s">
        <v>28</v>
      </c>
      <c r="C783" t="s">
        <v>151</v>
      </c>
      <c r="D783" t="s">
        <v>76</v>
      </c>
      <c r="E783" t="s">
        <v>8368</v>
      </c>
      <c r="F783" t="s">
        <v>78</v>
      </c>
      <c r="G783" t="s">
        <v>8369</v>
      </c>
      <c r="H783" t="s">
        <v>9142</v>
      </c>
      <c r="I783">
        <v>1.058677280490459E-3</v>
      </c>
      <c r="J783">
        <v>271093</v>
      </c>
      <c r="K783">
        <v>2.2655152271040869E-3</v>
      </c>
      <c r="L783">
        <v>126682</v>
      </c>
      <c r="M783">
        <v>287</v>
      </c>
      <c r="N783">
        <v>1.04E-2</v>
      </c>
      <c r="O783">
        <v>34</v>
      </c>
    </row>
    <row r="784" spans="1:15" x14ac:dyDescent="0.25">
      <c r="A784" t="s">
        <v>564</v>
      </c>
      <c r="B784" t="s">
        <v>28</v>
      </c>
      <c r="C784" t="s">
        <v>151</v>
      </c>
      <c r="D784" t="s">
        <v>76</v>
      </c>
      <c r="E784" t="s">
        <v>634</v>
      </c>
      <c r="F784" t="s">
        <v>78</v>
      </c>
      <c r="G784" t="s">
        <v>635</v>
      </c>
      <c r="H784" t="s">
        <v>9134</v>
      </c>
      <c r="I784">
        <v>1.036544654417488E-3</v>
      </c>
      <c r="J784">
        <v>271093</v>
      </c>
      <c r="K784">
        <v>2.218152539429437E-3</v>
      </c>
      <c r="L784">
        <v>126682</v>
      </c>
      <c r="M784">
        <v>281</v>
      </c>
      <c r="N784">
        <v>7.1000000000000004E-3</v>
      </c>
      <c r="O784">
        <v>35</v>
      </c>
    </row>
    <row r="785" spans="1:15" x14ac:dyDescent="0.25">
      <c r="A785" t="s">
        <v>564</v>
      </c>
      <c r="B785" t="s">
        <v>28</v>
      </c>
      <c r="C785" t="s">
        <v>151</v>
      </c>
      <c r="D785" t="s">
        <v>76</v>
      </c>
      <c r="E785" t="s">
        <v>81</v>
      </c>
      <c r="F785" t="s">
        <v>622</v>
      </c>
      <c r="G785" t="s">
        <v>623</v>
      </c>
      <c r="H785" t="s">
        <v>9144</v>
      </c>
      <c r="I785">
        <v>9.4432537911344082E-4</v>
      </c>
      <c r="J785">
        <v>271093</v>
      </c>
      <c r="K785">
        <v>2.02080800745173E-3</v>
      </c>
      <c r="L785">
        <v>126682</v>
      </c>
      <c r="M785">
        <v>256</v>
      </c>
      <c r="N785">
        <v>3.8999999999999998E-3</v>
      </c>
      <c r="O785">
        <v>36</v>
      </c>
    </row>
    <row r="786" spans="1:15" x14ac:dyDescent="0.25">
      <c r="A786" t="s">
        <v>564</v>
      </c>
      <c r="B786" t="s">
        <v>28</v>
      </c>
      <c r="C786" t="s">
        <v>151</v>
      </c>
      <c r="D786" t="s">
        <v>76</v>
      </c>
      <c r="E786" t="s">
        <v>642</v>
      </c>
      <c r="F786" t="s">
        <v>78</v>
      </c>
      <c r="G786" t="s">
        <v>643</v>
      </c>
      <c r="H786" t="s">
        <v>9145</v>
      </c>
      <c r="I786">
        <v>9.0374889797966015E-4</v>
      </c>
      <c r="J786">
        <v>271093</v>
      </c>
      <c r="K786">
        <v>1.933976413381538E-3</v>
      </c>
      <c r="L786">
        <v>126682</v>
      </c>
      <c r="M786">
        <v>245</v>
      </c>
      <c r="O786">
        <v>37</v>
      </c>
    </row>
    <row r="787" spans="1:15" x14ac:dyDescent="0.25">
      <c r="A787" t="s">
        <v>564</v>
      </c>
      <c r="B787" t="s">
        <v>28</v>
      </c>
      <c r="C787" t="s">
        <v>151</v>
      </c>
      <c r="D787" t="s">
        <v>76</v>
      </c>
      <c r="E787" t="s">
        <v>594</v>
      </c>
      <c r="F787" t="s">
        <v>78</v>
      </c>
      <c r="G787" t="s">
        <v>595</v>
      </c>
      <c r="H787" t="s">
        <v>9147</v>
      </c>
      <c r="I787">
        <v>7.8201945457831814E-4</v>
      </c>
      <c r="J787">
        <v>271093</v>
      </c>
      <c r="K787">
        <v>1.673481631170963E-3</v>
      </c>
      <c r="L787">
        <v>126682</v>
      </c>
      <c r="M787">
        <v>212</v>
      </c>
      <c r="N787">
        <v>1.8800000000000001E-2</v>
      </c>
      <c r="O787">
        <v>38</v>
      </c>
    </row>
    <row r="788" spans="1:15" x14ac:dyDescent="0.25">
      <c r="A788" t="s">
        <v>564</v>
      </c>
      <c r="B788" t="s">
        <v>28</v>
      </c>
      <c r="C788" t="s">
        <v>151</v>
      </c>
      <c r="D788" t="s">
        <v>76</v>
      </c>
      <c r="E788" t="s">
        <v>80</v>
      </c>
      <c r="F788" t="s">
        <v>8371</v>
      </c>
      <c r="G788" t="s">
        <v>8372</v>
      </c>
      <c r="H788" t="s">
        <v>9151</v>
      </c>
      <c r="I788">
        <v>7.4513174445669931E-4</v>
      </c>
      <c r="J788">
        <v>271093</v>
      </c>
      <c r="K788">
        <v>1.5945438183798801E-3</v>
      </c>
      <c r="L788">
        <v>126682</v>
      </c>
      <c r="M788">
        <v>202</v>
      </c>
      <c r="N788">
        <v>1.4800000000000001E-2</v>
      </c>
      <c r="O788">
        <v>39</v>
      </c>
    </row>
    <row r="789" spans="1:15" x14ac:dyDescent="0.25">
      <c r="A789" t="s">
        <v>564</v>
      </c>
      <c r="B789" t="s">
        <v>28</v>
      </c>
      <c r="C789" t="s">
        <v>151</v>
      </c>
      <c r="D789" t="s">
        <v>76</v>
      </c>
      <c r="E789" t="s">
        <v>632</v>
      </c>
      <c r="F789" t="s">
        <v>78</v>
      </c>
      <c r="G789" t="s">
        <v>633</v>
      </c>
      <c r="H789" t="s">
        <v>9149</v>
      </c>
      <c r="I789">
        <v>7.4144297344453747E-4</v>
      </c>
      <c r="J789">
        <v>271093</v>
      </c>
      <c r="K789">
        <v>1.5866500371007721E-3</v>
      </c>
      <c r="L789">
        <v>126682</v>
      </c>
      <c r="M789">
        <v>201</v>
      </c>
      <c r="O789">
        <v>40</v>
      </c>
    </row>
    <row r="790" spans="1:15" x14ac:dyDescent="0.25">
      <c r="A790" t="s">
        <v>564</v>
      </c>
      <c r="B790" t="s">
        <v>28</v>
      </c>
      <c r="C790" t="s">
        <v>151</v>
      </c>
      <c r="D790" t="s">
        <v>76</v>
      </c>
      <c r="E790" t="s">
        <v>602</v>
      </c>
      <c r="F790" t="s">
        <v>640</v>
      </c>
      <c r="G790" t="s">
        <v>641</v>
      </c>
      <c r="H790" t="s">
        <v>9146</v>
      </c>
      <c r="I790">
        <v>7.2668788939589E-4</v>
      </c>
      <c r="J790">
        <v>271093</v>
      </c>
      <c r="K790">
        <v>1.555074911984339E-3</v>
      </c>
      <c r="L790">
        <v>126682</v>
      </c>
      <c r="M790">
        <v>197</v>
      </c>
      <c r="O790">
        <v>41</v>
      </c>
    </row>
    <row r="791" spans="1:15" x14ac:dyDescent="0.25">
      <c r="A791" t="s">
        <v>564</v>
      </c>
      <c r="B791" t="s">
        <v>28</v>
      </c>
      <c r="C791" t="s">
        <v>151</v>
      </c>
      <c r="D791" t="s">
        <v>76</v>
      </c>
      <c r="E791" t="s">
        <v>634</v>
      </c>
      <c r="F791" t="s">
        <v>638</v>
      </c>
      <c r="G791" t="s">
        <v>639</v>
      </c>
      <c r="H791" t="s">
        <v>9143</v>
      </c>
      <c r="I791">
        <v>5.6069319384860548E-4</v>
      </c>
      <c r="J791">
        <v>271093</v>
      </c>
      <c r="K791">
        <v>1.1998547544244649E-3</v>
      </c>
      <c r="L791">
        <v>126682</v>
      </c>
      <c r="M791">
        <v>152</v>
      </c>
      <c r="N791">
        <v>1.2999999999999999E-2</v>
      </c>
      <c r="O791">
        <v>42</v>
      </c>
    </row>
    <row r="792" spans="1:15" x14ac:dyDescent="0.25">
      <c r="A792" t="s">
        <v>564</v>
      </c>
      <c r="B792" t="s">
        <v>28</v>
      </c>
      <c r="C792" t="s">
        <v>151</v>
      </c>
      <c r="D792" t="s">
        <v>76</v>
      </c>
      <c r="E792" t="s">
        <v>602</v>
      </c>
      <c r="F792" t="s">
        <v>628</v>
      </c>
      <c r="G792" t="s">
        <v>629</v>
      </c>
      <c r="H792" t="s">
        <v>9153</v>
      </c>
      <c r="I792">
        <v>5.4593810979995791E-4</v>
      </c>
      <c r="J792">
        <v>271093</v>
      </c>
      <c r="K792">
        <v>1.168279629308031E-3</v>
      </c>
      <c r="L792">
        <v>126682</v>
      </c>
      <c r="M792">
        <v>148</v>
      </c>
      <c r="N792">
        <v>2.01E-2</v>
      </c>
      <c r="O792">
        <v>43</v>
      </c>
    </row>
    <row r="793" spans="1:15" x14ac:dyDescent="0.25">
      <c r="A793" t="s">
        <v>564</v>
      </c>
      <c r="B793" t="s">
        <v>28</v>
      </c>
      <c r="C793" t="s">
        <v>151</v>
      </c>
      <c r="D793" t="s">
        <v>76</v>
      </c>
      <c r="E793" t="s">
        <v>634</v>
      </c>
      <c r="F793" t="s">
        <v>658</v>
      </c>
      <c r="G793" t="s">
        <v>659</v>
      </c>
      <c r="H793" t="s">
        <v>9138</v>
      </c>
      <c r="I793">
        <v>4.7216268955672041E-4</v>
      </c>
      <c r="J793">
        <v>271093</v>
      </c>
      <c r="K793">
        <v>1.010404003725865E-3</v>
      </c>
      <c r="L793">
        <v>126682</v>
      </c>
      <c r="M793">
        <v>128</v>
      </c>
      <c r="O793">
        <v>44</v>
      </c>
    </row>
    <row r="794" spans="1:15" x14ac:dyDescent="0.25">
      <c r="A794" t="s">
        <v>564</v>
      </c>
      <c r="B794" t="s">
        <v>28</v>
      </c>
      <c r="C794" t="s">
        <v>151</v>
      </c>
      <c r="D794" t="s">
        <v>76</v>
      </c>
      <c r="E794" t="s">
        <v>8399</v>
      </c>
      <c r="F794" t="s">
        <v>78</v>
      </c>
      <c r="G794" t="s">
        <v>8400</v>
      </c>
      <c r="H794" t="s">
        <v>9156</v>
      </c>
      <c r="I794">
        <v>3.7994341425267339E-4</v>
      </c>
      <c r="J794">
        <v>271093</v>
      </c>
      <c r="K794">
        <v>8.130594717481568E-4</v>
      </c>
      <c r="L794">
        <v>126682</v>
      </c>
      <c r="M794">
        <v>103</v>
      </c>
      <c r="O794">
        <v>45</v>
      </c>
    </row>
    <row r="795" spans="1:15" x14ac:dyDescent="0.25">
      <c r="A795" t="s">
        <v>564</v>
      </c>
      <c r="B795" t="s">
        <v>28</v>
      </c>
      <c r="C795" t="s">
        <v>151</v>
      </c>
      <c r="D795" t="s">
        <v>76</v>
      </c>
      <c r="E795" t="s">
        <v>602</v>
      </c>
      <c r="F795" t="s">
        <v>648</v>
      </c>
      <c r="G795" t="s">
        <v>649</v>
      </c>
      <c r="H795" t="s">
        <v>9154</v>
      </c>
      <c r="I795">
        <v>3.1723430704592152E-4</v>
      </c>
      <c r="J795">
        <v>271093</v>
      </c>
      <c r="K795">
        <v>6.7886519000331534E-4</v>
      </c>
      <c r="L795">
        <v>126682</v>
      </c>
      <c r="M795">
        <v>86</v>
      </c>
      <c r="N795">
        <v>2.3E-2</v>
      </c>
      <c r="O795">
        <v>46</v>
      </c>
    </row>
    <row r="796" spans="1:15" x14ac:dyDescent="0.25">
      <c r="A796" t="s">
        <v>564</v>
      </c>
      <c r="B796" t="s">
        <v>28</v>
      </c>
      <c r="C796" t="s">
        <v>151</v>
      </c>
      <c r="D796" t="s">
        <v>76</v>
      </c>
      <c r="E796" t="s">
        <v>644</v>
      </c>
      <c r="F796" t="s">
        <v>78</v>
      </c>
      <c r="G796" t="s">
        <v>645</v>
      </c>
      <c r="H796" t="s">
        <v>9150</v>
      </c>
      <c r="I796">
        <v>3.1354553603375962E-4</v>
      </c>
      <c r="J796">
        <v>271093</v>
      </c>
      <c r="K796">
        <v>6.7097140872420706E-4</v>
      </c>
      <c r="L796">
        <v>126682</v>
      </c>
      <c r="M796">
        <v>85</v>
      </c>
      <c r="N796">
        <v>5.8200000000000002E-2</v>
      </c>
      <c r="O796">
        <v>47</v>
      </c>
    </row>
    <row r="797" spans="1:15" x14ac:dyDescent="0.25">
      <c r="A797" t="s">
        <v>564</v>
      </c>
      <c r="B797" t="s">
        <v>28</v>
      </c>
      <c r="C797" t="s">
        <v>151</v>
      </c>
      <c r="D797" t="s">
        <v>76</v>
      </c>
      <c r="E797" t="s">
        <v>660</v>
      </c>
      <c r="F797" t="s">
        <v>78</v>
      </c>
      <c r="G797" t="s">
        <v>661</v>
      </c>
      <c r="H797" t="s">
        <v>9155</v>
      </c>
      <c r="I797">
        <v>3.0616799400943589E-4</v>
      </c>
      <c r="J797">
        <v>271093</v>
      </c>
      <c r="K797">
        <v>6.551838461659904E-4</v>
      </c>
      <c r="L797">
        <v>126682</v>
      </c>
      <c r="M797">
        <v>83</v>
      </c>
      <c r="N797">
        <v>0.13089999999999999</v>
      </c>
      <c r="O797">
        <v>48</v>
      </c>
    </row>
    <row r="798" spans="1:15" x14ac:dyDescent="0.25">
      <c r="A798" t="s">
        <v>564</v>
      </c>
      <c r="B798" t="s">
        <v>28</v>
      </c>
      <c r="C798" t="s">
        <v>151</v>
      </c>
      <c r="D798" t="s">
        <v>76</v>
      </c>
      <c r="E798" t="s">
        <v>630</v>
      </c>
      <c r="F798" t="s">
        <v>78</v>
      </c>
      <c r="G798" t="s">
        <v>631</v>
      </c>
      <c r="H798" t="s">
        <v>9157</v>
      </c>
      <c r="I798">
        <v>2.6190274186349333E-4</v>
      </c>
      <c r="J798">
        <v>271093</v>
      </c>
      <c r="K798">
        <v>5.6045847081669065E-4</v>
      </c>
      <c r="L798">
        <v>126682</v>
      </c>
      <c r="M798">
        <v>71</v>
      </c>
      <c r="N798">
        <v>2.7799999999999998E-2</v>
      </c>
      <c r="O798">
        <v>49</v>
      </c>
    </row>
    <row r="799" spans="1:15" x14ac:dyDescent="0.25">
      <c r="A799" t="s">
        <v>564</v>
      </c>
      <c r="B799" t="s">
        <v>28</v>
      </c>
      <c r="C799" t="s">
        <v>151</v>
      </c>
      <c r="D799" t="s">
        <v>76</v>
      </c>
      <c r="E799" t="s">
        <v>636</v>
      </c>
      <c r="F799" t="s">
        <v>78</v>
      </c>
      <c r="G799" t="s">
        <v>637</v>
      </c>
      <c r="H799" t="s">
        <v>9148</v>
      </c>
      <c r="I799">
        <v>1.6599469554728449E-4</v>
      </c>
      <c r="J799">
        <v>271093</v>
      </c>
      <c r="K799">
        <v>3.5522015755987428E-4</v>
      </c>
      <c r="L799">
        <v>126682</v>
      </c>
      <c r="M799">
        <v>45</v>
      </c>
      <c r="O799">
        <v>50</v>
      </c>
    </row>
    <row r="800" spans="1:15" x14ac:dyDescent="0.25">
      <c r="A800" t="s">
        <v>564</v>
      </c>
      <c r="B800" t="s">
        <v>28</v>
      </c>
      <c r="C800" t="s">
        <v>151</v>
      </c>
      <c r="D800" t="s">
        <v>76</v>
      </c>
      <c r="E800" t="s">
        <v>654</v>
      </c>
      <c r="F800" t="s">
        <v>78</v>
      </c>
      <c r="G800" t="s">
        <v>655</v>
      </c>
      <c r="H800" t="s">
        <v>9161</v>
      </c>
      <c r="I800">
        <v>1.069743593526945E-4</v>
      </c>
      <c r="J800">
        <v>271093</v>
      </c>
      <c r="K800">
        <v>2.2891965709414121E-4</v>
      </c>
      <c r="L800">
        <v>126682</v>
      </c>
      <c r="M800">
        <v>29</v>
      </c>
      <c r="O800">
        <v>51</v>
      </c>
    </row>
    <row r="801" spans="1:15" x14ac:dyDescent="0.25">
      <c r="A801" t="s">
        <v>564</v>
      </c>
      <c r="B801" t="s">
        <v>28</v>
      </c>
      <c r="C801" t="s">
        <v>151</v>
      </c>
      <c r="D801" t="s">
        <v>76</v>
      </c>
      <c r="E801" t="s">
        <v>664</v>
      </c>
      <c r="F801" t="s">
        <v>78</v>
      </c>
      <c r="G801" t="s">
        <v>665</v>
      </c>
      <c r="H801" t="s">
        <v>9159</v>
      </c>
      <c r="I801">
        <v>9.9596817328370701E-5</v>
      </c>
      <c r="J801">
        <v>271093</v>
      </c>
      <c r="K801">
        <v>2.131320945359246E-4</v>
      </c>
      <c r="L801">
        <v>126682</v>
      </c>
      <c r="M801">
        <v>27</v>
      </c>
      <c r="O801">
        <v>52</v>
      </c>
    </row>
    <row r="802" spans="1:15" x14ac:dyDescent="0.25">
      <c r="A802" t="s">
        <v>564</v>
      </c>
      <c r="B802" t="s">
        <v>28</v>
      </c>
      <c r="C802" t="s">
        <v>151</v>
      </c>
      <c r="D802" t="s">
        <v>76</v>
      </c>
      <c r="E802" t="s">
        <v>602</v>
      </c>
      <c r="F802" t="s">
        <v>650</v>
      </c>
      <c r="G802" t="s">
        <v>651</v>
      </c>
      <c r="H802" t="s">
        <v>9152</v>
      </c>
      <c r="I802">
        <v>9.9596817328370701E-5</v>
      </c>
      <c r="J802">
        <v>271093</v>
      </c>
      <c r="K802">
        <v>2.131320945359246E-4</v>
      </c>
      <c r="L802">
        <v>126682</v>
      </c>
      <c r="M802">
        <v>27</v>
      </c>
      <c r="N802">
        <v>0.1852</v>
      </c>
      <c r="O802">
        <v>53</v>
      </c>
    </row>
    <row r="803" spans="1:15" x14ac:dyDescent="0.25">
      <c r="A803" t="s">
        <v>564</v>
      </c>
      <c r="B803" t="s">
        <v>28</v>
      </c>
      <c r="C803" t="s">
        <v>151</v>
      </c>
      <c r="D803" t="s">
        <v>76</v>
      </c>
      <c r="E803" t="s">
        <v>81</v>
      </c>
      <c r="F803" t="s">
        <v>646</v>
      </c>
      <c r="G803" t="s">
        <v>647</v>
      </c>
      <c r="H803" t="s">
        <v>9158</v>
      </c>
      <c r="I803">
        <v>8.4841733279723193E-5</v>
      </c>
      <c r="J803">
        <v>271093</v>
      </c>
      <c r="K803">
        <v>1.815569694194913E-4</v>
      </c>
      <c r="L803">
        <v>126682</v>
      </c>
      <c r="M803">
        <v>23</v>
      </c>
      <c r="N803">
        <v>4.3499999999999997E-2</v>
      </c>
      <c r="O803">
        <v>54</v>
      </c>
    </row>
    <row r="804" spans="1:15" x14ac:dyDescent="0.25">
      <c r="A804" t="s">
        <v>564</v>
      </c>
      <c r="B804" t="s">
        <v>28</v>
      </c>
      <c r="C804" t="s">
        <v>151</v>
      </c>
      <c r="D804" t="s">
        <v>76</v>
      </c>
      <c r="E804" t="s">
        <v>654</v>
      </c>
      <c r="F804" t="s">
        <v>8388</v>
      </c>
      <c r="G804" t="s">
        <v>8389</v>
      </c>
      <c r="H804" t="s">
        <v>9166</v>
      </c>
      <c r="I804">
        <v>5.5331565182428171E-5</v>
      </c>
      <c r="J804">
        <v>271093</v>
      </c>
      <c r="K804">
        <v>1.184067191866248E-4</v>
      </c>
      <c r="L804">
        <v>126682</v>
      </c>
      <c r="M804">
        <v>15</v>
      </c>
      <c r="O804">
        <v>55</v>
      </c>
    </row>
    <row r="805" spans="1:15" x14ac:dyDescent="0.25">
      <c r="A805" t="s">
        <v>564</v>
      </c>
      <c r="B805" t="s">
        <v>28</v>
      </c>
      <c r="C805" t="s">
        <v>151</v>
      </c>
      <c r="D805" t="s">
        <v>76</v>
      </c>
      <c r="E805" t="s">
        <v>81</v>
      </c>
      <c r="F805" t="s">
        <v>851</v>
      </c>
      <c r="G805" t="s">
        <v>852</v>
      </c>
      <c r="H805" t="s">
        <v>9165</v>
      </c>
      <c r="I805">
        <v>4.0576481133780663E-5</v>
      </c>
      <c r="J805">
        <v>271093</v>
      </c>
      <c r="K805">
        <v>8.68315940701915E-5</v>
      </c>
      <c r="L805">
        <v>126682</v>
      </c>
      <c r="M805">
        <v>11</v>
      </c>
      <c r="O805">
        <v>56</v>
      </c>
    </row>
    <row r="806" spans="1:15" x14ac:dyDescent="0.25">
      <c r="A806" t="s">
        <v>564</v>
      </c>
      <c r="B806" t="s">
        <v>28</v>
      </c>
      <c r="C806" t="s">
        <v>151</v>
      </c>
      <c r="D806" t="s">
        <v>76</v>
      </c>
      <c r="E806" t="s">
        <v>674</v>
      </c>
      <c r="F806" t="s">
        <v>78</v>
      </c>
      <c r="G806" t="s">
        <v>675</v>
      </c>
      <c r="H806" t="s">
        <v>9163</v>
      </c>
      <c r="I806">
        <v>4.0576481133780663E-5</v>
      </c>
      <c r="J806">
        <v>271093</v>
      </c>
      <c r="K806">
        <v>8.68315940701915E-5</v>
      </c>
      <c r="L806">
        <v>126682</v>
      </c>
      <c r="M806">
        <v>11</v>
      </c>
      <c r="N806">
        <v>0.18179999999999999</v>
      </c>
      <c r="O806">
        <v>57</v>
      </c>
    </row>
    <row r="807" spans="1:15" x14ac:dyDescent="0.25">
      <c r="A807" t="s">
        <v>564</v>
      </c>
      <c r="B807" t="s">
        <v>28</v>
      </c>
      <c r="C807" t="s">
        <v>151</v>
      </c>
      <c r="D807" t="s">
        <v>76</v>
      </c>
      <c r="E807" t="s">
        <v>676</v>
      </c>
      <c r="F807" t="s">
        <v>78</v>
      </c>
      <c r="G807" t="s">
        <v>677</v>
      </c>
      <c r="H807" t="s">
        <v>9169</v>
      </c>
      <c r="I807">
        <v>3.6887710121618783E-5</v>
      </c>
      <c r="J807">
        <v>271093</v>
      </c>
      <c r="K807">
        <v>7.8937812791083183E-5</v>
      </c>
      <c r="L807">
        <v>126682</v>
      </c>
      <c r="M807">
        <v>10</v>
      </c>
      <c r="O807">
        <v>58</v>
      </c>
    </row>
    <row r="808" spans="1:15" x14ac:dyDescent="0.25">
      <c r="A808" t="s">
        <v>564</v>
      </c>
      <c r="B808" t="s">
        <v>28</v>
      </c>
      <c r="C808" t="s">
        <v>151</v>
      </c>
      <c r="D808" t="s">
        <v>76</v>
      </c>
      <c r="E808" t="s">
        <v>602</v>
      </c>
      <c r="F808" t="s">
        <v>670</v>
      </c>
      <c r="G808" t="s">
        <v>671</v>
      </c>
      <c r="H808" t="s">
        <v>9164</v>
      </c>
      <c r="I808">
        <v>3.3198939109456902E-5</v>
      </c>
      <c r="J808">
        <v>271093</v>
      </c>
      <c r="K808">
        <v>7.1044031511974866E-5</v>
      </c>
      <c r="L808">
        <v>126682</v>
      </c>
      <c r="M808">
        <v>9</v>
      </c>
      <c r="O808">
        <v>59</v>
      </c>
    </row>
    <row r="809" spans="1:15" x14ac:dyDescent="0.25">
      <c r="A809" t="s">
        <v>564</v>
      </c>
      <c r="B809" t="s">
        <v>28</v>
      </c>
      <c r="C809" t="s">
        <v>151</v>
      </c>
      <c r="D809" t="s">
        <v>76</v>
      </c>
      <c r="E809" t="s">
        <v>654</v>
      </c>
      <c r="F809" t="s">
        <v>8507</v>
      </c>
      <c r="G809" t="s">
        <v>8508</v>
      </c>
      <c r="H809" t="s">
        <v>9167</v>
      </c>
      <c r="I809">
        <v>2.5821397085133149E-5</v>
      </c>
      <c r="J809">
        <v>271093</v>
      </c>
      <c r="K809">
        <v>5.5256468953758232E-5</v>
      </c>
      <c r="L809">
        <v>126682</v>
      </c>
      <c r="M809">
        <v>7</v>
      </c>
      <c r="O809">
        <v>60</v>
      </c>
    </row>
    <row r="810" spans="1:15" x14ac:dyDescent="0.25">
      <c r="A810" t="s">
        <v>564</v>
      </c>
      <c r="B810" t="s">
        <v>28</v>
      </c>
      <c r="C810" t="s">
        <v>151</v>
      </c>
      <c r="D810" t="s">
        <v>76</v>
      </c>
      <c r="E810" t="s">
        <v>654</v>
      </c>
      <c r="F810" t="s">
        <v>8392</v>
      </c>
      <c r="G810" t="s">
        <v>8393</v>
      </c>
      <c r="H810" t="s">
        <v>9168</v>
      </c>
      <c r="I810">
        <v>2.2132626072971268E-5</v>
      </c>
      <c r="J810">
        <v>271093</v>
      </c>
      <c r="K810">
        <v>4.7362687674649909E-5</v>
      </c>
      <c r="L810">
        <v>126682</v>
      </c>
      <c r="M810">
        <v>6</v>
      </c>
      <c r="O810">
        <v>61</v>
      </c>
    </row>
    <row r="811" spans="1:15" x14ac:dyDescent="0.25">
      <c r="A811" t="s">
        <v>564</v>
      </c>
      <c r="B811" t="s">
        <v>28</v>
      </c>
      <c r="C811" t="s">
        <v>151</v>
      </c>
      <c r="D811" t="s">
        <v>76</v>
      </c>
      <c r="E811" t="s">
        <v>81</v>
      </c>
      <c r="F811" t="s">
        <v>604</v>
      </c>
      <c r="G811" t="s">
        <v>605</v>
      </c>
      <c r="H811" t="s">
        <v>9172</v>
      </c>
      <c r="I811">
        <v>2.2132626072971268E-5</v>
      </c>
      <c r="J811">
        <v>271093</v>
      </c>
      <c r="K811">
        <v>4.7362687674649909E-5</v>
      </c>
      <c r="L811">
        <v>126682</v>
      </c>
      <c r="M811">
        <v>6</v>
      </c>
      <c r="O811">
        <v>62</v>
      </c>
    </row>
    <row r="812" spans="1:15" x14ac:dyDescent="0.25">
      <c r="A812" t="s">
        <v>564</v>
      </c>
      <c r="B812" t="s">
        <v>28</v>
      </c>
      <c r="C812" t="s">
        <v>151</v>
      </c>
      <c r="D812" t="s">
        <v>76</v>
      </c>
      <c r="E812" t="s">
        <v>672</v>
      </c>
      <c r="F812" t="s">
        <v>78</v>
      </c>
      <c r="G812" t="s">
        <v>673</v>
      </c>
      <c r="H812" t="s">
        <v>9171</v>
      </c>
      <c r="I812">
        <v>1.4755084048647509E-5</v>
      </c>
      <c r="J812">
        <v>271093</v>
      </c>
      <c r="K812">
        <v>3.1575125116433268E-5</v>
      </c>
      <c r="L812">
        <v>126682</v>
      </c>
      <c r="M812">
        <v>4</v>
      </c>
      <c r="O812">
        <v>63</v>
      </c>
    </row>
    <row r="813" spans="1:15" x14ac:dyDescent="0.25">
      <c r="A813" t="s">
        <v>564</v>
      </c>
      <c r="B813" t="s">
        <v>28</v>
      </c>
      <c r="C813" t="s">
        <v>151</v>
      </c>
      <c r="D813" t="s">
        <v>76</v>
      </c>
      <c r="E813" t="s">
        <v>654</v>
      </c>
      <c r="F813" t="s">
        <v>8395</v>
      </c>
      <c r="G813" t="s">
        <v>8396</v>
      </c>
      <c r="H813" t="s">
        <v>9174</v>
      </c>
      <c r="I813">
        <v>1.1066313036485631E-5</v>
      </c>
      <c r="J813">
        <v>271093</v>
      </c>
      <c r="K813">
        <v>2.3681343837324951E-5</v>
      </c>
      <c r="L813">
        <v>126682</v>
      </c>
      <c r="M813">
        <v>3</v>
      </c>
      <c r="O813">
        <v>64</v>
      </c>
    </row>
    <row r="814" spans="1:15" x14ac:dyDescent="0.25">
      <c r="A814" t="s">
        <v>564</v>
      </c>
      <c r="B814" t="s">
        <v>28</v>
      </c>
      <c r="C814" t="s">
        <v>151</v>
      </c>
      <c r="D814" t="s">
        <v>76</v>
      </c>
      <c r="E814" t="s">
        <v>668</v>
      </c>
      <c r="F814" t="s">
        <v>78</v>
      </c>
      <c r="G814" t="s">
        <v>669</v>
      </c>
      <c r="H814" t="s">
        <v>9177</v>
      </c>
      <c r="I814">
        <v>1.1066313036485631E-5</v>
      </c>
      <c r="J814">
        <v>271093</v>
      </c>
      <c r="K814">
        <v>2.3681343837324951E-5</v>
      </c>
      <c r="L814">
        <v>126682</v>
      </c>
      <c r="M814">
        <v>3</v>
      </c>
      <c r="O814">
        <v>65</v>
      </c>
    </row>
    <row r="815" spans="1:15" x14ac:dyDescent="0.25">
      <c r="A815" t="s">
        <v>564</v>
      </c>
      <c r="B815" t="s">
        <v>28</v>
      </c>
      <c r="C815" t="s">
        <v>151</v>
      </c>
      <c r="D815" t="s">
        <v>76</v>
      </c>
      <c r="E815" t="s">
        <v>654</v>
      </c>
      <c r="F815" t="s">
        <v>8471</v>
      </c>
      <c r="G815" t="s">
        <v>8472</v>
      </c>
      <c r="H815" t="s">
        <v>9173</v>
      </c>
      <c r="I815">
        <v>1.1066313036485631E-5</v>
      </c>
      <c r="J815">
        <v>271093</v>
      </c>
      <c r="K815">
        <v>2.3681343837324951E-5</v>
      </c>
      <c r="L815">
        <v>126682</v>
      </c>
      <c r="M815">
        <v>3</v>
      </c>
      <c r="O815">
        <v>66</v>
      </c>
    </row>
    <row r="816" spans="1:15" x14ac:dyDescent="0.25">
      <c r="A816" t="s">
        <v>564</v>
      </c>
      <c r="B816" t="s">
        <v>28</v>
      </c>
      <c r="C816" t="s">
        <v>151</v>
      </c>
      <c r="D816" t="s">
        <v>76</v>
      </c>
      <c r="E816" t="s">
        <v>602</v>
      </c>
      <c r="F816" t="s">
        <v>666</v>
      </c>
      <c r="G816" t="s">
        <v>667</v>
      </c>
      <c r="H816" t="s">
        <v>9242</v>
      </c>
      <c r="I816">
        <v>1.1066313036485631E-5</v>
      </c>
      <c r="J816">
        <v>271093</v>
      </c>
      <c r="K816">
        <v>2.3681343837324951E-5</v>
      </c>
      <c r="L816">
        <v>126682</v>
      </c>
      <c r="M816">
        <v>3</v>
      </c>
      <c r="O816">
        <v>67</v>
      </c>
    </row>
    <row r="817" spans="1:15" x14ac:dyDescent="0.25">
      <c r="A817" t="s">
        <v>564</v>
      </c>
      <c r="B817" t="s">
        <v>28</v>
      </c>
      <c r="C817" t="s">
        <v>151</v>
      </c>
      <c r="D817" t="s">
        <v>76</v>
      </c>
      <c r="E817" t="s">
        <v>678</v>
      </c>
      <c r="F817" t="s">
        <v>78</v>
      </c>
      <c r="G817" t="s">
        <v>679</v>
      </c>
      <c r="H817" t="s">
        <v>9170</v>
      </c>
      <c r="I817">
        <v>7.3775420243237564E-6</v>
      </c>
      <c r="J817">
        <v>271093</v>
      </c>
      <c r="K817">
        <v>1.5787562558216641E-5</v>
      </c>
      <c r="L817">
        <v>126682</v>
      </c>
      <c r="M817">
        <v>2</v>
      </c>
      <c r="O817">
        <v>68</v>
      </c>
    </row>
    <row r="818" spans="1:15" x14ac:dyDescent="0.25">
      <c r="A818" t="s">
        <v>564</v>
      </c>
      <c r="B818" t="s">
        <v>28</v>
      </c>
      <c r="C818" t="s">
        <v>151</v>
      </c>
      <c r="D818" t="s">
        <v>76</v>
      </c>
      <c r="E818" t="s">
        <v>656</v>
      </c>
      <c r="F818" t="s">
        <v>78</v>
      </c>
      <c r="G818" t="s">
        <v>657</v>
      </c>
      <c r="H818" t="s">
        <v>9175</v>
      </c>
      <c r="I818">
        <v>3.6887710121618782E-6</v>
      </c>
      <c r="J818">
        <v>271093</v>
      </c>
      <c r="K818">
        <v>7.8937812791083187E-6</v>
      </c>
      <c r="L818">
        <v>126682</v>
      </c>
      <c r="M818">
        <v>1</v>
      </c>
      <c r="O818">
        <v>69</v>
      </c>
    </row>
    <row r="819" spans="1:15" x14ac:dyDescent="0.25">
      <c r="A819" t="s">
        <v>564</v>
      </c>
      <c r="B819" t="s">
        <v>28</v>
      </c>
      <c r="C819" t="s">
        <v>151</v>
      </c>
      <c r="D819" t="s">
        <v>76</v>
      </c>
      <c r="E819" t="s">
        <v>602</v>
      </c>
      <c r="F819" t="s">
        <v>1090</v>
      </c>
      <c r="G819" t="s">
        <v>1091</v>
      </c>
      <c r="H819" t="s">
        <v>9241</v>
      </c>
      <c r="J819">
        <v>271093</v>
      </c>
      <c r="L819">
        <v>126682</v>
      </c>
      <c r="O819">
        <v>70</v>
      </c>
    </row>
    <row r="820" spans="1:15" x14ac:dyDescent="0.25">
      <c r="A820" t="s">
        <v>564</v>
      </c>
      <c r="B820" t="s">
        <v>28</v>
      </c>
      <c r="C820" t="s">
        <v>151</v>
      </c>
      <c r="D820" t="s">
        <v>76</v>
      </c>
      <c r="E820" t="s">
        <v>634</v>
      </c>
      <c r="F820" t="s">
        <v>883</v>
      </c>
      <c r="G820" t="s">
        <v>884</v>
      </c>
      <c r="H820" t="s">
        <v>9235</v>
      </c>
      <c r="J820">
        <v>271093</v>
      </c>
      <c r="L820">
        <v>126682</v>
      </c>
      <c r="O820">
        <v>71</v>
      </c>
    </row>
    <row r="821" spans="1:15" x14ac:dyDescent="0.25">
      <c r="A821" t="s">
        <v>564</v>
      </c>
      <c r="B821" t="s">
        <v>28</v>
      </c>
      <c r="C821" t="s">
        <v>151</v>
      </c>
      <c r="D821" t="s">
        <v>76</v>
      </c>
      <c r="E821" t="s">
        <v>634</v>
      </c>
      <c r="F821" t="s">
        <v>880</v>
      </c>
      <c r="G821" t="s">
        <v>881</v>
      </c>
      <c r="H821" t="s">
        <v>9162</v>
      </c>
      <c r="J821">
        <v>271093</v>
      </c>
      <c r="L821">
        <v>126682</v>
      </c>
      <c r="O821">
        <v>72</v>
      </c>
    </row>
    <row r="822" spans="1:15" x14ac:dyDescent="0.25">
      <c r="A822" t="s">
        <v>564</v>
      </c>
      <c r="B822" t="s">
        <v>28</v>
      </c>
      <c r="C822" t="s">
        <v>151</v>
      </c>
      <c r="D822" t="s">
        <v>76</v>
      </c>
      <c r="E822" t="s">
        <v>602</v>
      </c>
      <c r="F822" t="s">
        <v>876</v>
      </c>
      <c r="G822" t="s">
        <v>877</v>
      </c>
      <c r="H822" t="s">
        <v>9243</v>
      </c>
      <c r="J822">
        <v>271093</v>
      </c>
      <c r="L822">
        <v>126682</v>
      </c>
      <c r="O822">
        <v>73</v>
      </c>
    </row>
    <row r="823" spans="1:15" x14ac:dyDescent="0.25">
      <c r="A823" t="s">
        <v>564</v>
      </c>
      <c r="B823" t="s">
        <v>28</v>
      </c>
      <c r="C823" t="s">
        <v>151</v>
      </c>
      <c r="D823" t="s">
        <v>76</v>
      </c>
      <c r="E823" t="s">
        <v>602</v>
      </c>
      <c r="F823" t="s">
        <v>870</v>
      </c>
      <c r="G823" t="s">
        <v>871</v>
      </c>
      <c r="H823" t="s">
        <v>9238</v>
      </c>
      <c r="J823">
        <v>271093</v>
      </c>
      <c r="L823">
        <v>126682</v>
      </c>
      <c r="O823">
        <v>74</v>
      </c>
    </row>
    <row r="824" spans="1:15" x14ac:dyDescent="0.25">
      <c r="A824" t="s">
        <v>564</v>
      </c>
      <c r="B824" t="s">
        <v>28</v>
      </c>
      <c r="C824" t="s">
        <v>151</v>
      </c>
      <c r="D824" t="s">
        <v>76</v>
      </c>
      <c r="E824" t="s">
        <v>602</v>
      </c>
      <c r="F824" t="s">
        <v>867</v>
      </c>
      <c r="G824" t="s">
        <v>868</v>
      </c>
      <c r="H824" t="s">
        <v>9236</v>
      </c>
      <c r="J824">
        <v>271093</v>
      </c>
      <c r="L824">
        <v>126682</v>
      </c>
      <c r="O824">
        <v>75</v>
      </c>
    </row>
    <row r="825" spans="1:15" x14ac:dyDescent="0.25">
      <c r="A825" t="s">
        <v>564</v>
      </c>
      <c r="B825" t="s">
        <v>28</v>
      </c>
      <c r="C825" t="s">
        <v>151</v>
      </c>
      <c r="D825" t="s">
        <v>76</v>
      </c>
      <c r="E825" t="s">
        <v>602</v>
      </c>
      <c r="F825" t="s">
        <v>864</v>
      </c>
      <c r="G825" t="s">
        <v>865</v>
      </c>
      <c r="H825" t="s">
        <v>9239</v>
      </c>
      <c r="J825">
        <v>271093</v>
      </c>
      <c r="L825">
        <v>126682</v>
      </c>
      <c r="O825">
        <v>76</v>
      </c>
    </row>
    <row r="826" spans="1:15" x14ac:dyDescent="0.25">
      <c r="A826" t="s">
        <v>564</v>
      </c>
      <c r="B826" t="s">
        <v>28</v>
      </c>
      <c r="C826" t="s">
        <v>151</v>
      </c>
      <c r="D826" t="s">
        <v>76</v>
      </c>
      <c r="E826" t="s">
        <v>602</v>
      </c>
      <c r="F826" t="s">
        <v>854</v>
      </c>
      <c r="G826" t="s">
        <v>855</v>
      </c>
      <c r="H826" t="s">
        <v>9244</v>
      </c>
      <c r="J826">
        <v>271093</v>
      </c>
      <c r="L826">
        <v>126682</v>
      </c>
      <c r="O826">
        <v>77</v>
      </c>
    </row>
    <row r="827" spans="1:15" x14ac:dyDescent="0.25">
      <c r="A827" t="s">
        <v>564</v>
      </c>
      <c r="B827" t="s">
        <v>28</v>
      </c>
      <c r="C827" t="s">
        <v>151</v>
      </c>
      <c r="D827" t="s">
        <v>76</v>
      </c>
      <c r="E827" t="s">
        <v>602</v>
      </c>
      <c r="F827" t="s">
        <v>1099</v>
      </c>
      <c r="G827" t="s">
        <v>1100</v>
      </c>
      <c r="H827" t="s">
        <v>9240</v>
      </c>
      <c r="J827">
        <v>271093</v>
      </c>
      <c r="L827">
        <v>126682</v>
      </c>
      <c r="O827">
        <v>78</v>
      </c>
    </row>
    <row r="828" spans="1:15" x14ac:dyDescent="0.25">
      <c r="A828" t="s">
        <v>564</v>
      </c>
      <c r="B828" t="s">
        <v>28</v>
      </c>
      <c r="C828" t="s">
        <v>151</v>
      </c>
      <c r="D828" t="s">
        <v>76</v>
      </c>
      <c r="E828" t="s">
        <v>602</v>
      </c>
      <c r="F828" t="s">
        <v>1087</v>
      </c>
      <c r="G828" t="s">
        <v>1088</v>
      </c>
      <c r="H828" t="s">
        <v>9237</v>
      </c>
      <c r="J828">
        <v>271093</v>
      </c>
      <c r="L828">
        <v>126682</v>
      </c>
      <c r="O828">
        <v>79</v>
      </c>
    </row>
    <row r="829" spans="1:15" x14ac:dyDescent="0.25">
      <c r="A829" t="s">
        <v>564</v>
      </c>
      <c r="B829" t="s">
        <v>28</v>
      </c>
      <c r="C829" t="s">
        <v>151</v>
      </c>
      <c r="D829" t="s">
        <v>76</v>
      </c>
      <c r="E829" t="s">
        <v>654</v>
      </c>
      <c r="F829" t="s">
        <v>8518</v>
      </c>
      <c r="G829" t="s">
        <v>8519</v>
      </c>
      <c r="H829" t="s">
        <v>9187</v>
      </c>
      <c r="J829">
        <v>271093</v>
      </c>
      <c r="L829">
        <v>126682</v>
      </c>
      <c r="O829">
        <v>80</v>
      </c>
    </row>
    <row r="830" spans="1:15" x14ac:dyDescent="0.25">
      <c r="A830" t="s">
        <v>564</v>
      </c>
      <c r="B830" t="s">
        <v>28</v>
      </c>
      <c r="C830" t="s">
        <v>151</v>
      </c>
      <c r="D830" t="s">
        <v>76</v>
      </c>
      <c r="E830" t="s">
        <v>654</v>
      </c>
      <c r="F830" t="s">
        <v>8465</v>
      </c>
      <c r="G830" t="s">
        <v>8466</v>
      </c>
      <c r="H830" t="s">
        <v>9188</v>
      </c>
      <c r="J830">
        <v>271093</v>
      </c>
      <c r="L830">
        <v>126682</v>
      </c>
      <c r="O830">
        <v>81</v>
      </c>
    </row>
    <row r="831" spans="1:15" x14ac:dyDescent="0.25">
      <c r="A831" t="s">
        <v>564</v>
      </c>
      <c r="B831" t="s">
        <v>28</v>
      </c>
      <c r="C831" t="s">
        <v>151</v>
      </c>
      <c r="D831" t="s">
        <v>76</v>
      </c>
      <c r="E831" t="s">
        <v>886</v>
      </c>
      <c r="F831" t="s">
        <v>8512</v>
      </c>
      <c r="G831" t="s">
        <v>8513</v>
      </c>
      <c r="H831" t="s">
        <v>9255</v>
      </c>
      <c r="J831">
        <v>271093</v>
      </c>
      <c r="L831">
        <v>126682</v>
      </c>
      <c r="O831">
        <v>82</v>
      </c>
    </row>
    <row r="832" spans="1:15" x14ac:dyDescent="0.25">
      <c r="A832" t="s">
        <v>564</v>
      </c>
      <c r="B832" t="s">
        <v>28</v>
      </c>
      <c r="C832" t="s">
        <v>151</v>
      </c>
      <c r="D832" t="s">
        <v>76</v>
      </c>
      <c r="E832" t="s">
        <v>886</v>
      </c>
      <c r="F832" t="s">
        <v>8495</v>
      </c>
      <c r="G832" t="s">
        <v>8496</v>
      </c>
      <c r="H832" t="s">
        <v>9262</v>
      </c>
      <c r="J832">
        <v>271093</v>
      </c>
      <c r="L832">
        <v>126682</v>
      </c>
      <c r="O832">
        <v>83</v>
      </c>
    </row>
    <row r="833" spans="1:15" x14ac:dyDescent="0.25">
      <c r="A833" t="s">
        <v>564</v>
      </c>
      <c r="B833" t="s">
        <v>28</v>
      </c>
      <c r="C833" t="s">
        <v>151</v>
      </c>
      <c r="D833" t="s">
        <v>76</v>
      </c>
      <c r="E833" t="s">
        <v>886</v>
      </c>
      <c r="F833" t="s">
        <v>8504</v>
      </c>
      <c r="G833" t="s">
        <v>8505</v>
      </c>
      <c r="H833" t="s">
        <v>9261</v>
      </c>
      <c r="J833">
        <v>271093</v>
      </c>
      <c r="L833">
        <v>126682</v>
      </c>
      <c r="O833">
        <v>84</v>
      </c>
    </row>
    <row r="834" spans="1:15" x14ac:dyDescent="0.25">
      <c r="A834" t="s">
        <v>564</v>
      </c>
      <c r="B834" t="s">
        <v>28</v>
      </c>
      <c r="C834" t="s">
        <v>151</v>
      </c>
      <c r="D834" t="s">
        <v>76</v>
      </c>
      <c r="E834" t="s">
        <v>686</v>
      </c>
      <c r="F834" t="s">
        <v>1084</v>
      </c>
      <c r="G834" t="s">
        <v>1085</v>
      </c>
      <c r="H834" t="s">
        <v>9264</v>
      </c>
      <c r="J834">
        <v>271093</v>
      </c>
      <c r="L834">
        <v>126682</v>
      </c>
      <c r="O834">
        <v>85</v>
      </c>
    </row>
    <row r="835" spans="1:15" x14ac:dyDescent="0.25">
      <c r="A835" t="s">
        <v>564</v>
      </c>
      <c r="B835" t="s">
        <v>28</v>
      </c>
      <c r="C835" t="s">
        <v>151</v>
      </c>
      <c r="D835" t="s">
        <v>76</v>
      </c>
      <c r="E835" t="s">
        <v>686</v>
      </c>
      <c r="F835" t="s">
        <v>1069</v>
      </c>
      <c r="G835" t="s">
        <v>1070</v>
      </c>
      <c r="H835" t="s">
        <v>9269</v>
      </c>
      <c r="J835">
        <v>271093</v>
      </c>
      <c r="L835">
        <v>126682</v>
      </c>
      <c r="O835">
        <v>86</v>
      </c>
    </row>
    <row r="836" spans="1:15" x14ac:dyDescent="0.25">
      <c r="A836" t="s">
        <v>564</v>
      </c>
      <c r="B836" t="s">
        <v>28</v>
      </c>
      <c r="C836" t="s">
        <v>151</v>
      </c>
      <c r="D836" t="s">
        <v>76</v>
      </c>
      <c r="E836" t="s">
        <v>686</v>
      </c>
      <c r="F836" t="s">
        <v>1063</v>
      </c>
      <c r="G836" t="s">
        <v>1064</v>
      </c>
      <c r="H836" t="s">
        <v>9178</v>
      </c>
      <c r="J836">
        <v>271093</v>
      </c>
      <c r="L836">
        <v>126682</v>
      </c>
      <c r="O836">
        <v>87</v>
      </c>
    </row>
    <row r="837" spans="1:15" x14ac:dyDescent="0.25">
      <c r="A837" t="s">
        <v>564</v>
      </c>
      <c r="B837" t="s">
        <v>28</v>
      </c>
      <c r="C837" t="s">
        <v>151</v>
      </c>
      <c r="D837" t="s">
        <v>76</v>
      </c>
      <c r="E837" t="s">
        <v>686</v>
      </c>
      <c r="F837" t="s">
        <v>1045</v>
      </c>
      <c r="G837" t="s">
        <v>1046</v>
      </c>
      <c r="H837" t="s">
        <v>9257</v>
      </c>
      <c r="J837">
        <v>271093</v>
      </c>
      <c r="L837">
        <v>126682</v>
      </c>
      <c r="O837">
        <v>88</v>
      </c>
    </row>
    <row r="838" spans="1:15" x14ac:dyDescent="0.25">
      <c r="A838" t="s">
        <v>564</v>
      </c>
      <c r="B838" t="s">
        <v>28</v>
      </c>
      <c r="C838" t="s">
        <v>151</v>
      </c>
      <c r="D838" t="s">
        <v>76</v>
      </c>
      <c r="E838" t="s">
        <v>686</v>
      </c>
      <c r="F838" t="s">
        <v>1039</v>
      </c>
      <c r="G838" t="s">
        <v>1040</v>
      </c>
      <c r="H838" t="s">
        <v>9253</v>
      </c>
      <c r="J838">
        <v>271093</v>
      </c>
      <c r="L838">
        <v>126682</v>
      </c>
      <c r="O838">
        <v>89</v>
      </c>
    </row>
    <row r="839" spans="1:15" x14ac:dyDescent="0.25">
      <c r="A839" t="s">
        <v>564</v>
      </c>
      <c r="B839" t="s">
        <v>28</v>
      </c>
      <c r="C839" t="s">
        <v>151</v>
      </c>
      <c r="D839" t="s">
        <v>76</v>
      </c>
      <c r="E839" t="s">
        <v>686</v>
      </c>
      <c r="F839" t="s">
        <v>1036</v>
      </c>
      <c r="G839" t="s">
        <v>1037</v>
      </c>
      <c r="H839" t="s">
        <v>9259</v>
      </c>
      <c r="J839">
        <v>271093</v>
      </c>
      <c r="L839">
        <v>126682</v>
      </c>
      <c r="O839">
        <v>90</v>
      </c>
    </row>
    <row r="840" spans="1:15" x14ac:dyDescent="0.25">
      <c r="A840" t="s">
        <v>564</v>
      </c>
      <c r="B840" t="s">
        <v>28</v>
      </c>
      <c r="C840" t="s">
        <v>151</v>
      </c>
      <c r="D840" t="s">
        <v>76</v>
      </c>
      <c r="E840" t="s">
        <v>686</v>
      </c>
      <c r="F840" t="s">
        <v>1024</v>
      </c>
      <c r="G840" t="s">
        <v>1025</v>
      </c>
      <c r="H840" t="s">
        <v>9256</v>
      </c>
      <c r="J840">
        <v>271093</v>
      </c>
      <c r="L840">
        <v>126682</v>
      </c>
      <c r="O840">
        <v>91</v>
      </c>
    </row>
    <row r="841" spans="1:15" x14ac:dyDescent="0.25">
      <c r="A841" t="s">
        <v>564</v>
      </c>
      <c r="B841" t="s">
        <v>28</v>
      </c>
      <c r="C841" t="s">
        <v>151</v>
      </c>
      <c r="D841" t="s">
        <v>76</v>
      </c>
      <c r="E841" t="s">
        <v>686</v>
      </c>
      <c r="F841" t="s">
        <v>1021</v>
      </c>
      <c r="G841" t="s">
        <v>1022</v>
      </c>
      <c r="H841" t="s">
        <v>9248</v>
      </c>
      <c r="J841">
        <v>271093</v>
      </c>
      <c r="L841">
        <v>126682</v>
      </c>
      <c r="O841">
        <v>92</v>
      </c>
    </row>
    <row r="842" spans="1:15" x14ac:dyDescent="0.25">
      <c r="A842" t="s">
        <v>564</v>
      </c>
      <c r="B842" t="s">
        <v>28</v>
      </c>
      <c r="C842" t="s">
        <v>151</v>
      </c>
      <c r="D842" t="s">
        <v>76</v>
      </c>
      <c r="E842" t="s">
        <v>686</v>
      </c>
      <c r="F842" t="s">
        <v>1012</v>
      </c>
      <c r="G842" t="s">
        <v>1013</v>
      </c>
      <c r="H842" t="s">
        <v>9258</v>
      </c>
      <c r="J842">
        <v>271093</v>
      </c>
      <c r="L842">
        <v>126682</v>
      </c>
      <c r="O842">
        <v>93</v>
      </c>
    </row>
    <row r="843" spans="1:15" x14ac:dyDescent="0.25">
      <c r="A843" t="s">
        <v>564</v>
      </c>
      <c r="B843" t="s">
        <v>28</v>
      </c>
      <c r="C843" t="s">
        <v>151</v>
      </c>
      <c r="D843" t="s">
        <v>76</v>
      </c>
      <c r="E843" t="s">
        <v>686</v>
      </c>
      <c r="F843" t="s">
        <v>1009</v>
      </c>
      <c r="G843" t="s">
        <v>1010</v>
      </c>
      <c r="H843" t="s">
        <v>9270</v>
      </c>
      <c r="J843">
        <v>271093</v>
      </c>
      <c r="L843">
        <v>126682</v>
      </c>
      <c r="O843">
        <v>94</v>
      </c>
    </row>
    <row r="844" spans="1:15" x14ac:dyDescent="0.25">
      <c r="A844" t="s">
        <v>564</v>
      </c>
      <c r="B844" t="s">
        <v>28</v>
      </c>
      <c r="C844" t="s">
        <v>151</v>
      </c>
      <c r="D844" t="s">
        <v>76</v>
      </c>
      <c r="E844" t="s">
        <v>686</v>
      </c>
      <c r="F844" t="s">
        <v>1006</v>
      </c>
      <c r="G844" t="s">
        <v>1007</v>
      </c>
      <c r="H844" t="s">
        <v>9271</v>
      </c>
      <c r="J844">
        <v>271093</v>
      </c>
      <c r="L844">
        <v>126682</v>
      </c>
      <c r="O844">
        <v>95</v>
      </c>
    </row>
    <row r="845" spans="1:15" x14ac:dyDescent="0.25">
      <c r="A845" t="s">
        <v>564</v>
      </c>
      <c r="B845" t="s">
        <v>28</v>
      </c>
      <c r="C845" t="s">
        <v>151</v>
      </c>
      <c r="D845" t="s">
        <v>76</v>
      </c>
      <c r="E845" t="s">
        <v>686</v>
      </c>
      <c r="F845" t="s">
        <v>991</v>
      </c>
      <c r="G845" t="s">
        <v>992</v>
      </c>
      <c r="H845" t="s">
        <v>9251</v>
      </c>
      <c r="J845">
        <v>271093</v>
      </c>
      <c r="L845">
        <v>126682</v>
      </c>
      <c r="O845">
        <v>96</v>
      </c>
    </row>
    <row r="846" spans="1:15" x14ac:dyDescent="0.25">
      <c r="A846" t="s">
        <v>564</v>
      </c>
      <c r="B846" t="s">
        <v>28</v>
      </c>
      <c r="C846" t="s">
        <v>151</v>
      </c>
      <c r="D846" t="s">
        <v>76</v>
      </c>
      <c r="E846" t="s">
        <v>686</v>
      </c>
      <c r="F846" t="s">
        <v>958</v>
      </c>
      <c r="G846" t="s">
        <v>959</v>
      </c>
      <c r="H846" t="s">
        <v>9250</v>
      </c>
      <c r="J846">
        <v>271093</v>
      </c>
      <c r="L846">
        <v>126682</v>
      </c>
      <c r="O846">
        <v>97</v>
      </c>
    </row>
    <row r="847" spans="1:15" x14ac:dyDescent="0.25">
      <c r="A847" t="s">
        <v>564</v>
      </c>
      <c r="B847" t="s">
        <v>28</v>
      </c>
      <c r="C847" t="s">
        <v>151</v>
      </c>
      <c r="D847" t="s">
        <v>76</v>
      </c>
      <c r="E847" t="s">
        <v>686</v>
      </c>
      <c r="F847" t="s">
        <v>952</v>
      </c>
      <c r="G847" t="s">
        <v>953</v>
      </c>
      <c r="H847" t="s">
        <v>9260</v>
      </c>
      <c r="J847">
        <v>271093</v>
      </c>
      <c r="L847">
        <v>126682</v>
      </c>
      <c r="O847">
        <v>98</v>
      </c>
    </row>
    <row r="848" spans="1:15" x14ac:dyDescent="0.25">
      <c r="A848" t="s">
        <v>564</v>
      </c>
      <c r="B848" t="s">
        <v>28</v>
      </c>
      <c r="C848" t="s">
        <v>151</v>
      </c>
      <c r="D848" t="s">
        <v>76</v>
      </c>
      <c r="E848" t="s">
        <v>686</v>
      </c>
      <c r="F848" t="s">
        <v>940</v>
      </c>
      <c r="G848" t="s">
        <v>941</v>
      </c>
      <c r="H848" t="s">
        <v>9272</v>
      </c>
      <c r="J848">
        <v>271093</v>
      </c>
      <c r="L848">
        <v>126682</v>
      </c>
      <c r="O848">
        <v>99</v>
      </c>
    </row>
    <row r="849" spans="1:15" x14ac:dyDescent="0.25">
      <c r="A849" t="s">
        <v>564</v>
      </c>
      <c r="B849" t="s">
        <v>28</v>
      </c>
      <c r="C849" t="s">
        <v>151</v>
      </c>
      <c r="D849" t="s">
        <v>76</v>
      </c>
      <c r="E849" t="s">
        <v>686</v>
      </c>
      <c r="F849" t="s">
        <v>937</v>
      </c>
      <c r="G849" t="s">
        <v>938</v>
      </c>
      <c r="H849" t="s">
        <v>9266</v>
      </c>
      <c r="J849">
        <v>271093</v>
      </c>
      <c r="L849">
        <v>126682</v>
      </c>
      <c r="O849">
        <v>100</v>
      </c>
    </row>
    <row r="850" spans="1:15" x14ac:dyDescent="0.25">
      <c r="A850" t="s">
        <v>564</v>
      </c>
      <c r="B850" t="s">
        <v>28</v>
      </c>
      <c r="C850" t="s">
        <v>151</v>
      </c>
      <c r="D850" t="s">
        <v>76</v>
      </c>
      <c r="E850" t="s">
        <v>686</v>
      </c>
      <c r="F850" t="s">
        <v>934</v>
      </c>
      <c r="G850" t="s">
        <v>935</v>
      </c>
      <c r="H850" t="s">
        <v>9265</v>
      </c>
      <c r="J850">
        <v>271093</v>
      </c>
      <c r="L850">
        <v>126682</v>
      </c>
      <c r="O850">
        <v>101</v>
      </c>
    </row>
    <row r="851" spans="1:15" x14ac:dyDescent="0.25">
      <c r="A851" t="s">
        <v>564</v>
      </c>
      <c r="B851" t="s">
        <v>28</v>
      </c>
      <c r="C851" t="s">
        <v>151</v>
      </c>
      <c r="D851" t="s">
        <v>76</v>
      </c>
      <c r="E851" t="s">
        <v>686</v>
      </c>
      <c r="F851" t="s">
        <v>924</v>
      </c>
      <c r="G851" t="s">
        <v>925</v>
      </c>
      <c r="H851" t="s">
        <v>9249</v>
      </c>
      <c r="J851">
        <v>271093</v>
      </c>
      <c r="L851">
        <v>126682</v>
      </c>
      <c r="O851">
        <v>102</v>
      </c>
    </row>
    <row r="852" spans="1:15" x14ac:dyDescent="0.25">
      <c r="A852" t="s">
        <v>564</v>
      </c>
      <c r="B852" t="s">
        <v>28</v>
      </c>
      <c r="C852" t="s">
        <v>151</v>
      </c>
      <c r="D852" t="s">
        <v>76</v>
      </c>
      <c r="E852" t="s">
        <v>686</v>
      </c>
      <c r="F852" t="s">
        <v>921</v>
      </c>
      <c r="G852" t="s">
        <v>922</v>
      </c>
      <c r="H852" t="s">
        <v>9263</v>
      </c>
      <c r="J852">
        <v>271093</v>
      </c>
      <c r="L852">
        <v>126682</v>
      </c>
      <c r="O852">
        <v>103</v>
      </c>
    </row>
    <row r="853" spans="1:15" x14ac:dyDescent="0.25">
      <c r="A853" t="s">
        <v>564</v>
      </c>
      <c r="B853" t="s">
        <v>28</v>
      </c>
      <c r="C853" t="s">
        <v>151</v>
      </c>
      <c r="D853" t="s">
        <v>76</v>
      </c>
      <c r="E853" t="s">
        <v>686</v>
      </c>
      <c r="F853" t="s">
        <v>915</v>
      </c>
      <c r="G853" t="s">
        <v>916</v>
      </c>
      <c r="H853" t="s">
        <v>9254</v>
      </c>
      <c r="J853">
        <v>271093</v>
      </c>
      <c r="L853">
        <v>126682</v>
      </c>
      <c r="O853">
        <v>104</v>
      </c>
    </row>
    <row r="854" spans="1:15" x14ac:dyDescent="0.25">
      <c r="A854" t="s">
        <v>564</v>
      </c>
      <c r="B854" t="s">
        <v>28</v>
      </c>
      <c r="C854" t="s">
        <v>151</v>
      </c>
      <c r="D854" t="s">
        <v>76</v>
      </c>
      <c r="E854" t="s">
        <v>686</v>
      </c>
      <c r="F854" t="s">
        <v>909</v>
      </c>
      <c r="G854" t="s">
        <v>910</v>
      </c>
      <c r="H854" t="s">
        <v>9247</v>
      </c>
      <c r="J854">
        <v>271093</v>
      </c>
      <c r="L854">
        <v>126682</v>
      </c>
      <c r="O854">
        <v>105</v>
      </c>
    </row>
    <row r="855" spans="1:15" x14ac:dyDescent="0.25">
      <c r="A855" t="s">
        <v>564</v>
      </c>
      <c r="B855" t="s">
        <v>28</v>
      </c>
      <c r="C855" t="s">
        <v>151</v>
      </c>
      <c r="D855" t="s">
        <v>76</v>
      </c>
      <c r="E855" t="s">
        <v>686</v>
      </c>
      <c r="F855" t="s">
        <v>894</v>
      </c>
      <c r="G855" t="s">
        <v>895</v>
      </c>
      <c r="H855" t="s">
        <v>9246</v>
      </c>
      <c r="J855">
        <v>271093</v>
      </c>
      <c r="L855">
        <v>126682</v>
      </c>
      <c r="O855">
        <v>106</v>
      </c>
    </row>
    <row r="856" spans="1:15" x14ac:dyDescent="0.25">
      <c r="A856" t="s">
        <v>564</v>
      </c>
      <c r="B856" t="s">
        <v>28</v>
      </c>
      <c r="C856" t="s">
        <v>151</v>
      </c>
      <c r="D856" t="s">
        <v>76</v>
      </c>
      <c r="E856" t="s">
        <v>897</v>
      </c>
      <c r="F856" t="s">
        <v>78</v>
      </c>
      <c r="G856" t="s">
        <v>898</v>
      </c>
      <c r="H856" t="s">
        <v>9203</v>
      </c>
      <c r="J856">
        <v>271093</v>
      </c>
      <c r="L856">
        <v>126682</v>
      </c>
      <c r="O856">
        <v>107</v>
      </c>
    </row>
    <row r="857" spans="1:15" x14ac:dyDescent="0.25">
      <c r="A857" t="s">
        <v>564</v>
      </c>
      <c r="B857" t="s">
        <v>28</v>
      </c>
      <c r="C857" t="s">
        <v>151</v>
      </c>
      <c r="D857" t="s">
        <v>76</v>
      </c>
      <c r="E857" t="s">
        <v>900</v>
      </c>
      <c r="F857" t="s">
        <v>78</v>
      </c>
      <c r="G857" t="s">
        <v>901</v>
      </c>
      <c r="H857" t="s">
        <v>9201</v>
      </c>
      <c r="J857">
        <v>271093</v>
      </c>
      <c r="L857">
        <v>126682</v>
      </c>
      <c r="O857">
        <v>108</v>
      </c>
    </row>
    <row r="858" spans="1:15" x14ac:dyDescent="0.25">
      <c r="A858" t="s">
        <v>564</v>
      </c>
      <c r="B858" t="s">
        <v>28</v>
      </c>
      <c r="C858" t="s">
        <v>151</v>
      </c>
      <c r="D858" t="s">
        <v>76</v>
      </c>
      <c r="E858" t="s">
        <v>903</v>
      </c>
      <c r="F858" t="s">
        <v>78</v>
      </c>
      <c r="G858" t="s">
        <v>904</v>
      </c>
      <c r="H858" t="s">
        <v>9191</v>
      </c>
      <c r="J858">
        <v>271093</v>
      </c>
      <c r="L858">
        <v>126682</v>
      </c>
      <c r="O858">
        <v>109</v>
      </c>
    </row>
    <row r="859" spans="1:15" x14ac:dyDescent="0.25">
      <c r="A859" t="s">
        <v>564</v>
      </c>
      <c r="B859" t="s">
        <v>28</v>
      </c>
      <c r="C859" t="s">
        <v>151</v>
      </c>
      <c r="D859" t="s">
        <v>76</v>
      </c>
      <c r="E859" t="s">
        <v>906</v>
      </c>
      <c r="F859" t="s">
        <v>78</v>
      </c>
      <c r="G859" t="s">
        <v>907</v>
      </c>
      <c r="H859" t="s">
        <v>9189</v>
      </c>
      <c r="J859">
        <v>271093</v>
      </c>
      <c r="L859">
        <v>126682</v>
      </c>
      <c r="O859">
        <v>110</v>
      </c>
    </row>
    <row r="860" spans="1:15" x14ac:dyDescent="0.25">
      <c r="A860" t="s">
        <v>564</v>
      </c>
      <c r="B860" t="s">
        <v>28</v>
      </c>
      <c r="C860" t="s">
        <v>151</v>
      </c>
      <c r="D860" t="s">
        <v>76</v>
      </c>
      <c r="E860" t="s">
        <v>912</v>
      </c>
      <c r="F860" t="s">
        <v>78</v>
      </c>
      <c r="G860" t="s">
        <v>913</v>
      </c>
      <c r="H860" t="s">
        <v>9196</v>
      </c>
      <c r="J860">
        <v>271093</v>
      </c>
      <c r="L860">
        <v>126682</v>
      </c>
      <c r="O860">
        <v>111</v>
      </c>
    </row>
    <row r="861" spans="1:15" x14ac:dyDescent="0.25">
      <c r="A861" t="s">
        <v>564</v>
      </c>
      <c r="B861" t="s">
        <v>28</v>
      </c>
      <c r="C861" t="s">
        <v>151</v>
      </c>
      <c r="D861" t="s">
        <v>76</v>
      </c>
      <c r="E861" t="s">
        <v>662</v>
      </c>
      <c r="F861" t="s">
        <v>78</v>
      </c>
      <c r="G861" t="s">
        <v>663</v>
      </c>
      <c r="H861" t="s">
        <v>9218</v>
      </c>
      <c r="J861">
        <v>271093</v>
      </c>
      <c r="L861">
        <v>126682</v>
      </c>
      <c r="O861">
        <v>112</v>
      </c>
    </row>
    <row r="862" spans="1:15" x14ac:dyDescent="0.25">
      <c r="A862" t="s">
        <v>564</v>
      </c>
      <c r="B862" t="s">
        <v>28</v>
      </c>
      <c r="C862" t="s">
        <v>151</v>
      </c>
      <c r="D862" t="s">
        <v>76</v>
      </c>
      <c r="E862" t="s">
        <v>918</v>
      </c>
      <c r="F862" t="s">
        <v>78</v>
      </c>
      <c r="G862" t="s">
        <v>919</v>
      </c>
      <c r="H862" t="s">
        <v>9199</v>
      </c>
      <c r="J862">
        <v>271093</v>
      </c>
      <c r="L862">
        <v>126682</v>
      </c>
      <c r="O862">
        <v>113</v>
      </c>
    </row>
    <row r="863" spans="1:15" x14ac:dyDescent="0.25">
      <c r="A863" t="s">
        <v>564</v>
      </c>
      <c r="B863" t="s">
        <v>28</v>
      </c>
      <c r="C863" t="s">
        <v>151</v>
      </c>
      <c r="D863" t="s">
        <v>76</v>
      </c>
      <c r="E863" t="s">
        <v>927</v>
      </c>
      <c r="F863" t="s">
        <v>78</v>
      </c>
      <c r="G863" t="s">
        <v>928</v>
      </c>
      <c r="H863" t="s">
        <v>9198</v>
      </c>
      <c r="J863">
        <v>271093</v>
      </c>
      <c r="L863">
        <v>126682</v>
      </c>
      <c r="O863">
        <v>114</v>
      </c>
    </row>
    <row r="864" spans="1:15" x14ac:dyDescent="0.25">
      <c r="A864" t="s">
        <v>564</v>
      </c>
      <c r="B864" t="s">
        <v>28</v>
      </c>
      <c r="C864" t="s">
        <v>151</v>
      </c>
      <c r="D864" t="s">
        <v>76</v>
      </c>
      <c r="E864" t="s">
        <v>690</v>
      </c>
      <c r="F864" t="s">
        <v>78</v>
      </c>
      <c r="G864" t="s">
        <v>691</v>
      </c>
      <c r="H864" t="s">
        <v>9194</v>
      </c>
      <c r="J864">
        <v>271093</v>
      </c>
      <c r="L864">
        <v>126682</v>
      </c>
      <c r="O864">
        <v>115</v>
      </c>
    </row>
    <row r="865" spans="1:15" x14ac:dyDescent="0.25">
      <c r="A865" t="s">
        <v>564</v>
      </c>
      <c r="B865" t="s">
        <v>28</v>
      </c>
      <c r="C865" t="s">
        <v>151</v>
      </c>
      <c r="D865" t="s">
        <v>76</v>
      </c>
      <c r="E865" t="s">
        <v>931</v>
      </c>
      <c r="F865" t="s">
        <v>78</v>
      </c>
      <c r="G865" t="s">
        <v>932</v>
      </c>
      <c r="H865" t="s">
        <v>9183</v>
      </c>
      <c r="J865">
        <v>271093</v>
      </c>
      <c r="L865">
        <v>126682</v>
      </c>
      <c r="O865">
        <v>116</v>
      </c>
    </row>
    <row r="866" spans="1:15" x14ac:dyDescent="0.25">
      <c r="A866" t="s">
        <v>564</v>
      </c>
      <c r="B866" t="s">
        <v>28</v>
      </c>
      <c r="C866" t="s">
        <v>151</v>
      </c>
      <c r="D866" t="s">
        <v>76</v>
      </c>
      <c r="E866" t="s">
        <v>943</v>
      </c>
      <c r="F866" t="s">
        <v>78</v>
      </c>
      <c r="G866" t="s">
        <v>944</v>
      </c>
      <c r="H866" t="s">
        <v>9184</v>
      </c>
      <c r="J866">
        <v>271093</v>
      </c>
      <c r="L866">
        <v>126682</v>
      </c>
      <c r="O866">
        <v>117</v>
      </c>
    </row>
    <row r="867" spans="1:15" x14ac:dyDescent="0.25">
      <c r="A867" t="s">
        <v>564</v>
      </c>
      <c r="B867" t="s">
        <v>28</v>
      </c>
      <c r="C867" t="s">
        <v>151</v>
      </c>
      <c r="D867" t="s">
        <v>76</v>
      </c>
      <c r="E867" t="s">
        <v>946</v>
      </c>
      <c r="F867" t="s">
        <v>78</v>
      </c>
      <c r="G867" t="s">
        <v>947</v>
      </c>
      <c r="H867" t="s">
        <v>9220</v>
      </c>
      <c r="J867">
        <v>271093</v>
      </c>
      <c r="L867">
        <v>126682</v>
      </c>
      <c r="O867">
        <v>118</v>
      </c>
    </row>
    <row r="868" spans="1:15" x14ac:dyDescent="0.25">
      <c r="A868" t="s">
        <v>564</v>
      </c>
      <c r="B868" t="s">
        <v>28</v>
      </c>
      <c r="C868" t="s">
        <v>151</v>
      </c>
      <c r="D868" t="s">
        <v>76</v>
      </c>
      <c r="E868" t="s">
        <v>949</v>
      </c>
      <c r="F868" t="s">
        <v>78</v>
      </c>
      <c r="G868" t="s">
        <v>950</v>
      </c>
      <c r="H868" t="s">
        <v>9219</v>
      </c>
      <c r="J868">
        <v>271093</v>
      </c>
      <c r="L868">
        <v>126682</v>
      </c>
      <c r="O868">
        <v>119</v>
      </c>
    </row>
    <row r="869" spans="1:15" x14ac:dyDescent="0.25">
      <c r="A869" t="s">
        <v>564</v>
      </c>
      <c r="B869" t="s">
        <v>28</v>
      </c>
      <c r="C869" t="s">
        <v>151</v>
      </c>
      <c r="D869" t="s">
        <v>76</v>
      </c>
      <c r="E869" t="s">
        <v>680</v>
      </c>
      <c r="F869" t="s">
        <v>78</v>
      </c>
      <c r="G869" t="s">
        <v>681</v>
      </c>
      <c r="H869" t="s">
        <v>9222</v>
      </c>
      <c r="J869">
        <v>271093</v>
      </c>
      <c r="L869">
        <v>126682</v>
      </c>
      <c r="O869">
        <v>120</v>
      </c>
    </row>
    <row r="870" spans="1:15" x14ac:dyDescent="0.25">
      <c r="A870" t="s">
        <v>564</v>
      </c>
      <c r="B870" t="s">
        <v>28</v>
      </c>
      <c r="C870" t="s">
        <v>151</v>
      </c>
      <c r="D870" t="s">
        <v>76</v>
      </c>
      <c r="E870" t="s">
        <v>955</v>
      </c>
      <c r="F870" t="s">
        <v>78</v>
      </c>
      <c r="G870" t="s">
        <v>956</v>
      </c>
      <c r="H870" t="s">
        <v>9216</v>
      </c>
      <c r="J870">
        <v>271093</v>
      </c>
      <c r="L870">
        <v>126682</v>
      </c>
      <c r="O870">
        <v>121</v>
      </c>
    </row>
    <row r="871" spans="1:15" x14ac:dyDescent="0.25">
      <c r="A871" t="s">
        <v>564</v>
      </c>
      <c r="B871" t="s">
        <v>28</v>
      </c>
      <c r="C871" t="s">
        <v>151</v>
      </c>
      <c r="D871" t="s">
        <v>76</v>
      </c>
      <c r="E871" t="s">
        <v>961</v>
      </c>
      <c r="F871" t="s">
        <v>78</v>
      </c>
      <c r="G871" t="s">
        <v>962</v>
      </c>
      <c r="H871" t="s">
        <v>9192</v>
      </c>
      <c r="J871">
        <v>271093</v>
      </c>
      <c r="L871">
        <v>126682</v>
      </c>
      <c r="O871">
        <v>122</v>
      </c>
    </row>
    <row r="872" spans="1:15" x14ac:dyDescent="0.25">
      <c r="A872" t="s">
        <v>564</v>
      </c>
      <c r="B872" t="s">
        <v>28</v>
      </c>
      <c r="C872" t="s">
        <v>151</v>
      </c>
      <c r="D872" t="s">
        <v>76</v>
      </c>
      <c r="E872" t="s">
        <v>964</v>
      </c>
      <c r="F872" t="s">
        <v>78</v>
      </c>
      <c r="G872" t="s">
        <v>965</v>
      </c>
      <c r="H872" t="s">
        <v>9212</v>
      </c>
      <c r="J872">
        <v>271093</v>
      </c>
      <c r="L872">
        <v>126682</v>
      </c>
      <c r="O872">
        <v>123</v>
      </c>
    </row>
    <row r="873" spans="1:15" x14ac:dyDescent="0.25">
      <c r="A873" t="s">
        <v>564</v>
      </c>
      <c r="B873" t="s">
        <v>28</v>
      </c>
      <c r="C873" t="s">
        <v>151</v>
      </c>
      <c r="D873" t="s">
        <v>76</v>
      </c>
      <c r="E873" t="s">
        <v>967</v>
      </c>
      <c r="F873" t="s">
        <v>78</v>
      </c>
      <c r="G873" t="s">
        <v>968</v>
      </c>
      <c r="H873" t="s">
        <v>9268</v>
      </c>
      <c r="J873">
        <v>271093</v>
      </c>
      <c r="L873">
        <v>126682</v>
      </c>
      <c r="O873">
        <v>124</v>
      </c>
    </row>
    <row r="874" spans="1:15" x14ac:dyDescent="0.25">
      <c r="A874" t="s">
        <v>564</v>
      </c>
      <c r="B874" t="s">
        <v>28</v>
      </c>
      <c r="C874" t="s">
        <v>151</v>
      </c>
      <c r="D874" t="s">
        <v>76</v>
      </c>
      <c r="E874" t="s">
        <v>970</v>
      </c>
      <c r="F874" t="s">
        <v>78</v>
      </c>
      <c r="G874" t="s">
        <v>971</v>
      </c>
      <c r="H874" t="s">
        <v>9224</v>
      </c>
      <c r="J874">
        <v>271093</v>
      </c>
      <c r="L874">
        <v>126682</v>
      </c>
      <c r="O874">
        <v>125</v>
      </c>
    </row>
    <row r="875" spans="1:15" x14ac:dyDescent="0.25">
      <c r="A875" t="s">
        <v>564</v>
      </c>
      <c r="B875" t="s">
        <v>28</v>
      </c>
      <c r="C875" t="s">
        <v>151</v>
      </c>
      <c r="D875" t="s">
        <v>76</v>
      </c>
      <c r="E875" t="s">
        <v>973</v>
      </c>
      <c r="F875" t="s">
        <v>78</v>
      </c>
      <c r="G875" t="s">
        <v>974</v>
      </c>
      <c r="H875" t="s">
        <v>9233</v>
      </c>
      <c r="J875">
        <v>271093</v>
      </c>
      <c r="L875">
        <v>126682</v>
      </c>
      <c r="O875">
        <v>126</v>
      </c>
    </row>
    <row r="876" spans="1:15" x14ac:dyDescent="0.25">
      <c r="A876" t="s">
        <v>564</v>
      </c>
      <c r="B876" t="s">
        <v>28</v>
      </c>
      <c r="C876" t="s">
        <v>151</v>
      </c>
      <c r="D876" t="s">
        <v>76</v>
      </c>
      <c r="E876" t="s">
        <v>976</v>
      </c>
      <c r="F876" t="s">
        <v>78</v>
      </c>
      <c r="G876" t="s">
        <v>977</v>
      </c>
      <c r="H876" t="s">
        <v>9223</v>
      </c>
      <c r="J876">
        <v>271093</v>
      </c>
      <c r="L876">
        <v>126682</v>
      </c>
      <c r="O876">
        <v>127</v>
      </c>
    </row>
    <row r="877" spans="1:15" x14ac:dyDescent="0.25">
      <c r="A877" t="s">
        <v>564</v>
      </c>
      <c r="B877" t="s">
        <v>28</v>
      </c>
      <c r="C877" t="s">
        <v>151</v>
      </c>
      <c r="D877" t="s">
        <v>76</v>
      </c>
      <c r="E877" t="s">
        <v>979</v>
      </c>
      <c r="F877" t="s">
        <v>78</v>
      </c>
      <c r="G877" t="s">
        <v>980</v>
      </c>
      <c r="H877" t="s">
        <v>9215</v>
      </c>
      <c r="J877">
        <v>271093</v>
      </c>
      <c r="L877">
        <v>126682</v>
      </c>
      <c r="O877">
        <v>128</v>
      </c>
    </row>
    <row r="878" spans="1:15" x14ac:dyDescent="0.25">
      <c r="A878" t="s">
        <v>564</v>
      </c>
      <c r="B878" t="s">
        <v>28</v>
      </c>
      <c r="C878" t="s">
        <v>151</v>
      </c>
      <c r="D878" t="s">
        <v>76</v>
      </c>
      <c r="E878" t="s">
        <v>982</v>
      </c>
      <c r="F878" t="s">
        <v>78</v>
      </c>
      <c r="G878" t="s">
        <v>983</v>
      </c>
      <c r="H878" t="s">
        <v>9213</v>
      </c>
      <c r="J878">
        <v>271093</v>
      </c>
      <c r="L878">
        <v>126682</v>
      </c>
      <c r="O878">
        <v>129</v>
      </c>
    </row>
    <row r="879" spans="1:15" x14ac:dyDescent="0.25">
      <c r="A879" t="s">
        <v>564</v>
      </c>
      <c r="B879" t="s">
        <v>28</v>
      </c>
      <c r="C879" t="s">
        <v>151</v>
      </c>
      <c r="D879" t="s">
        <v>76</v>
      </c>
      <c r="E879" t="s">
        <v>985</v>
      </c>
      <c r="F879" t="s">
        <v>78</v>
      </c>
      <c r="G879" t="s">
        <v>986</v>
      </c>
      <c r="H879" t="s">
        <v>9232</v>
      </c>
      <c r="J879">
        <v>271093</v>
      </c>
      <c r="L879">
        <v>126682</v>
      </c>
      <c r="O879">
        <v>130</v>
      </c>
    </row>
    <row r="880" spans="1:15" x14ac:dyDescent="0.25">
      <c r="A880" t="s">
        <v>564</v>
      </c>
      <c r="B880" t="s">
        <v>28</v>
      </c>
      <c r="C880" t="s">
        <v>151</v>
      </c>
      <c r="D880" t="s">
        <v>76</v>
      </c>
      <c r="E880" t="s">
        <v>988</v>
      </c>
      <c r="F880" t="s">
        <v>78</v>
      </c>
      <c r="G880" t="s">
        <v>989</v>
      </c>
      <c r="H880" t="s">
        <v>9227</v>
      </c>
      <c r="J880">
        <v>271093</v>
      </c>
      <c r="L880">
        <v>126682</v>
      </c>
      <c r="O880">
        <v>131</v>
      </c>
    </row>
    <row r="881" spans="1:15" x14ac:dyDescent="0.25">
      <c r="A881" t="s">
        <v>564</v>
      </c>
      <c r="B881" t="s">
        <v>28</v>
      </c>
      <c r="C881" t="s">
        <v>151</v>
      </c>
      <c r="D881" t="s">
        <v>76</v>
      </c>
      <c r="E881" t="s">
        <v>994</v>
      </c>
      <c r="F881" t="s">
        <v>78</v>
      </c>
      <c r="G881" t="s">
        <v>995</v>
      </c>
      <c r="H881" t="s">
        <v>9211</v>
      </c>
      <c r="J881">
        <v>271093</v>
      </c>
      <c r="L881">
        <v>126682</v>
      </c>
      <c r="O881">
        <v>132</v>
      </c>
    </row>
    <row r="882" spans="1:15" x14ac:dyDescent="0.25">
      <c r="A882" t="s">
        <v>564</v>
      </c>
      <c r="B882" t="s">
        <v>28</v>
      </c>
      <c r="C882" t="s">
        <v>151</v>
      </c>
      <c r="D882" t="s">
        <v>76</v>
      </c>
      <c r="E882" t="s">
        <v>997</v>
      </c>
      <c r="F882" t="s">
        <v>78</v>
      </c>
      <c r="G882" t="s">
        <v>998</v>
      </c>
      <c r="H882" t="s">
        <v>9226</v>
      </c>
      <c r="J882">
        <v>271093</v>
      </c>
      <c r="L882">
        <v>126682</v>
      </c>
      <c r="O882">
        <v>133</v>
      </c>
    </row>
    <row r="883" spans="1:15" x14ac:dyDescent="0.25">
      <c r="A883" t="s">
        <v>564</v>
      </c>
      <c r="B883" t="s">
        <v>28</v>
      </c>
      <c r="C883" t="s">
        <v>151</v>
      </c>
      <c r="D883" t="s">
        <v>76</v>
      </c>
      <c r="E883" t="s">
        <v>1000</v>
      </c>
      <c r="F883" t="s">
        <v>78</v>
      </c>
      <c r="G883" t="s">
        <v>1001</v>
      </c>
      <c r="H883" t="s">
        <v>9221</v>
      </c>
      <c r="J883">
        <v>271093</v>
      </c>
      <c r="L883">
        <v>126682</v>
      </c>
      <c r="O883">
        <v>134</v>
      </c>
    </row>
    <row r="884" spans="1:15" x14ac:dyDescent="0.25">
      <c r="A884" t="s">
        <v>564</v>
      </c>
      <c r="B884" t="s">
        <v>28</v>
      </c>
      <c r="C884" t="s">
        <v>151</v>
      </c>
      <c r="D884" t="s">
        <v>76</v>
      </c>
      <c r="E884" t="s">
        <v>1003</v>
      </c>
      <c r="F884" t="s">
        <v>78</v>
      </c>
      <c r="G884" t="s">
        <v>1004</v>
      </c>
      <c r="H884" t="s">
        <v>9231</v>
      </c>
      <c r="J884">
        <v>271093</v>
      </c>
      <c r="L884">
        <v>126682</v>
      </c>
      <c r="O884">
        <v>135</v>
      </c>
    </row>
    <row r="885" spans="1:15" x14ac:dyDescent="0.25">
      <c r="A885" t="s">
        <v>564</v>
      </c>
      <c r="B885" t="s">
        <v>28</v>
      </c>
      <c r="C885" t="s">
        <v>151</v>
      </c>
      <c r="D885" t="s">
        <v>76</v>
      </c>
      <c r="E885" t="s">
        <v>1015</v>
      </c>
      <c r="F885" t="s">
        <v>78</v>
      </c>
      <c r="G885" t="s">
        <v>1016</v>
      </c>
      <c r="H885" t="s">
        <v>9185</v>
      </c>
      <c r="J885">
        <v>271093</v>
      </c>
      <c r="L885">
        <v>126682</v>
      </c>
      <c r="O885">
        <v>136</v>
      </c>
    </row>
    <row r="886" spans="1:15" x14ac:dyDescent="0.25">
      <c r="A886" t="s">
        <v>564</v>
      </c>
      <c r="B886" t="s">
        <v>28</v>
      </c>
      <c r="C886" t="s">
        <v>151</v>
      </c>
      <c r="D886" t="s">
        <v>76</v>
      </c>
      <c r="E886" t="s">
        <v>1018</v>
      </c>
      <c r="F886" t="s">
        <v>78</v>
      </c>
      <c r="G886" t="s">
        <v>1019</v>
      </c>
      <c r="H886" t="s">
        <v>9207</v>
      </c>
      <c r="J886">
        <v>271093</v>
      </c>
      <c r="L886">
        <v>126682</v>
      </c>
      <c r="O886">
        <v>137</v>
      </c>
    </row>
    <row r="887" spans="1:15" x14ac:dyDescent="0.25">
      <c r="A887" t="s">
        <v>564</v>
      </c>
      <c r="B887" t="s">
        <v>28</v>
      </c>
      <c r="C887" t="s">
        <v>151</v>
      </c>
      <c r="D887" t="s">
        <v>76</v>
      </c>
      <c r="E887" t="s">
        <v>692</v>
      </c>
      <c r="F887" t="s">
        <v>78</v>
      </c>
      <c r="G887" t="s">
        <v>693</v>
      </c>
      <c r="H887" t="s">
        <v>9193</v>
      </c>
      <c r="J887">
        <v>271093</v>
      </c>
      <c r="L887">
        <v>126682</v>
      </c>
      <c r="O887">
        <v>138</v>
      </c>
    </row>
    <row r="888" spans="1:15" x14ac:dyDescent="0.25">
      <c r="A888" t="s">
        <v>564</v>
      </c>
      <c r="B888" t="s">
        <v>28</v>
      </c>
      <c r="C888" t="s">
        <v>151</v>
      </c>
      <c r="D888" t="s">
        <v>76</v>
      </c>
      <c r="E888" t="s">
        <v>1027</v>
      </c>
      <c r="F888" t="s">
        <v>78</v>
      </c>
      <c r="G888" t="s">
        <v>1028</v>
      </c>
      <c r="H888" t="s">
        <v>9229</v>
      </c>
      <c r="J888">
        <v>271093</v>
      </c>
      <c r="L888">
        <v>126682</v>
      </c>
      <c r="O888">
        <v>139</v>
      </c>
    </row>
    <row r="889" spans="1:15" x14ac:dyDescent="0.25">
      <c r="A889" t="s">
        <v>564</v>
      </c>
      <c r="B889" t="s">
        <v>28</v>
      </c>
      <c r="C889" t="s">
        <v>151</v>
      </c>
      <c r="D889" t="s">
        <v>76</v>
      </c>
      <c r="E889" t="s">
        <v>1030</v>
      </c>
      <c r="F889" t="s">
        <v>78</v>
      </c>
      <c r="G889" t="s">
        <v>1031</v>
      </c>
      <c r="H889" t="s">
        <v>9214</v>
      </c>
      <c r="J889">
        <v>271093</v>
      </c>
      <c r="L889">
        <v>126682</v>
      </c>
      <c r="O889">
        <v>140</v>
      </c>
    </row>
    <row r="890" spans="1:15" x14ac:dyDescent="0.25">
      <c r="A890" t="s">
        <v>564</v>
      </c>
      <c r="B890" t="s">
        <v>28</v>
      </c>
      <c r="C890" t="s">
        <v>151</v>
      </c>
      <c r="D890" t="s">
        <v>76</v>
      </c>
      <c r="E890" t="s">
        <v>1033</v>
      </c>
      <c r="F890" t="s">
        <v>78</v>
      </c>
      <c r="G890" t="s">
        <v>1034</v>
      </c>
      <c r="H890" t="s">
        <v>9234</v>
      </c>
      <c r="J890">
        <v>271093</v>
      </c>
      <c r="L890">
        <v>126682</v>
      </c>
      <c r="O890">
        <v>141</v>
      </c>
    </row>
    <row r="891" spans="1:15" x14ac:dyDescent="0.25">
      <c r="A891" t="s">
        <v>564</v>
      </c>
      <c r="B891" t="s">
        <v>28</v>
      </c>
      <c r="C891" t="s">
        <v>151</v>
      </c>
      <c r="D891" t="s">
        <v>76</v>
      </c>
      <c r="E891" t="s">
        <v>1042</v>
      </c>
      <c r="F891" t="s">
        <v>78</v>
      </c>
      <c r="G891" t="s">
        <v>1043</v>
      </c>
      <c r="H891" t="s">
        <v>9208</v>
      </c>
      <c r="J891">
        <v>271093</v>
      </c>
      <c r="L891">
        <v>126682</v>
      </c>
      <c r="O891">
        <v>142</v>
      </c>
    </row>
    <row r="892" spans="1:15" x14ac:dyDescent="0.25">
      <c r="A892" t="s">
        <v>564</v>
      </c>
      <c r="B892" t="s">
        <v>28</v>
      </c>
      <c r="C892" t="s">
        <v>151</v>
      </c>
      <c r="D892" t="s">
        <v>76</v>
      </c>
      <c r="E892" t="s">
        <v>10855</v>
      </c>
      <c r="F892" t="s">
        <v>78</v>
      </c>
      <c r="G892" t="s">
        <v>10856</v>
      </c>
      <c r="H892" t="s">
        <v>10861</v>
      </c>
      <c r="J892">
        <v>271093</v>
      </c>
      <c r="L892">
        <v>126682</v>
      </c>
      <c r="O892">
        <v>143</v>
      </c>
    </row>
    <row r="893" spans="1:15" x14ac:dyDescent="0.25">
      <c r="A893" t="s">
        <v>564</v>
      </c>
      <c r="B893" t="s">
        <v>28</v>
      </c>
      <c r="C893" t="s">
        <v>151</v>
      </c>
      <c r="D893" t="s">
        <v>76</v>
      </c>
      <c r="E893" t="s">
        <v>1048</v>
      </c>
      <c r="F893" t="s">
        <v>78</v>
      </c>
      <c r="G893" t="s">
        <v>1049</v>
      </c>
      <c r="H893" t="s">
        <v>9230</v>
      </c>
      <c r="J893">
        <v>271093</v>
      </c>
      <c r="L893">
        <v>126682</v>
      </c>
      <c r="O893">
        <v>144</v>
      </c>
    </row>
    <row r="894" spans="1:15" x14ac:dyDescent="0.25">
      <c r="A894" t="s">
        <v>564</v>
      </c>
      <c r="B894" t="s">
        <v>28</v>
      </c>
      <c r="C894" t="s">
        <v>151</v>
      </c>
      <c r="D894" t="s">
        <v>76</v>
      </c>
      <c r="E894" t="s">
        <v>1051</v>
      </c>
      <c r="F894" t="s">
        <v>78</v>
      </c>
      <c r="G894" t="s">
        <v>1052</v>
      </c>
      <c r="H894" t="s">
        <v>9228</v>
      </c>
      <c r="J894">
        <v>271093</v>
      </c>
      <c r="L894">
        <v>126682</v>
      </c>
      <c r="O894">
        <v>145</v>
      </c>
    </row>
    <row r="895" spans="1:15" x14ac:dyDescent="0.25">
      <c r="A895" t="s">
        <v>564</v>
      </c>
      <c r="B895" t="s">
        <v>28</v>
      </c>
      <c r="C895" t="s">
        <v>151</v>
      </c>
      <c r="D895" t="s">
        <v>76</v>
      </c>
      <c r="E895" t="s">
        <v>1054</v>
      </c>
      <c r="F895" t="s">
        <v>78</v>
      </c>
      <c r="G895" t="s">
        <v>1055</v>
      </c>
      <c r="H895" t="s">
        <v>9210</v>
      </c>
      <c r="J895">
        <v>271093</v>
      </c>
      <c r="L895">
        <v>126682</v>
      </c>
      <c r="O895">
        <v>146</v>
      </c>
    </row>
    <row r="896" spans="1:15" x14ac:dyDescent="0.25">
      <c r="A896" t="s">
        <v>564</v>
      </c>
      <c r="B896" t="s">
        <v>28</v>
      </c>
      <c r="C896" t="s">
        <v>151</v>
      </c>
      <c r="D896" t="s">
        <v>76</v>
      </c>
      <c r="E896" t="s">
        <v>1057</v>
      </c>
      <c r="F896" t="s">
        <v>78</v>
      </c>
      <c r="G896" t="s">
        <v>1058</v>
      </c>
      <c r="H896" t="s">
        <v>9217</v>
      </c>
      <c r="J896">
        <v>271093</v>
      </c>
      <c r="L896">
        <v>126682</v>
      </c>
      <c r="O896">
        <v>147</v>
      </c>
    </row>
    <row r="897" spans="1:15" x14ac:dyDescent="0.25">
      <c r="A897" t="s">
        <v>564</v>
      </c>
      <c r="B897" t="s">
        <v>28</v>
      </c>
      <c r="C897" t="s">
        <v>151</v>
      </c>
      <c r="D897" t="s">
        <v>76</v>
      </c>
      <c r="E897" t="s">
        <v>1060</v>
      </c>
      <c r="F897" t="s">
        <v>78</v>
      </c>
      <c r="G897" t="s">
        <v>1061</v>
      </c>
      <c r="H897" t="s">
        <v>9209</v>
      </c>
      <c r="J897">
        <v>271093</v>
      </c>
      <c r="L897">
        <v>126682</v>
      </c>
      <c r="O897">
        <v>148</v>
      </c>
    </row>
    <row r="898" spans="1:15" x14ac:dyDescent="0.25">
      <c r="A898" t="s">
        <v>564</v>
      </c>
      <c r="B898" t="s">
        <v>28</v>
      </c>
      <c r="C898" t="s">
        <v>151</v>
      </c>
      <c r="D898" t="s">
        <v>76</v>
      </c>
      <c r="E898" t="s">
        <v>1066</v>
      </c>
      <c r="F898" t="s">
        <v>78</v>
      </c>
      <c r="G898" t="s">
        <v>1067</v>
      </c>
      <c r="H898" t="s">
        <v>9206</v>
      </c>
      <c r="J898">
        <v>271093</v>
      </c>
      <c r="L898">
        <v>126682</v>
      </c>
      <c r="O898">
        <v>149</v>
      </c>
    </row>
    <row r="899" spans="1:15" x14ac:dyDescent="0.25">
      <c r="A899" t="s">
        <v>564</v>
      </c>
      <c r="B899" t="s">
        <v>28</v>
      </c>
      <c r="C899" t="s">
        <v>151</v>
      </c>
      <c r="D899" t="s">
        <v>76</v>
      </c>
      <c r="E899" t="s">
        <v>1072</v>
      </c>
      <c r="F899" t="s">
        <v>78</v>
      </c>
      <c r="G899" t="s">
        <v>1073</v>
      </c>
      <c r="H899" t="s">
        <v>9205</v>
      </c>
      <c r="J899">
        <v>271093</v>
      </c>
      <c r="L899">
        <v>126682</v>
      </c>
      <c r="O899">
        <v>150</v>
      </c>
    </row>
    <row r="900" spans="1:15" x14ac:dyDescent="0.25">
      <c r="A900" t="s">
        <v>564</v>
      </c>
      <c r="B900" t="s">
        <v>28</v>
      </c>
      <c r="C900" t="s">
        <v>151</v>
      </c>
      <c r="D900" t="s">
        <v>76</v>
      </c>
      <c r="E900" t="s">
        <v>1075</v>
      </c>
      <c r="F900" t="s">
        <v>78</v>
      </c>
      <c r="G900" t="s">
        <v>1076</v>
      </c>
      <c r="H900" t="s">
        <v>9204</v>
      </c>
      <c r="J900">
        <v>271093</v>
      </c>
      <c r="L900">
        <v>126682</v>
      </c>
      <c r="O900">
        <v>151</v>
      </c>
    </row>
    <row r="901" spans="1:15" x14ac:dyDescent="0.25">
      <c r="A901" t="s">
        <v>564</v>
      </c>
      <c r="B901" t="s">
        <v>28</v>
      </c>
      <c r="C901" t="s">
        <v>151</v>
      </c>
      <c r="D901" t="s">
        <v>76</v>
      </c>
      <c r="E901" t="s">
        <v>1078</v>
      </c>
      <c r="F901" t="s">
        <v>78</v>
      </c>
      <c r="G901" t="s">
        <v>1079</v>
      </c>
      <c r="H901" t="s">
        <v>9190</v>
      </c>
      <c r="J901">
        <v>271093</v>
      </c>
      <c r="L901">
        <v>126682</v>
      </c>
      <c r="O901">
        <v>152</v>
      </c>
    </row>
    <row r="902" spans="1:15" x14ac:dyDescent="0.25">
      <c r="A902" t="s">
        <v>564</v>
      </c>
      <c r="B902" t="s">
        <v>28</v>
      </c>
      <c r="C902" t="s">
        <v>151</v>
      </c>
      <c r="D902" t="s">
        <v>76</v>
      </c>
      <c r="E902" t="s">
        <v>1081</v>
      </c>
      <c r="F902" t="s">
        <v>78</v>
      </c>
      <c r="G902" t="s">
        <v>1082</v>
      </c>
      <c r="H902" t="s">
        <v>9181</v>
      </c>
      <c r="J902">
        <v>271093</v>
      </c>
      <c r="L902">
        <v>126682</v>
      </c>
      <c r="O902">
        <v>153</v>
      </c>
    </row>
    <row r="903" spans="1:15" x14ac:dyDescent="0.25">
      <c r="A903" t="s">
        <v>564</v>
      </c>
      <c r="B903" t="s">
        <v>28</v>
      </c>
      <c r="C903" t="s">
        <v>151</v>
      </c>
      <c r="D903" t="s">
        <v>76</v>
      </c>
      <c r="E903" t="s">
        <v>1093</v>
      </c>
      <c r="F903" t="s">
        <v>78</v>
      </c>
      <c r="G903" t="s">
        <v>1094</v>
      </c>
      <c r="H903" t="s">
        <v>9182</v>
      </c>
      <c r="J903">
        <v>271093</v>
      </c>
      <c r="L903">
        <v>126682</v>
      </c>
      <c r="O903">
        <v>154</v>
      </c>
    </row>
    <row r="904" spans="1:15" x14ac:dyDescent="0.25">
      <c r="A904" t="s">
        <v>564</v>
      </c>
      <c r="B904" t="s">
        <v>28</v>
      </c>
      <c r="C904" t="s">
        <v>151</v>
      </c>
      <c r="D904" t="s">
        <v>76</v>
      </c>
      <c r="E904" t="s">
        <v>1096</v>
      </c>
      <c r="F904" t="s">
        <v>78</v>
      </c>
      <c r="G904" t="s">
        <v>1097</v>
      </c>
      <c r="H904" t="s">
        <v>9202</v>
      </c>
      <c r="J904">
        <v>271093</v>
      </c>
      <c r="L904">
        <v>126682</v>
      </c>
      <c r="O904">
        <v>155</v>
      </c>
    </row>
    <row r="905" spans="1:15" x14ac:dyDescent="0.25">
      <c r="A905" t="s">
        <v>564</v>
      </c>
      <c r="B905" t="s">
        <v>28</v>
      </c>
      <c r="C905" t="s">
        <v>151</v>
      </c>
      <c r="D905" t="s">
        <v>76</v>
      </c>
      <c r="E905" t="s">
        <v>8468</v>
      </c>
      <c r="F905" t="s">
        <v>78</v>
      </c>
      <c r="G905" t="s">
        <v>8469</v>
      </c>
      <c r="H905" t="s">
        <v>9252</v>
      </c>
      <c r="J905">
        <v>271093</v>
      </c>
      <c r="L905">
        <v>126682</v>
      </c>
      <c r="O905">
        <v>156</v>
      </c>
    </row>
    <row r="906" spans="1:15" x14ac:dyDescent="0.25">
      <c r="A906" t="s">
        <v>564</v>
      </c>
      <c r="B906" t="s">
        <v>28</v>
      </c>
      <c r="C906" t="s">
        <v>151</v>
      </c>
      <c r="D906" t="s">
        <v>76</v>
      </c>
      <c r="E906" t="s">
        <v>688</v>
      </c>
      <c r="F906" t="s">
        <v>78</v>
      </c>
      <c r="G906" t="s">
        <v>689</v>
      </c>
      <c r="H906" t="s">
        <v>9197</v>
      </c>
      <c r="J906">
        <v>271093</v>
      </c>
      <c r="L906">
        <v>126682</v>
      </c>
      <c r="O906">
        <v>157</v>
      </c>
    </row>
    <row r="907" spans="1:15" x14ac:dyDescent="0.25">
      <c r="A907" t="s">
        <v>564</v>
      </c>
      <c r="B907" t="s">
        <v>28</v>
      </c>
      <c r="C907" t="s">
        <v>151</v>
      </c>
      <c r="D907" t="s">
        <v>76</v>
      </c>
      <c r="E907" t="s">
        <v>858</v>
      </c>
      <c r="F907" t="s">
        <v>78</v>
      </c>
      <c r="G907" t="s">
        <v>859</v>
      </c>
      <c r="H907" t="s">
        <v>9200</v>
      </c>
      <c r="J907">
        <v>271093</v>
      </c>
      <c r="L907">
        <v>126682</v>
      </c>
      <c r="O907">
        <v>158</v>
      </c>
    </row>
    <row r="908" spans="1:15" x14ac:dyDescent="0.25">
      <c r="A908" t="s">
        <v>564</v>
      </c>
      <c r="B908" t="s">
        <v>28</v>
      </c>
      <c r="C908" t="s">
        <v>151</v>
      </c>
      <c r="D908" t="s">
        <v>76</v>
      </c>
      <c r="E908" t="s">
        <v>596</v>
      </c>
      <c r="F908" t="s">
        <v>78</v>
      </c>
      <c r="G908" t="s">
        <v>597</v>
      </c>
      <c r="H908" t="s">
        <v>9176</v>
      </c>
      <c r="J908">
        <v>271093</v>
      </c>
      <c r="L908">
        <v>126682</v>
      </c>
      <c r="O908">
        <v>159</v>
      </c>
    </row>
    <row r="909" spans="1:15" x14ac:dyDescent="0.25">
      <c r="A909" t="s">
        <v>564</v>
      </c>
      <c r="B909" t="s">
        <v>28</v>
      </c>
      <c r="C909" t="s">
        <v>151</v>
      </c>
      <c r="D909" t="s">
        <v>76</v>
      </c>
      <c r="E909" t="s">
        <v>861</v>
      </c>
      <c r="F909" t="s">
        <v>78</v>
      </c>
      <c r="G909" t="s">
        <v>862</v>
      </c>
      <c r="H909" t="s">
        <v>9195</v>
      </c>
      <c r="J909">
        <v>271093</v>
      </c>
      <c r="L909">
        <v>126682</v>
      </c>
      <c r="O909">
        <v>160</v>
      </c>
    </row>
    <row r="910" spans="1:15" x14ac:dyDescent="0.25">
      <c r="A910" t="s">
        <v>564</v>
      </c>
      <c r="B910" t="s">
        <v>28</v>
      </c>
      <c r="C910" t="s">
        <v>151</v>
      </c>
      <c r="D910" t="s">
        <v>76</v>
      </c>
      <c r="E910" t="s">
        <v>873</v>
      </c>
      <c r="F910" t="s">
        <v>78</v>
      </c>
      <c r="G910" t="s">
        <v>874</v>
      </c>
      <c r="H910" t="s">
        <v>9179</v>
      </c>
      <c r="J910">
        <v>271093</v>
      </c>
      <c r="L910">
        <v>126682</v>
      </c>
      <c r="O910">
        <v>161</v>
      </c>
    </row>
    <row r="911" spans="1:15" x14ac:dyDescent="0.25">
      <c r="A911" t="s">
        <v>564</v>
      </c>
      <c r="B911" t="s">
        <v>28</v>
      </c>
      <c r="C911" t="s">
        <v>151</v>
      </c>
      <c r="D911" t="s">
        <v>76</v>
      </c>
      <c r="E911" t="s">
        <v>694</v>
      </c>
      <c r="F911" t="s">
        <v>78</v>
      </c>
      <c r="G911" t="s">
        <v>695</v>
      </c>
      <c r="H911" t="s">
        <v>9186</v>
      </c>
      <c r="J911">
        <v>271093</v>
      </c>
      <c r="L911">
        <v>126682</v>
      </c>
      <c r="O911">
        <v>162</v>
      </c>
    </row>
    <row r="912" spans="1:15" x14ac:dyDescent="0.25">
      <c r="A912" t="s">
        <v>564</v>
      </c>
      <c r="B912" t="s">
        <v>28</v>
      </c>
      <c r="C912" t="s">
        <v>151</v>
      </c>
      <c r="D912" t="s">
        <v>76</v>
      </c>
      <c r="E912" t="s">
        <v>886</v>
      </c>
      <c r="F912" t="s">
        <v>78</v>
      </c>
      <c r="G912" t="s">
        <v>887</v>
      </c>
      <c r="H912" t="s">
        <v>9267</v>
      </c>
      <c r="J912">
        <v>271093</v>
      </c>
      <c r="L912">
        <v>126682</v>
      </c>
      <c r="O912">
        <v>163</v>
      </c>
    </row>
    <row r="913" spans="1:17" x14ac:dyDescent="0.25">
      <c r="A913" t="s">
        <v>564</v>
      </c>
      <c r="B913" t="s">
        <v>28</v>
      </c>
      <c r="C913" t="s">
        <v>151</v>
      </c>
      <c r="D913" t="s">
        <v>76</v>
      </c>
      <c r="E913" t="s">
        <v>684</v>
      </c>
      <c r="F913" t="s">
        <v>78</v>
      </c>
      <c r="G913" t="s">
        <v>685</v>
      </c>
      <c r="H913" t="s">
        <v>9225</v>
      </c>
      <c r="J913">
        <v>271093</v>
      </c>
      <c r="L913">
        <v>126682</v>
      </c>
      <c r="O913">
        <v>164</v>
      </c>
    </row>
    <row r="914" spans="1:17" x14ac:dyDescent="0.25">
      <c r="A914" t="s">
        <v>564</v>
      </c>
      <c r="B914" t="s">
        <v>28</v>
      </c>
      <c r="C914" t="s">
        <v>151</v>
      </c>
      <c r="D914" t="s">
        <v>76</v>
      </c>
      <c r="E914" t="s">
        <v>890</v>
      </c>
      <c r="F914" t="s">
        <v>78</v>
      </c>
      <c r="G914" t="s">
        <v>891</v>
      </c>
      <c r="H914" t="s">
        <v>9180</v>
      </c>
      <c r="J914">
        <v>271093</v>
      </c>
      <c r="L914">
        <v>126682</v>
      </c>
      <c r="O914">
        <v>165</v>
      </c>
    </row>
    <row r="915" spans="1:17" x14ac:dyDescent="0.25">
      <c r="A915" t="s">
        <v>564</v>
      </c>
      <c r="B915" t="s">
        <v>28</v>
      </c>
      <c r="C915" t="s">
        <v>151</v>
      </c>
      <c r="D915" t="s">
        <v>76</v>
      </c>
      <c r="E915" t="s">
        <v>686</v>
      </c>
      <c r="F915" t="s">
        <v>78</v>
      </c>
      <c r="G915" t="s">
        <v>687</v>
      </c>
      <c r="H915" t="s">
        <v>9245</v>
      </c>
      <c r="J915">
        <v>271093</v>
      </c>
      <c r="L915">
        <v>126682</v>
      </c>
      <c r="O915">
        <v>166</v>
      </c>
    </row>
    <row r="916" spans="1:17" x14ac:dyDescent="0.25">
      <c r="A916" t="s">
        <v>564</v>
      </c>
      <c r="B916" t="s">
        <v>28</v>
      </c>
      <c r="C916" t="s">
        <v>151</v>
      </c>
      <c r="D916" t="s">
        <v>59</v>
      </c>
      <c r="E916" t="s">
        <v>78</v>
      </c>
      <c r="F916" t="s">
        <v>78</v>
      </c>
      <c r="G916" t="s">
        <v>696</v>
      </c>
      <c r="H916" t="s">
        <v>9273</v>
      </c>
      <c r="I916">
        <v>0.53269911063730901</v>
      </c>
      <c r="J916">
        <v>271093</v>
      </c>
      <c r="K916">
        <v>1</v>
      </c>
      <c r="L916">
        <v>144411</v>
      </c>
      <c r="M916">
        <v>144411</v>
      </c>
      <c r="N916">
        <v>8.8999999999999999E-3</v>
      </c>
      <c r="O916">
        <v>1</v>
      </c>
    </row>
    <row r="917" spans="1:17" x14ac:dyDescent="0.25">
      <c r="A917" t="s">
        <v>564</v>
      </c>
      <c r="B917" t="s">
        <v>28</v>
      </c>
      <c r="C917" t="s">
        <v>151</v>
      </c>
      <c r="D917" t="s">
        <v>59</v>
      </c>
      <c r="E917" t="s">
        <v>60</v>
      </c>
      <c r="F917" t="s">
        <v>78</v>
      </c>
      <c r="G917" t="s">
        <v>697</v>
      </c>
      <c r="H917" t="s">
        <v>9274</v>
      </c>
      <c r="I917">
        <v>0.50882538464659732</v>
      </c>
      <c r="J917">
        <v>271093</v>
      </c>
      <c r="K917">
        <v>0.95518346940330034</v>
      </c>
      <c r="L917">
        <v>144411</v>
      </c>
      <c r="M917">
        <v>137939</v>
      </c>
      <c r="N917">
        <v>7.9000000000000008E-3</v>
      </c>
      <c r="O917">
        <v>2</v>
      </c>
    </row>
    <row r="918" spans="1:17" x14ac:dyDescent="0.25">
      <c r="A918" t="s">
        <v>564</v>
      </c>
      <c r="B918" t="s">
        <v>28</v>
      </c>
      <c r="C918" t="s">
        <v>151</v>
      </c>
      <c r="D918" t="s">
        <v>59</v>
      </c>
      <c r="E918" t="s">
        <v>60</v>
      </c>
      <c r="F918" t="s">
        <v>61</v>
      </c>
      <c r="G918" t="s">
        <v>698</v>
      </c>
      <c r="H918" t="s">
        <v>9275</v>
      </c>
      <c r="I918">
        <v>0.23173966129704571</v>
      </c>
      <c r="J918">
        <v>271093</v>
      </c>
      <c r="K918">
        <v>0.43502918752726588</v>
      </c>
      <c r="L918">
        <v>144411</v>
      </c>
      <c r="M918">
        <v>62823</v>
      </c>
      <c r="N918">
        <v>8.3000000000000001E-3</v>
      </c>
      <c r="O918">
        <v>3</v>
      </c>
      <c r="Q918">
        <v>1</v>
      </c>
    </row>
    <row r="919" spans="1:17" x14ac:dyDescent="0.25">
      <c r="A919" t="s">
        <v>564</v>
      </c>
      <c r="B919" t="s">
        <v>28</v>
      </c>
      <c r="C919" t="s">
        <v>151</v>
      </c>
      <c r="D919" t="s">
        <v>59</v>
      </c>
      <c r="E919" t="s">
        <v>60</v>
      </c>
      <c r="F919" t="s">
        <v>63</v>
      </c>
      <c r="G919" t="s">
        <v>702</v>
      </c>
      <c r="H919" t="s">
        <v>9276</v>
      </c>
      <c r="I919">
        <v>0.19473759927404991</v>
      </c>
      <c r="J919">
        <v>271093</v>
      </c>
      <c r="K919">
        <v>0.36556771991053311</v>
      </c>
      <c r="L919">
        <v>144411</v>
      </c>
      <c r="M919">
        <v>52792</v>
      </c>
      <c r="N919">
        <v>1.1900000000000001E-2</v>
      </c>
      <c r="O919">
        <v>4</v>
      </c>
      <c r="Q919">
        <v>3</v>
      </c>
    </row>
    <row r="920" spans="1:17" x14ac:dyDescent="0.25">
      <c r="A920" t="s">
        <v>564</v>
      </c>
      <c r="B920" t="s">
        <v>28</v>
      </c>
      <c r="C920" t="s">
        <v>151</v>
      </c>
      <c r="D920" t="s">
        <v>59</v>
      </c>
      <c r="E920" t="s">
        <v>60</v>
      </c>
      <c r="F920" t="s">
        <v>62</v>
      </c>
      <c r="G920" t="s">
        <v>699</v>
      </c>
      <c r="H920" t="s">
        <v>9277</v>
      </c>
      <c r="I920">
        <v>0.1527520076136234</v>
      </c>
      <c r="J920">
        <v>271093</v>
      </c>
      <c r="K920">
        <v>0.28675100927214692</v>
      </c>
      <c r="L920">
        <v>144411</v>
      </c>
      <c r="M920">
        <v>41410</v>
      </c>
      <c r="N920">
        <v>8.9999999999999998E-4</v>
      </c>
      <c r="O920">
        <v>5</v>
      </c>
      <c r="Q920">
        <v>2</v>
      </c>
    </row>
    <row r="921" spans="1:17" x14ac:dyDescent="0.25">
      <c r="A921" t="s">
        <v>564</v>
      </c>
      <c r="B921" t="s">
        <v>28</v>
      </c>
      <c r="C921" t="s">
        <v>151</v>
      </c>
      <c r="D921" t="s">
        <v>59</v>
      </c>
      <c r="E921" t="s">
        <v>72</v>
      </c>
      <c r="F921" t="s">
        <v>78</v>
      </c>
      <c r="G921" t="s">
        <v>705</v>
      </c>
      <c r="H921" t="s">
        <v>9278</v>
      </c>
      <c r="I921">
        <v>2.664399302084524E-2</v>
      </c>
      <c r="J921">
        <v>271093</v>
      </c>
      <c r="K921">
        <v>5.001696546661958E-2</v>
      </c>
      <c r="L921">
        <v>144411</v>
      </c>
      <c r="M921">
        <v>7223</v>
      </c>
      <c r="N921">
        <v>3.9600000000000003E-2</v>
      </c>
      <c r="O921">
        <v>6</v>
      </c>
    </row>
    <row r="922" spans="1:17" x14ac:dyDescent="0.25">
      <c r="A922" t="s">
        <v>564</v>
      </c>
      <c r="B922" t="s">
        <v>28</v>
      </c>
      <c r="C922" t="s">
        <v>151</v>
      </c>
      <c r="D922" t="s">
        <v>59</v>
      </c>
      <c r="E922" t="s">
        <v>72</v>
      </c>
      <c r="F922" t="s">
        <v>73</v>
      </c>
      <c r="G922" t="s">
        <v>706</v>
      </c>
      <c r="H922" t="s">
        <v>9279</v>
      </c>
      <c r="I922">
        <v>2.6448488157200661E-2</v>
      </c>
      <c r="J922">
        <v>271093</v>
      </c>
      <c r="K922">
        <v>4.9649957413216442E-2</v>
      </c>
      <c r="L922">
        <v>144411</v>
      </c>
      <c r="M922">
        <v>7170</v>
      </c>
      <c r="N922">
        <v>3.9899999999999998E-2</v>
      </c>
      <c r="O922">
        <v>7</v>
      </c>
      <c r="Q922">
        <v>6</v>
      </c>
    </row>
    <row r="923" spans="1:17" x14ac:dyDescent="0.25">
      <c r="A923" t="s">
        <v>564</v>
      </c>
      <c r="B923" t="s">
        <v>28</v>
      </c>
      <c r="C923" t="s">
        <v>151</v>
      </c>
      <c r="D923" t="s">
        <v>59</v>
      </c>
      <c r="E923" t="s">
        <v>64</v>
      </c>
      <c r="F923" t="s">
        <v>78</v>
      </c>
      <c r="G923" t="s">
        <v>703</v>
      </c>
      <c r="H923" t="s">
        <v>9280</v>
      </c>
      <c r="I923">
        <v>4.4560353826915483E-3</v>
      </c>
      <c r="J923">
        <v>271093</v>
      </c>
      <c r="K923">
        <v>8.3650137454903024E-3</v>
      </c>
      <c r="L923">
        <v>144411</v>
      </c>
      <c r="M923">
        <v>1208</v>
      </c>
      <c r="N923">
        <v>1.5699999999999999E-2</v>
      </c>
      <c r="O923">
        <v>8</v>
      </c>
    </row>
    <row r="924" spans="1:17" x14ac:dyDescent="0.25">
      <c r="A924" t="s">
        <v>564</v>
      </c>
      <c r="B924" t="s">
        <v>28</v>
      </c>
      <c r="C924" t="s">
        <v>151</v>
      </c>
      <c r="D924" t="s">
        <v>59</v>
      </c>
      <c r="E924" t="s">
        <v>64</v>
      </c>
      <c r="F924" t="s">
        <v>67</v>
      </c>
      <c r="G924" t="s">
        <v>709</v>
      </c>
      <c r="H924" t="s">
        <v>9281</v>
      </c>
      <c r="I924">
        <v>4.4523466116793871E-3</v>
      </c>
      <c r="J924">
        <v>271093</v>
      </c>
      <c r="K924">
        <v>8.3580890652374118E-3</v>
      </c>
      <c r="L924">
        <v>144411</v>
      </c>
      <c r="M924">
        <v>1207</v>
      </c>
      <c r="N924">
        <v>1.5699999999999999E-2</v>
      </c>
      <c r="O924">
        <v>9</v>
      </c>
      <c r="Q924">
        <v>5</v>
      </c>
    </row>
    <row r="925" spans="1:17" x14ac:dyDescent="0.25">
      <c r="A925" t="s">
        <v>564</v>
      </c>
      <c r="B925" t="s">
        <v>28</v>
      </c>
      <c r="C925" t="s">
        <v>151</v>
      </c>
      <c r="D925" t="s">
        <v>59</v>
      </c>
      <c r="E925" t="s">
        <v>72</v>
      </c>
      <c r="F925" t="s">
        <v>75</v>
      </c>
      <c r="G925" t="s">
        <v>710</v>
      </c>
      <c r="H925" t="s">
        <v>9284</v>
      </c>
      <c r="I925">
        <v>1.8074977959593201E-4</v>
      </c>
      <c r="J925">
        <v>271093</v>
      </c>
      <c r="K925">
        <v>3.3930933239157681E-4</v>
      </c>
      <c r="L925">
        <v>144411</v>
      </c>
      <c r="M925">
        <v>49</v>
      </c>
      <c r="O925">
        <v>10</v>
      </c>
      <c r="Q925">
        <v>7</v>
      </c>
    </row>
    <row r="926" spans="1:17" x14ac:dyDescent="0.25">
      <c r="A926" t="s">
        <v>564</v>
      </c>
      <c r="B926" t="s">
        <v>28</v>
      </c>
      <c r="C926" t="s">
        <v>151</v>
      </c>
      <c r="D926" t="s">
        <v>59</v>
      </c>
      <c r="E926" t="s">
        <v>68</v>
      </c>
      <c r="F926" t="s">
        <v>78</v>
      </c>
      <c r="G926" t="s">
        <v>700</v>
      </c>
      <c r="H926" t="s">
        <v>9282</v>
      </c>
      <c r="I926">
        <v>1.3279575643782761E-4</v>
      </c>
      <c r="J926">
        <v>271093</v>
      </c>
      <c r="K926">
        <v>2.4928848910401561E-4</v>
      </c>
      <c r="L926">
        <v>144411</v>
      </c>
      <c r="M926">
        <v>36</v>
      </c>
      <c r="O926">
        <v>11</v>
      </c>
    </row>
    <row r="927" spans="1:17" x14ac:dyDescent="0.25">
      <c r="A927" t="s">
        <v>564</v>
      </c>
      <c r="B927" t="s">
        <v>28</v>
      </c>
      <c r="C927" t="s">
        <v>151</v>
      </c>
      <c r="D927" t="s">
        <v>59</v>
      </c>
      <c r="E927" t="s">
        <v>68</v>
      </c>
      <c r="F927" t="s">
        <v>70</v>
      </c>
      <c r="G927" t="s">
        <v>707</v>
      </c>
      <c r="H927" t="s">
        <v>9285</v>
      </c>
      <c r="I927">
        <v>1.254182144135038E-4</v>
      </c>
      <c r="J927">
        <v>271093</v>
      </c>
      <c r="K927">
        <v>2.3543912859823701E-4</v>
      </c>
      <c r="L927">
        <v>144411</v>
      </c>
      <c r="M927">
        <v>34</v>
      </c>
      <c r="O927">
        <v>12</v>
      </c>
      <c r="Q927">
        <v>10</v>
      </c>
    </row>
    <row r="928" spans="1:17" x14ac:dyDescent="0.25">
      <c r="A928" t="s">
        <v>564</v>
      </c>
      <c r="B928" t="s">
        <v>28</v>
      </c>
      <c r="C928" t="s">
        <v>151</v>
      </c>
      <c r="D928" t="s">
        <v>59</v>
      </c>
      <c r="E928" t="s">
        <v>72</v>
      </c>
      <c r="F928" t="s">
        <v>74</v>
      </c>
      <c r="G928" t="s">
        <v>708</v>
      </c>
      <c r="H928" t="s">
        <v>9286</v>
      </c>
      <c r="I928">
        <v>2.5821397085133149E-5</v>
      </c>
      <c r="J928">
        <v>271093</v>
      </c>
      <c r="K928">
        <v>4.8472761770225261E-5</v>
      </c>
      <c r="L928">
        <v>144411</v>
      </c>
      <c r="M928">
        <v>7</v>
      </c>
      <c r="O928">
        <v>13</v>
      </c>
      <c r="Q928">
        <v>9</v>
      </c>
    </row>
    <row r="929" spans="1:17" x14ac:dyDescent="0.25">
      <c r="A929" t="s">
        <v>564</v>
      </c>
      <c r="B929" t="s">
        <v>28</v>
      </c>
      <c r="C929" t="s">
        <v>151</v>
      </c>
      <c r="D929" t="s">
        <v>59</v>
      </c>
      <c r="E929" t="s">
        <v>64</v>
      </c>
      <c r="F929" t="s">
        <v>8535</v>
      </c>
      <c r="G929" t="s">
        <v>8536</v>
      </c>
      <c r="H929" t="s">
        <v>9290</v>
      </c>
      <c r="I929">
        <v>3.6887710121618782E-6</v>
      </c>
      <c r="J929">
        <v>271093</v>
      </c>
      <c r="K929">
        <v>6.9246802528893227E-6</v>
      </c>
      <c r="L929">
        <v>144411</v>
      </c>
      <c r="M929">
        <v>1</v>
      </c>
      <c r="O929">
        <v>14</v>
      </c>
    </row>
    <row r="930" spans="1:17" x14ac:dyDescent="0.25">
      <c r="A930" t="s">
        <v>564</v>
      </c>
      <c r="B930" t="s">
        <v>28</v>
      </c>
      <c r="C930" t="s">
        <v>151</v>
      </c>
      <c r="D930" t="s">
        <v>59</v>
      </c>
      <c r="E930" t="s">
        <v>68</v>
      </c>
      <c r="F930" t="s">
        <v>71</v>
      </c>
      <c r="G930" t="s">
        <v>8538</v>
      </c>
      <c r="H930" t="s">
        <v>9291</v>
      </c>
      <c r="I930">
        <v>3.6887710121618782E-6</v>
      </c>
      <c r="J930">
        <v>271093</v>
      </c>
      <c r="K930">
        <v>6.9246802528893227E-6</v>
      </c>
      <c r="L930">
        <v>144411</v>
      </c>
      <c r="M930">
        <v>1</v>
      </c>
      <c r="O930">
        <v>15</v>
      </c>
    </row>
    <row r="931" spans="1:17" x14ac:dyDescent="0.25">
      <c r="A931" t="s">
        <v>564</v>
      </c>
      <c r="B931" t="s">
        <v>28</v>
      </c>
      <c r="C931" t="s">
        <v>151</v>
      </c>
      <c r="D931" t="s">
        <v>59</v>
      </c>
      <c r="E931" t="s">
        <v>68</v>
      </c>
      <c r="F931" t="s">
        <v>69</v>
      </c>
      <c r="G931" t="s">
        <v>701</v>
      </c>
      <c r="H931" t="s">
        <v>9283</v>
      </c>
      <c r="I931">
        <v>3.6887710121618782E-6</v>
      </c>
      <c r="J931">
        <v>271093</v>
      </c>
      <c r="K931">
        <v>6.9246802528893227E-6</v>
      </c>
      <c r="L931">
        <v>144411</v>
      </c>
      <c r="M931">
        <v>1</v>
      </c>
      <c r="O931">
        <v>16</v>
      </c>
      <c r="Q931">
        <v>11</v>
      </c>
    </row>
    <row r="932" spans="1:17" x14ac:dyDescent="0.25">
      <c r="A932" t="s">
        <v>564</v>
      </c>
      <c r="B932" t="s">
        <v>28</v>
      </c>
      <c r="C932" t="s">
        <v>151</v>
      </c>
      <c r="D932" t="s">
        <v>59</v>
      </c>
      <c r="E932" t="s">
        <v>64</v>
      </c>
      <c r="F932" t="s">
        <v>470</v>
      </c>
      <c r="G932" t="s">
        <v>8540</v>
      </c>
      <c r="H932" t="s">
        <v>9287</v>
      </c>
      <c r="J932">
        <v>271093</v>
      </c>
      <c r="L932">
        <v>144411</v>
      </c>
      <c r="O932">
        <v>17</v>
      </c>
    </row>
    <row r="933" spans="1:17" x14ac:dyDescent="0.25">
      <c r="A933" t="s">
        <v>564</v>
      </c>
      <c r="B933" t="s">
        <v>28</v>
      </c>
      <c r="C933" t="s">
        <v>151</v>
      </c>
      <c r="D933" t="s">
        <v>59</v>
      </c>
      <c r="E933" t="s">
        <v>64</v>
      </c>
      <c r="F933" t="s">
        <v>8547</v>
      </c>
      <c r="G933" t="s">
        <v>8548</v>
      </c>
      <c r="H933" t="s">
        <v>9288</v>
      </c>
      <c r="J933">
        <v>271093</v>
      </c>
      <c r="L933">
        <v>144411</v>
      </c>
      <c r="O933">
        <v>18</v>
      </c>
    </row>
    <row r="934" spans="1:17" x14ac:dyDescent="0.25">
      <c r="A934" t="s">
        <v>564</v>
      </c>
      <c r="B934" t="s">
        <v>28</v>
      </c>
      <c r="C934" t="s">
        <v>151</v>
      </c>
      <c r="D934" t="s">
        <v>59</v>
      </c>
      <c r="E934" t="s">
        <v>72</v>
      </c>
      <c r="F934" t="s">
        <v>352</v>
      </c>
      <c r="G934" t="s">
        <v>1117</v>
      </c>
      <c r="H934" t="s">
        <v>9292</v>
      </c>
      <c r="J934">
        <v>271093</v>
      </c>
      <c r="L934">
        <v>144411</v>
      </c>
      <c r="O934">
        <v>19</v>
      </c>
      <c r="Q934">
        <v>8</v>
      </c>
    </row>
    <row r="935" spans="1:17" x14ac:dyDescent="0.25">
      <c r="A935" t="s">
        <v>564</v>
      </c>
      <c r="B935" t="s">
        <v>28</v>
      </c>
      <c r="C935" t="s">
        <v>151</v>
      </c>
      <c r="D935" t="s">
        <v>59</v>
      </c>
      <c r="E935" t="s">
        <v>64</v>
      </c>
      <c r="F935" t="s">
        <v>8543</v>
      </c>
      <c r="G935" t="s">
        <v>8544</v>
      </c>
      <c r="H935" t="s">
        <v>9293</v>
      </c>
      <c r="J935">
        <v>271093</v>
      </c>
      <c r="L935">
        <v>144411</v>
      </c>
      <c r="O935">
        <v>20</v>
      </c>
    </row>
    <row r="936" spans="1:17" x14ac:dyDescent="0.25">
      <c r="A936" t="s">
        <v>564</v>
      </c>
      <c r="B936" t="s">
        <v>28</v>
      </c>
      <c r="C936" t="s">
        <v>151</v>
      </c>
      <c r="D936" t="s">
        <v>59</v>
      </c>
      <c r="E936" t="s">
        <v>64</v>
      </c>
      <c r="F936" t="s">
        <v>65</v>
      </c>
      <c r="G936" t="s">
        <v>704</v>
      </c>
      <c r="H936" t="s">
        <v>9289</v>
      </c>
      <c r="J936">
        <v>271093</v>
      </c>
      <c r="L936">
        <v>144411</v>
      </c>
      <c r="O936">
        <v>21</v>
      </c>
      <c r="Q936">
        <v>4</v>
      </c>
    </row>
    <row r="937" spans="1:17" x14ac:dyDescent="0.25">
      <c r="A937" t="s">
        <v>564</v>
      </c>
      <c r="B937" t="s">
        <v>28</v>
      </c>
      <c r="C937" t="s">
        <v>348</v>
      </c>
      <c r="D937" t="s">
        <v>76</v>
      </c>
      <c r="E937" t="s">
        <v>78</v>
      </c>
      <c r="F937" t="s">
        <v>78</v>
      </c>
      <c r="G937" t="s">
        <v>575</v>
      </c>
      <c r="H937" t="s">
        <v>9294</v>
      </c>
      <c r="I937">
        <v>0.2233745105930651</v>
      </c>
      <c r="J937">
        <v>941701</v>
      </c>
      <c r="K937">
        <v>1</v>
      </c>
      <c r="L937">
        <v>210352</v>
      </c>
      <c r="M937">
        <v>210352</v>
      </c>
      <c r="N937">
        <v>1.26E-2</v>
      </c>
      <c r="O937">
        <v>1</v>
      </c>
    </row>
    <row r="938" spans="1:17" x14ac:dyDescent="0.25">
      <c r="A938" t="s">
        <v>564</v>
      </c>
      <c r="B938" t="s">
        <v>28</v>
      </c>
      <c r="C938" t="s">
        <v>348</v>
      </c>
      <c r="D938" t="s">
        <v>76</v>
      </c>
      <c r="E938" t="s">
        <v>79</v>
      </c>
      <c r="F938" t="s">
        <v>78</v>
      </c>
      <c r="G938" t="s">
        <v>577</v>
      </c>
      <c r="H938" t="s">
        <v>9299</v>
      </c>
      <c r="I938">
        <v>0.1126567774697064</v>
      </c>
      <c r="J938">
        <v>941701</v>
      </c>
      <c r="K938">
        <v>0.5043403438046703</v>
      </c>
      <c r="L938">
        <v>210352</v>
      </c>
      <c r="M938">
        <v>106089</v>
      </c>
      <c r="N938">
        <v>4.3E-3</v>
      </c>
      <c r="O938">
        <v>2</v>
      </c>
      <c r="P938">
        <v>4</v>
      </c>
    </row>
    <row r="939" spans="1:17" x14ac:dyDescent="0.25">
      <c r="A939" t="s">
        <v>564</v>
      </c>
      <c r="B939" t="s">
        <v>28</v>
      </c>
      <c r="C939" t="s">
        <v>348</v>
      </c>
      <c r="D939" t="s">
        <v>76</v>
      </c>
      <c r="E939" t="s">
        <v>80</v>
      </c>
      <c r="F939" t="s">
        <v>78</v>
      </c>
      <c r="G939" t="s">
        <v>576</v>
      </c>
      <c r="H939" t="s">
        <v>9295</v>
      </c>
      <c r="I939">
        <v>4.4750934744680108E-2</v>
      </c>
      <c r="J939">
        <v>941701</v>
      </c>
      <c r="K939">
        <v>0.20034038183616029</v>
      </c>
      <c r="L939">
        <v>210352</v>
      </c>
      <c r="M939">
        <v>42142</v>
      </c>
      <c r="N939">
        <v>1.3100000000000001E-2</v>
      </c>
      <c r="O939">
        <v>3</v>
      </c>
      <c r="P939">
        <v>1</v>
      </c>
    </row>
    <row r="940" spans="1:17" x14ac:dyDescent="0.25">
      <c r="A940" t="s">
        <v>564</v>
      </c>
      <c r="B940" t="s">
        <v>28</v>
      </c>
      <c r="C940" t="s">
        <v>348</v>
      </c>
      <c r="D940" t="s">
        <v>76</v>
      </c>
      <c r="E940" t="s">
        <v>80</v>
      </c>
      <c r="F940" t="s">
        <v>8326</v>
      </c>
      <c r="G940" t="s">
        <v>8327</v>
      </c>
      <c r="H940" t="s">
        <v>9296</v>
      </c>
      <c r="I940">
        <v>4.4385638328938798E-2</v>
      </c>
      <c r="J940">
        <v>941701</v>
      </c>
      <c r="K940">
        <v>0.19870502776298779</v>
      </c>
      <c r="L940">
        <v>210352</v>
      </c>
      <c r="M940">
        <v>41798</v>
      </c>
      <c r="N940">
        <v>1.29E-2</v>
      </c>
      <c r="O940">
        <v>4</v>
      </c>
    </row>
    <row r="941" spans="1:17" x14ac:dyDescent="0.25">
      <c r="A941" t="s">
        <v>564</v>
      </c>
      <c r="B941" t="s">
        <v>28</v>
      </c>
      <c r="C941" t="s">
        <v>348</v>
      </c>
      <c r="D941" t="s">
        <v>76</v>
      </c>
      <c r="E941" t="s">
        <v>83</v>
      </c>
      <c r="F941" t="s">
        <v>78</v>
      </c>
      <c r="G941" t="s">
        <v>580</v>
      </c>
      <c r="H941" t="s">
        <v>9297</v>
      </c>
      <c r="I941">
        <v>1.8236149266062159E-2</v>
      </c>
      <c r="J941">
        <v>941701</v>
      </c>
      <c r="K941">
        <v>8.1639347379630328E-2</v>
      </c>
      <c r="L941">
        <v>210352</v>
      </c>
      <c r="M941">
        <v>17173</v>
      </c>
      <c r="N941">
        <v>9.3299999999999994E-2</v>
      </c>
      <c r="O941">
        <v>5</v>
      </c>
      <c r="P941">
        <v>3</v>
      </c>
    </row>
    <row r="942" spans="1:17" x14ac:dyDescent="0.25">
      <c r="A942" t="s">
        <v>564</v>
      </c>
      <c r="B942" t="s">
        <v>28</v>
      </c>
      <c r="C942" t="s">
        <v>348</v>
      </c>
      <c r="D942" t="s">
        <v>76</v>
      </c>
      <c r="E942" t="s">
        <v>81</v>
      </c>
      <c r="F942" t="s">
        <v>78</v>
      </c>
      <c r="G942" t="s">
        <v>578</v>
      </c>
      <c r="H942" t="s">
        <v>9300</v>
      </c>
      <c r="I942">
        <v>1.7036193016679389E-2</v>
      </c>
      <c r="J942">
        <v>941701</v>
      </c>
      <c r="K942">
        <v>7.626739940670875E-2</v>
      </c>
      <c r="L942">
        <v>210352</v>
      </c>
      <c r="M942">
        <v>16043</v>
      </c>
      <c r="N942">
        <v>1.55E-2</v>
      </c>
      <c r="O942">
        <v>6</v>
      </c>
      <c r="P942">
        <v>5</v>
      </c>
    </row>
    <row r="943" spans="1:17" x14ac:dyDescent="0.25">
      <c r="A943" t="s">
        <v>564</v>
      </c>
      <c r="B943" t="s">
        <v>28</v>
      </c>
      <c r="C943" t="s">
        <v>348</v>
      </c>
      <c r="D943" t="s">
        <v>76</v>
      </c>
      <c r="E943" t="s">
        <v>82</v>
      </c>
      <c r="F943" t="s">
        <v>78</v>
      </c>
      <c r="G943" t="s">
        <v>579</v>
      </c>
      <c r="H943" t="s">
        <v>9298</v>
      </c>
      <c r="I943">
        <v>1.5464568902443561E-2</v>
      </c>
      <c r="J943">
        <v>941701</v>
      </c>
      <c r="K943">
        <v>6.9231573743059258E-2</v>
      </c>
      <c r="L943">
        <v>210352</v>
      </c>
      <c r="M943">
        <v>14563</v>
      </c>
      <c r="N943">
        <v>3.5000000000000003E-2</v>
      </c>
      <c r="O943">
        <v>7</v>
      </c>
      <c r="P943">
        <v>2</v>
      </c>
    </row>
    <row r="944" spans="1:17" x14ac:dyDescent="0.25">
      <c r="A944" t="s">
        <v>564</v>
      </c>
      <c r="B944" t="s">
        <v>28</v>
      </c>
      <c r="C944" t="s">
        <v>348</v>
      </c>
      <c r="D944" t="s">
        <v>76</v>
      </c>
      <c r="E944" t="s">
        <v>77</v>
      </c>
      <c r="F944" t="s">
        <v>78</v>
      </c>
      <c r="G944" t="s">
        <v>581</v>
      </c>
      <c r="H944" t="s">
        <v>9301</v>
      </c>
      <c r="I944">
        <v>1.181266665321583E-2</v>
      </c>
      <c r="J944">
        <v>941701</v>
      </c>
      <c r="K944">
        <v>5.288278694759261E-2</v>
      </c>
      <c r="L944">
        <v>210352</v>
      </c>
      <c r="M944">
        <v>11124</v>
      </c>
      <c r="N944">
        <v>3.2199999999999999E-2</v>
      </c>
      <c r="O944">
        <v>8</v>
      </c>
      <c r="P944">
        <v>7</v>
      </c>
    </row>
    <row r="945" spans="1:16" x14ac:dyDescent="0.25">
      <c r="A945" t="s">
        <v>564</v>
      </c>
      <c r="B945" t="s">
        <v>28</v>
      </c>
      <c r="C945" t="s">
        <v>348</v>
      </c>
      <c r="D945" t="s">
        <v>76</v>
      </c>
      <c r="E945" t="s">
        <v>598</v>
      </c>
      <c r="F945" t="s">
        <v>78</v>
      </c>
      <c r="G945" t="s">
        <v>599</v>
      </c>
      <c r="H945" t="s">
        <v>9304</v>
      </c>
      <c r="I945">
        <v>8.54411325887941E-3</v>
      </c>
      <c r="J945">
        <v>941701</v>
      </c>
      <c r="K945">
        <v>3.8250171141705328E-2</v>
      </c>
      <c r="L945">
        <v>210352</v>
      </c>
      <c r="M945">
        <v>8046</v>
      </c>
      <c r="N945">
        <v>5.1999999999999998E-3</v>
      </c>
      <c r="O945">
        <v>9</v>
      </c>
    </row>
    <row r="946" spans="1:16" x14ac:dyDescent="0.25">
      <c r="A946" t="s">
        <v>564</v>
      </c>
      <c r="B946" t="s">
        <v>28</v>
      </c>
      <c r="C946" t="s">
        <v>348</v>
      </c>
      <c r="D946" t="s">
        <v>76</v>
      </c>
      <c r="E946" t="s">
        <v>84</v>
      </c>
      <c r="F946" t="s">
        <v>78</v>
      </c>
      <c r="G946" t="s">
        <v>589</v>
      </c>
      <c r="H946" t="s">
        <v>9302</v>
      </c>
      <c r="I946">
        <v>8.0917403719439618E-3</v>
      </c>
      <c r="J946">
        <v>941701</v>
      </c>
      <c r="K946">
        <v>3.6224994295276487E-2</v>
      </c>
      <c r="L946">
        <v>210352</v>
      </c>
      <c r="M946">
        <v>7620</v>
      </c>
      <c r="N946">
        <v>0.1305</v>
      </c>
      <c r="O946">
        <v>10</v>
      </c>
    </row>
    <row r="947" spans="1:16" x14ac:dyDescent="0.25">
      <c r="A947" t="s">
        <v>564</v>
      </c>
      <c r="B947" t="s">
        <v>28</v>
      </c>
      <c r="C947" t="s">
        <v>348</v>
      </c>
      <c r="D947" t="s">
        <v>76</v>
      </c>
      <c r="E947" t="s">
        <v>81</v>
      </c>
      <c r="F947" t="s">
        <v>585</v>
      </c>
      <c r="G947" t="s">
        <v>586</v>
      </c>
      <c r="H947" t="s">
        <v>9309</v>
      </c>
      <c r="I947">
        <v>7.9101540722586045E-3</v>
      </c>
      <c r="J947">
        <v>941701</v>
      </c>
      <c r="K947">
        <v>3.5412071194949421E-2</v>
      </c>
      <c r="L947">
        <v>210352</v>
      </c>
      <c r="M947">
        <v>7449</v>
      </c>
      <c r="N947">
        <v>8.9999999999999998E-4</v>
      </c>
      <c r="O947">
        <v>11</v>
      </c>
    </row>
    <row r="948" spans="1:16" x14ac:dyDescent="0.25">
      <c r="A948" t="s">
        <v>564</v>
      </c>
      <c r="B948" t="s">
        <v>28</v>
      </c>
      <c r="C948" t="s">
        <v>348</v>
      </c>
      <c r="D948" t="s">
        <v>76</v>
      </c>
      <c r="E948" t="s">
        <v>592</v>
      </c>
      <c r="F948" t="s">
        <v>78</v>
      </c>
      <c r="G948" t="s">
        <v>593</v>
      </c>
      <c r="H948" t="s">
        <v>9303</v>
      </c>
      <c r="I948">
        <v>7.4662764508055101E-3</v>
      </c>
      <c r="J948">
        <v>941701</v>
      </c>
      <c r="K948">
        <v>3.3424925838594348E-2</v>
      </c>
      <c r="L948">
        <v>210352</v>
      </c>
      <c r="M948">
        <v>7031</v>
      </c>
      <c r="N948">
        <v>1.6199999999999999E-2</v>
      </c>
      <c r="O948">
        <v>12</v>
      </c>
    </row>
    <row r="949" spans="1:16" x14ac:dyDescent="0.25">
      <c r="A949" t="s">
        <v>564</v>
      </c>
      <c r="B949" t="s">
        <v>28</v>
      </c>
      <c r="C949" t="s">
        <v>348</v>
      </c>
      <c r="D949" t="s">
        <v>76</v>
      </c>
      <c r="E949" t="s">
        <v>630</v>
      </c>
      <c r="F949" t="s">
        <v>78</v>
      </c>
      <c r="G949" t="s">
        <v>631</v>
      </c>
      <c r="H949" t="s">
        <v>9315</v>
      </c>
      <c r="I949">
        <v>6.7654170485111518E-3</v>
      </c>
      <c r="J949">
        <v>941701</v>
      </c>
      <c r="K949">
        <v>3.0287327907507419E-2</v>
      </c>
      <c r="L949">
        <v>210352</v>
      </c>
      <c r="M949">
        <v>6371</v>
      </c>
      <c r="N949">
        <v>8.9999999999999998E-4</v>
      </c>
      <c r="O949">
        <v>13</v>
      </c>
    </row>
    <row r="950" spans="1:16" x14ac:dyDescent="0.25">
      <c r="A950" t="s">
        <v>564</v>
      </c>
      <c r="B950" t="s">
        <v>28</v>
      </c>
      <c r="C950" t="s">
        <v>348</v>
      </c>
      <c r="D950" t="s">
        <v>76</v>
      </c>
      <c r="E950" t="s">
        <v>600</v>
      </c>
      <c r="F950" t="s">
        <v>78</v>
      </c>
      <c r="G950" t="s">
        <v>601</v>
      </c>
      <c r="H950" t="s">
        <v>9307</v>
      </c>
      <c r="I950">
        <v>6.4510922256639843E-3</v>
      </c>
      <c r="J950">
        <v>941701</v>
      </c>
      <c r="K950">
        <v>2.8880162774777521E-2</v>
      </c>
      <c r="L950">
        <v>210352</v>
      </c>
      <c r="M950">
        <v>6075</v>
      </c>
      <c r="N950">
        <v>1.15E-2</v>
      </c>
      <c r="O950">
        <v>14</v>
      </c>
    </row>
    <row r="951" spans="1:16" x14ac:dyDescent="0.25">
      <c r="A951" t="s">
        <v>564</v>
      </c>
      <c r="B951" t="s">
        <v>28</v>
      </c>
      <c r="C951" t="s">
        <v>348</v>
      </c>
      <c r="D951" t="s">
        <v>76</v>
      </c>
      <c r="E951" t="s">
        <v>81</v>
      </c>
      <c r="F951" t="s">
        <v>590</v>
      </c>
      <c r="G951" t="s">
        <v>591</v>
      </c>
      <c r="H951" t="s">
        <v>9305</v>
      </c>
      <c r="I951">
        <v>6.4425969601816287E-3</v>
      </c>
      <c r="J951">
        <v>941701</v>
      </c>
      <c r="K951">
        <v>2.884213128470374E-2</v>
      </c>
      <c r="L951">
        <v>210352</v>
      </c>
      <c r="M951">
        <v>6067</v>
      </c>
      <c r="N951">
        <v>3.4000000000000002E-2</v>
      </c>
      <c r="O951">
        <v>15</v>
      </c>
    </row>
    <row r="952" spans="1:16" x14ac:dyDescent="0.25">
      <c r="A952" t="s">
        <v>564</v>
      </c>
      <c r="B952" t="s">
        <v>28</v>
      </c>
      <c r="C952" t="s">
        <v>348</v>
      </c>
      <c r="D952" t="s">
        <v>76</v>
      </c>
      <c r="E952" t="s">
        <v>346</v>
      </c>
      <c r="F952" t="s">
        <v>78</v>
      </c>
      <c r="G952" t="s">
        <v>584</v>
      </c>
      <c r="H952" t="s">
        <v>9308</v>
      </c>
      <c r="I952">
        <v>6.3183537025021741E-3</v>
      </c>
      <c r="J952">
        <v>941701</v>
      </c>
      <c r="K952">
        <v>2.8285920742374689E-2</v>
      </c>
      <c r="L952">
        <v>210352</v>
      </c>
      <c r="M952">
        <v>5950</v>
      </c>
      <c r="N952">
        <v>5.4000000000000003E-3</v>
      </c>
      <c r="O952">
        <v>16</v>
      </c>
      <c r="P952">
        <v>6</v>
      </c>
    </row>
    <row r="953" spans="1:16" x14ac:dyDescent="0.25">
      <c r="A953" t="s">
        <v>564</v>
      </c>
      <c r="B953" t="s">
        <v>28</v>
      </c>
      <c r="C953" t="s">
        <v>348</v>
      </c>
      <c r="D953" t="s">
        <v>76</v>
      </c>
      <c r="E953" t="s">
        <v>600</v>
      </c>
      <c r="F953" t="s">
        <v>614</v>
      </c>
      <c r="G953" t="s">
        <v>615</v>
      </c>
      <c r="H953" t="s">
        <v>9310</v>
      </c>
      <c r="I953">
        <v>5.7364280169607974E-3</v>
      </c>
      <c r="J953">
        <v>941701</v>
      </c>
      <c r="K953">
        <v>2.5680763672320681E-2</v>
      </c>
      <c r="L953">
        <v>210352</v>
      </c>
      <c r="M953">
        <v>5402</v>
      </c>
      <c r="N953">
        <v>8.5000000000000006E-3</v>
      </c>
      <c r="O953">
        <v>17</v>
      </c>
    </row>
    <row r="954" spans="1:16" x14ac:dyDescent="0.25">
      <c r="A954" t="s">
        <v>564</v>
      </c>
      <c r="B954" t="s">
        <v>28</v>
      </c>
      <c r="C954" t="s">
        <v>348</v>
      </c>
      <c r="D954" t="s">
        <v>76</v>
      </c>
      <c r="E954" t="s">
        <v>592</v>
      </c>
      <c r="F954" t="s">
        <v>624</v>
      </c>
      <c r="G954" t="s">
        <v>625</v>
      </c>
      <c r="H954" t="s">
        <v>9311</v>
      </c>
      <c r="I954">
        <v>3.422530081204119E-3</v>
      </c>
      <c r="J954">
        <v>941701</v>
      </c>
      <c r="K954">
        <v>1.532193656347456E-2</v>
      </c>
      <c r="L954">
        <v>210352</v>
      </c>
      <c r="M954">
        <v>3223</v>
      </c>
      <c r="N954">
        <v>1.5800000000000002E-2</v>
      </c>
      <c r="O954">
        <v>18</v>
      </c>
    </row>
    <row r="955" spans="1:16" x14ac:dyDescent="0.25">
      <c r="A955" t="s">
        <v>564</v>
      </c>
      <c r="B955" t="s">
        <v>28</v>
      </c>
      <c r="C955" t="s">
        <v>348</v>
      </c>
      <c r="D955" t="s">
        <v>76</v>
      </c>
      <c r="E955" t="s">
        <v>592</v>
      </c>
      <c r="F955" t="s">
        <v>811</v>
      </c>
      <c r="G955" t="s">
        <v>812</v>
      </c>
      <c r="H955" t="s">
        <v>9312</v>
      </c>
      <c r="I955">
        <v>2.6622038205332691E-3</v>
      </c>
      <c r="J955">
        <v>941701</v>
      </c>
      <c r="K955">
        <v>1.191811820187115E-2</v>
      </c>
      <c r="L955">
        <v>210352</v>
      </c>
      <c r="M955">
        <v>2507</v>
      </c>
      <c r="N955">
        <v>1.9099999999999999E-2</v>
      </c>
      <c r="O955">
        <v>19</v>
      </c>
    </row>
    <row r="956" spans="1:16" x14ac:dyDescent="0.25">
      <c r="A956" t="s">
        <v>564</v>
      </c>
      <c r="B956" t="s">
        <v>28</v>
      </c>
      <c r="C956" t="s">
        <v>348</v>
      </c>
      <c r="D956" t="s">
        <v>76</v>
      </c>
      <c r="E956" t="s">
        <v>608</v>
      </c>
      <c r="F956" t="s">
        <v>78</v>
      </c>
      <c r="G956" t="s">
        <v>609</v>
      </c>
      <c r="H956" t="s">
        <v>9316</v>
      </c>
      <c r="I956">
        <v>2.248059628268421E-3</v>
      </c>
      <c r="J956">
        <v>941701</v>
      </c>
      <c r="K956">
        <v>1.0064083060774319E-2</v>
      </c>
      <c r="L956">
        <v>210352</v>
      </c>
      <c r="M956">
        <v>2117</v>
      </c>
      <c r="N956">
        <v>9.2600000000000002E-2</v>
      </c>
      <c r="O956">
        <v>20</v>
      </c>
    </row>
    <row r="957" spans="1:16" x14ac:dyDescent="0.25">
      <c r="A957" t="s">
        <v>564</v>
      </c>
      <c r="B957" t="s">
        <v>28</v>
      </c>
      <c r="C957" t="s">
        <v>348</v>
      </c>
      <c r="D957" t="s">
        <v>76</v>
      </c>
      <c r="E957" t="s">
        <v>81</v>
      </c>
      <c r="F957" t="s">
        <v>622</v>
      </c>
      <c r="G957" t="s">
        <v>623</v>
      </c>
      <c r="H957" t="s">
        <v>9322</v>
      </c>
      <c r="I957">
        <v>2.184345137150752E-3</v>
      </c>
      <c r="J957">
        <v>941701</v>
      </c>
      <c r="K957">
        <v>9.7788468852209633E-3</v>
      </c>
      <c r="L957">
        <v>210352</v>
      </c>
      <c r="M957">
        <v>2057</v>
      </c>
      <c r="N957">
        <v>5.0000000000000001E-4</v>
      </c>
      <c r="O957">
        <v>21</v>
      </c>
    </row>
    <row r="958" spans="1:16" x14ac:dyDescent="0.25">
      <c r="A958" t="s">
        <v>564</v>
      </c>
      <c r="B958" t="s">
        <v>28</v>
      </c>
      <c r="C958" t="s">
        <v>348</v>
      </c>
      <c r="D958" t="s">
        <v>76</v>
      </c>
      <c r="E958" t="s">
        <v>606</v>
      </c>
      <c r="F958" t="s">
        <v>78</v>
      </c>
      <c r="G958" t="s">
        <v>607</v>
      </c>
      <c r="H958" t="s">
        <v>9319</v>
      </c>
      <c r="I958">
        <v>2.15779743251839E-3</v>
      </c>
      <c r="J958">
        <v>941701</v>
      </c>
      <c r="K958">
        <v>9.6599984787403975E-3</v>
      </c>
      <c r="L958">
        <v>210352</v>
      </c>
      <c r="M958">
        <v>2032</v>
      </c>
      <c r="N958">
        <v>1.72E-2</v>
      </c>
      <c r="O958">
        <v>22</v>
      </c>
    </row>
    <row r="959" spans="1:16" x14ac:dyDescent="0.25">
      <c r="A959" t="s">
        <v>564</v>
      </c>
      <c r="B959" t="s">
        <v>28</v>
      </c>
      <c r="C959" t="s">
        <v>348</v>
      </c>
      <c r="D959" t="s">
        <v>76</v>
      </c>
      <c r="E959" t="s">
        <v>610</v>
      </c>
      <c r="F959" t="s">
        <v>78</v>
      </c>
      <c r="G959" t="s">
        <v>611</v>
      </c>
      <c r="H959" t="s">
        <v>9317</v>
      </c>
      <c r="I959">
        <v>1.7542723221064861E-3</v>
      </c>
      <c r="J959">
        <v>941701</v>
      </c>
      <c r="K959">
        <v>7.8535027002357947E-3</v>
      </c>
      <c r="L959">
        <v>210352</v>
      </c>
      <c r="M959">
        <v>1652</v>
      </c>
      <c r="N959">
        <v>7.1999999999999995E-2</v>
      </c>
      <c r="O959">
        <v>23</v>
      </c>
    </row>
    <row r="960" spans="1:16" x14ac:dyDescent="0.25">
      <c r="A960" t="s">
        <v>564</v>
      </c>
      <c r="B960" t="s">
        <v>28</v>
      </c>
      <c r="C960" t="s">
        <v>348</v>
      </c>
      <c r="D960" t="s">
        <v>76</v>
      </c>
      <c r="E960" t="s">
        <v>592</v>
      </c>
      <c r="F960" t="s">
        <v>803</v>
      </c>
      <c r="G960" t="s">
        <v>804</v>
      </c>
      <c r="H960" t="s">
        <v>9314</v>
      </c>
      <c r="I960">
        <v>1.692681647359406E-3</v>
      </c>
      <c r="J960">
        <v>941701</v>
      </c>
      <c r="K960">
        <v>7.5777743972008822E-3</v>
      </c>
      <c r="L960">
        <v>210352</v>
      </c>
      <c r="M960">
        <v>1594</v>
      </c>
      <c r="N960">
        <v>1.06E-2</v>
      </c>
      <c r="O960">
        <v>24</v>
      </c>
    </row>
    <row r="961" spans="1:15" x14ac:dyDescent="0.25">
      <c r="A961" t="s">
        <v>564</v>
      </c>
      <c r="B961" t="s">
        <v>28</v>
      </c>
      <c r="C961" t="s">
        <v>348</v>
      </c>
      <c r="D961" t="s">
        <v>76</v>
      </c>
      <c r="E961" t="s">
        <v>602</v>
      </c>
      <c r="F961" t="s">
        <v>78</v>
      </c>
      <c r="G961" t="s">
        <v>603</v>
      </c>
      <c r="H961" t="s">
        <v>9313</v>
      </c>
      <c r="I961">
        <v>1.413399794626957E-3</v>
      </c>
      <c r="J961">
        <v>941701</v>
      </c>
      <c r="K961">
        <v>6.3274891610253289E-3</v>
      </c>
      <c r="L961">
        <v>210352</v>
      </c>
      <c r="M961">
        <v>1331</v>
      </c>
      <c r="N961">
        <v>8.9999999999999993E-3</v>
      </c>
      <c r="O961">
        <v>25</v>
      </c>
    </row>
    <row r="962" spans="1:15" x14ac:dyDescent="0.25">
      <c r="A962" t="s">
        <v>564</v>
      </c>
      <c r="B962" t="s">
        <v>28</v>
      </c>
      <c r="C962" t="s">
        <v>348</v>
      </c>
      <c r="D962" t="s">
        <v>76</v>
      </c>
      <c r="E962" t="s">
        <v>620</v>
      </c>
      <c r="F962" t="s">
        <v>78</v>
      </c>
      <c r="G962" t="s">
        <v>621</v>
      </c>
      <c r="H962" t="s">
        <v>9321</v>
      </c>
      <c r="I962">
        <v>1.251989750462195E-3</v>
      </c>
      <c r="J962">
        <v>941701</v>
      </c>
      <c r="K962">
        <v>5.6048908496234883E-3</v>
      </c>
      <c r="L962">
        <v>210352</v>
      </c>
      <c r="M962">
        <v>1179</v>
      </c>
      <c r="N962">
        <v>6.7000000000000004E-2</v>
      </c>
      <c r="O962">
        <v>26</v>
      </c>
    </row>
    <row r="963" spans="1:15" x14ac:dyDescent="0.25">
      <c r="A963" t="s">
        <v>564</v>
      </c>
      <c r="B963" t="s">
        <v>28</v>
      </c>
      <c r="C963" t="s">
        <v>348</v>
      </c>
      <c r="D963" t="s">
        <v>76</v>
      </c>
      <c r="E963" t="s">
        <v>81</v>
      </c>
      <c r="F963" t="s">
        <v>582</v>
      </c>
      <c r="G963" t="s">
        <v>583</v>
      </c>
      <c r="H963" t="s">
        <v>9320</v>
      </c>
      <c r="I963">
        <v>1.2148229639768889E-3</v>
      </c>
      <c r="J963">
        <v>941701</v>
      </c>
      <c r="K963">
        <v>5.4385030805506962E-3</v>
      </c>
      <c r="L963">
        <v>210352</v>
      </c>
      <c r="M963">
        <v>1144</v>
      </c>
      <c r="N963">
        <v>3.1399999999999997E-2</v>
      </c>
      <c r="O963">
        <v>27</v>
      </c>
    </row>
    <row r="964" spans="1:15" x14ac:dyDescent="0.25">
      <c r="A964" t="s">
        <v>564</v>
      </c>
      <c r="B964" t="s">
        <v>28</v>
      </c>
      <c r="C964" t="s">
        <v>348</v>
      </c>
      <c r="D964" t="s">
        <v>76</v>
      </c>
      <c r="E964" t="s">
        <v>587</v>
      </c>
      <c r="F964" t="s">
        <v>78</v>
      </c>
      <c r="G964" t="s">
        <v>588</v>
      </c>
      <c r="H964" t="s">
        <v>9306</v>
      </c>
      <c r="I964">
        <v>1.161727554712164E-3</v>
      </c>
      <c r="J964">
        <v>941701</v>
      </c>
      <c r="K964">
        <v>5.2008062675895639E-3</v>
      </c>
      <c r="L964">
        <v>210352</v>
      </c>
      <c r="M964">
        <v>1094</v>
      </c>
      <c r="O964">
        <v>28</v>
      </c>
    </row>
    <row r="965" spans="1:15" x14ac:dyDescent="0.25">
      <c r="A965" t="s">
        <v>564</v>
      </c>
      <c r="B965" t="s">
        <v>28</v>
      </c>
      <c r="C965" t="s">
        <v>348</v>
      </c>
      <c r="D965" t="s">
        <v>76</v>
      </c>
      <c r="E965" t="s">
        <v>618</v>
      </c>
      <c r="F965" t="s">
        <v>78</v>
      </c>
      <c r="G965" t="s">
        <v>619</v>
      </c>
      <c r="H965" t="s">
        <v>9324</v>
      </c>
      <c r="I965">
        <v>1.092703522668023E-3</v>
      </c>
      <c r="J965">
        <v>941701</v>
      </c>
      <c r="K965">
        <v>4.8918004107400929E-3</v>
      </c>
      <c r="L965">
        <v>210352</v>
      </c>
      <c r="M965">
        <v>1029</v>
      </c>
      <c r="N965">
        <v>2.0400000000000001E-2</v>
      </c>
      <c r="O965">
        <v>29</v>
      </c>
    </row>
    <row r="966" spans="1:15" x14ac:dyDescent="0.25">
      <c r="A966" t="s">
        <v>564</v>
      </c>
      <c r="B966" t="s">
        <v>28</v>
      </c>
      <c r="C966" t="s">
        <v>348</v>
      </c>
      <c r="D966" t="s">
        <v>76</v>
      </c>
      <c r="E966" t="s">
        <v>626</v>
      </c>
      <c r="F966" t="s">
        <v>78</v>
      </c>
      <c r="G966" t="s">
        <v>627</v>
      </c>
      <c r="H966" t="s">
        <v>9325</v>
      </c>
      <c r="I966">
        <v>1.0088127760297591E-3</v>
      </c>
      <c r="J966">
        <v>941701</v>
      </c>
      <c r="K966">
        <v>4.5162394462615043E-3</v>
      </c>
      <c r="L966">
        <v>210352</v>
      </c>
      <c r="M966">
        <v>950</v>
      </c>
      <c r="N966">
        <v>2.4199999999999999E-2</v>
      </c>
      <c r="O966">
        <v>30</v>
      </c>
    </row>
    <row r="967" spans="1:15" x14ac:dyDescent="0.25">
      <c r="A967" t="s">
        <v>564</v>
      </c>
      <c r="B967" t="s">
        <v>28</v>
      </c>
      <c r="C967" t="s">
        <v>348</v>
      </c>
      <c r="D967" t="s">
        <v>76</v>
      </c>
      <c r="E967" t="s">
        <v>80</v>
      </c>
      <c r="F967" t="s">
        <v>8354</v>
      </c>
      <c r="G967" t="s">
        <v>8355</v>
      </c>
      <c r="H967" t="s">
        <v>9326</v>
      </c>
      <c r="I967">
        <v>7.8899778167380093E-4</v>
      </c>
      <c r="J967">
        <v>941701</v>
      </c>
      <c r="K967">
        <v>3.5321746406024191E-3</v>
      </c>
      <c r="L967">
        <v>210352</v>
      </c>
      <c r="M967">
        <v>743</v>
      </c>
      <c r="N967">
        <v>2.8199999999999999E-2</v>
      </c>
      <c r="O967">
        <v>31</v>
      </c>
    </row>
    <row r="968" spans="1:15" x14ac:dyDescent="0.25">
      <c r="A968" t="s">
        <v>564</v>
      </c>
      <c r="B968" t="s">
        <v>28</v>
      </c>
      <c r="C968" t="s">
        <v>348</v>
      </c>
      <c r="D968" t="s">
        <v>76</v>
      </c>
      <c r="E968" t="s">
        <v>600</v>
      </c>
      <c r="F968" t="s">
        <v>612</v>
      </c>
      <c r="G968" t="s">
        <v>613</v>
      </c>
      <c r="H968" t="s">
        <v>9327</v>
      </c>
      <c r="I968">
        <v>7.6457389341202779E-4</v>
      </c>
      <c r="J968">
        <v>941701</v>
      </c>
      <c r="K968">
        <v>3.4228341066402982E-3</v>
      </c>
      <c r="L968">
        <v>210352</v>
      </c>
      <c r="M968">
        <v>720</v>
      </c>
      <c r="N968">
        <v>3.61E-2</v>
      </c>
      <c r="O968">
        <v>32</v>
      </c>
    </row>
    <row r="969" spans="1:15" x14ac:dyDescent="0.25">
      <c r="A969" t="s">
        <v>564</v>
      </c>
      <c r="B969" t="s">
        <v>28</v>
      </c>
      <c r="C969" t="s">
        <v>348</v>
      </c>
      <c r="D969" t="s">
        <v>76</v>
      </c>
      <c r="E969" t="s">
        <v>642</v>
      </c>
      <c r="F969" t="s">
        <v>78</v>
      </c>
      <c r="G969" t="s">
        <v>643</v>
      </c>
      <c r="H969" t="s">
        <v>9333</v>
      </c>
      <c r="I969">
        <v>7.1997374962965951E-4</v>
      </c>
      <c r="J969">
        <v>941701</v>
      </c>
      <c r="K969">
        <v>3.2231687837529469E-3</v>
      </c>
      <c r="L969">
        <v>210352</v>
      </c>
      <c r="M969">
        <v>678</v>
      </c>
      <c r="N969">
        <v>3.0000000000000001E-3</v>
      </c>
      <c r="O969">
        <v>33</v>
      </c>
    </row>
    <row r="970" spans="1:15" x14ac:dyDescent="0.25">
      <c r="A970" t="s">
        <v>564</v>
      </c>
      <c r="B970" t="s">
        <v>28</v>
      </c>
      <c r="C970" t="s">
        <v>348</v>
      </c>
      <c r="D970" t="s">
        <v>76</v>
      </c>
      <c r="E970" t="s">
        <v>602</v>
      </c>
      <c r="F970" t="s">
        <v>616</v>
      </c>
      <c r="G970" t="s">
        <v>617</v>
      </c>
      <c r="H970" t="s">
        <v>9329</v>
      </c>
      <c r="I970">
        <v>5.3626363357371393E-4</v>
      </c>
      <c r="J970">
        <v>941701</v>
      </c>
      <c r="K970">
        <v>2.4007378109074311E-3</v>
      </c>
      <c r="L970">
        <v>210352</v>
      </c>
      <c r="M970">
        <v>505</v>
      </c>
      <c r="N970">
        <v>1.5800000000000002E-2</v>
      </c>
      <c r="O970">
        <v>34</v>
      </c>
    </row>
    <row r="971" spans="1:15" x14ac:dyDescent="0.25">
      <c r="A971" t="s">
        <v>564</v>
      </c>
      <c r="B971" t="s">
        <v>28</v>
      </c>
      <c r="C971" t="s">
        <v>348</v>
      </c>
      <c r="D971" t="s">
        <v>76</v>
      </c>
      <c r="E971" t="s">
        <v>602</v>
      </c>
      <c r="F971" t="s">
        <v>640</v>
      </c>
      <c r="G971" t="s">
        <v>641</v>
      </c>
      <c r="H971" t="s">
        <v>9335</v>
      </c>
      <c r="I971">
        <v>4.5343479512074432E-4</v>
      </c>
      <c r="J971">
        <v>941701</v>
      </c>
      <c r="K971">
        <v>2.0299307826880659E-3</v>
      </c>
      <c r="L971">
        <v>210352</v>
      </c>
      <c r="M971">
        <v>427</v>
      </c>
      <c r="N971">
        <v>2.3999999999999998E-3</v>
      </c>
      <c r="O971">
        <v>35</v>
      </c>
    </row>
    <row r="972" spans="1:15" x14ac:dyDescent="0.25">
      <c r="A972" t="s">
        <v>564</v>
      </c>
      <c r="B972" t="s">
        <v>28</v>
      </c>
      <c r="C972" t="s">
        <v>348</v>
      </c>
      <c r="D972" t="s">
        <v>76</v>
      </c>
      <c r="E972" t="s">
        <v>632</v>
      </c>
      <c r="F972" t="s">
        <v>78</v>
      </c>
      <c r="G972" t="s">
        <v>633</v>
      </c>
      <c r="H972" t="s">
        <v>9332</v>
      </c>
      <c r="I972">
        <v>4.5343479512074432E-4</v>
      </c>
      <c r="J972">
        <v>941701</v>
      </c>
      <c r="K972">
        <v>2.0299307826880659E-3</v>
      </c>
      <c r="L972">
        <v>210352</v>
      </c>
      <c r="M972">
        <v>427</v>
      </c>
      <c r="O972">
        <v>36</v>
      </c>
    </row>
    <row r="973" spans="1:15" x14ac:dyDescent="0.25">
      <c r="A973" t="s">
        <v>564</v>
      </c>
      <c r="B973" t="s">
        <v>28</v>
      </c>
      <c r="C973" t="s">
        <v>348</v>
      </c>
      <c r="D973" t="s">
        <v>76</v>
      </c>
      <c r="E973" t="s">
        <v>594</v>
      </c>
      <c r="F973" t="s">
        <v>78</v>
      </c>
      <c r="G973" t="s">
        <v>595</v>
      </c>
      <c r="H973" t="s">
        <v>9330</v>
      </c>
      <c r="I973">
        <v>3.5680115025894631E-4</v>
      </c>
      <c r="J973">
        <v>941701</v>
      </c>
      <c r="K973">
        <v>1.597322583098806E-3</v>
      </c>
      <c r="L973">
        <v>210352</v>
      </c>
      <c r="M973">
        <v>336</v>
      </c>
      <c r="N973">
        <v>2.0799999999999999E-2</v>
      </c>
      <c r="O973">
        <v>37</v>
      </c>
    </row>
    <row r="974" spans="1:15" x14ac:dyDescent="0.25">
      <c r="A974" t="s">
        <v>564</v>
      </c>
      <c r="B974" t="s">
        <v>28</v>
      </c>
      <c r="C974" t="s">
        <v>348</v>
      </c>
      <c r="D974" t="s">
        <v>76</v>
      </c>
      <c r="E974" t="s">
        <v>602</v>
      </c>
      <c r="F974" t="s">
        <v>652</v>
      </c>
      <c r="G974" t="s">
        <v>653</v>
      </c>
      <c r="H974" t="s">
        <v>9318</v>
      </c>
      <c r="I974">
        <v>3.4299634385011801E-4</v>
      </c>
      <c r="J974">
        <v>941701</v>
      </c>
      <c r="K974">
        <v>1.535521411728912E-3</v>
      </c>
      <c r="L974">
        <v>210352</v>
      </c>
      <c r="M974">
        <v>323</v>
      </c>
      <c r="O974">
        <v>38</v>
      </c>
    </row>
    <row r="975" spans="1:15" x14ac:dyDescent="0.25">
      <c r="A975" t="s">
        <v>564</v>
      </c>
      <c r="B975" t="s">
        <v>28</v>
      </c>
      <c r="C975" t="s">
        <v>348</v>
      </c>
      <c r="D975" t="s">
        <v>76</v>
      </c>
      <c r="E975" t="s">
        <v>634</v>
      </c>
      <c r="F975" t="s">
        <v>78</v>
      </c>
      <c r="G975" t="s">
        <v>635</v>
      </c>
      <c r="H975" t="s">
        <v>9323</v>
      </c>
      <c r="I975">
        <v>3.2282008832952292E-4</v>
      </c>
      <c r="J975">
        <v>941701</v>
      </c>
      <c r="K975">
        <v>1.445196622803681E-3</v>
      </c>
      <c r="L975">
        <v>210352</v>
      </c>
      <c r="M975">
        <v>304</v>
      </c>
      <c r="N975">
        <v>9.7999999999999997E-3</v>
      </c>
      <c r="O975">
        <v>39</v>
      </c>
    </row>
    <row r="976" spans="1:15" x14ac:dyDescent="0.25">
      <c r="A976" t="s">
        <v>564</v>
      </c>
      <c r="B976" t="s">
        <v>28</v>
      </c>
      <c r="C976" t="s">
        <v>348</v>
      </c>
      <c r="D976" t="s">
        <v>76</v>
      </c>
      <c r="E976" t="s">
        <v>8368</v>
      </c>
      <c r="F976" t="s">
        <v>78</v>
      </c>
      <c r="G976" t="s">
        <v>8369</v>
      </c>
      <c r="H976" t="s">
        <v>9331</v>
      </c>
      <c r="I976">
        <v>3.1113909829128352E-4</v>
      </c>
      <c r="J976">
        <v>941701</v>
      </c>
      <c r="K976">
        <v>1.392903323952232E-3</v>
      </c>
      <c r="L976">
        <v>210352</v>
      </c>
      <c r="M976">
        <v>293</v>
      </c>
      <c r="N976">
        <v>3.3999999999999998E-3</v>
      </c>
      <c r="O976">
        <v>40</v>
      </c>
    </row>
    <row r="977" spans="1:15" x14ac:dyDescent="0.25">
      <c r="A977" t="s">
        <v>564</v>
      </c>
      <c r="B977" t="s">
        <v>28</v>
      </c>
      <c r="C977" t="s">
        <v>348</v>
      </c>
      <c r="D977" t="s">
        <v>76</v>
      </c>
      <c r="E977" t="s">
        <v>80</v>
      </c>
      <c r="F977" t="s">
        <v>8371</v>
      </c>
      <c r="G977" t="s">
        <v>8372</v>
      </c>
      <c r="H977" t="s">
        <v>9336</v>
      </c>
      <c r="I977">
        <v>2.9308665914127728E-4</v>
      </c>
      <c r="J977">
        <v>941701</v>
      </c>
      <c r="K977">
        <v>1.312086407545448E-3</v>
      </c>
      <c r="L977">
        <v>210352</v>
      </c>
      <c r="M977">
        <v>276</v>
      </c>
      <c r="N977">
        <v>1.7999999999999999E-2</v>
      </c>
      <c r="O977">
        <v>41</v>
      </c>
    </row>
    <row r="978" spans="1:15" x14ac:dyDescent="0.25">
      <c r="A978" t="s">
        <v>564</v>
      </c>
      <c r="B978" t="s">
        <v>28</v>
      </c>
      <c r="C978" t="s">
        <v>348</v>
      </c>
      <c r="D978" t="s">
        <v>76</v>
      </c>
      <c r="E978" t="s">
        <v>664</v>
      </c>
      <c r="F978" t="s">
        <v>78</v>
      </c>
      <c r="G978" t="s">
        <v>665</v>
      </c>
      <c r="H978" t="s">
        <v>9340</v>
      </c>
      <c r="I978">
        <v>2.7503421999127109E-4</v>
      </c>
      <c r="J978">
        <v>941701</v>
      </c>
      <c r="K978">
        <v>1.2312694911386631E-3</v>
      </c>
      <c r="L978">
        <v>210352</v>
      </c>
      <c r="M978">
        <v>259</v>
      </c>
      <c r="O978">
        <v>42</v>
      </c>
    </row>
    <row r="979" spans="1:15" x14ac:dyDescent="0.25">
      <c r="A979" t="s">
        <v>564</v>
      </c>
      <c r="B979" t="s">
        <v>28</v>
      </c>
      <c r="C979" t="s">
        <v>348</v>
      </c>
      <c r="D979" t="s">
        <v>76</v>
      </c>
      <c r="E979" t="s">
        <v>634</v>
      </c>
      <c r="F979" t="s">
        <v>658</v>
      </c>
      <c r="G979" t="s">
        <v>659</v>
      </c>
      <c r="H979" t="s">
        <v>9328</v>
      </c>
      <c r="I979">
        <v>1.8477202424124E-4</v>
      </c>
      <c r="J979">
        <v>941701</v>
      </c>
      <c r="K979">
        <v>8.2718490910473877E-4</v>
      </c>
      <c r="L979">
        <v>210352</v>
      </c>
      <c r="M979">
        <v>174</v>
      </c>
      <c r="N979">
        <v>5.7000000000000002E-3</v>
      </c>
      <c r="O979">
        <v>43</v>
      </c>
    </row>
    <row r="980" spans="1:15" x14ac:dyDescent="0.25">
      <c r="A980" t="s">
        <v>564</v>
      </c>
      <c r="B980" t="s">
        <v>28</v>
      </c>
      <c r="C980" t="s">
        <v>348</v>
      </c>
      <c r="D980" t="s">
        <v>76</v>
      </c>
      <c r="E980" t="s">
        <v>602</v>
      </c>
      <c r="F980" t="s">
        <v>628</v>
      </c>
      <c r="G980" t="s">
        <v>629</v>
      </c>
      <c r="H980" t="s">
        <v>9339</v>
      </c>
      <c r="I980">
        <v>1.805243915000621E-4</v>
      </c>
      <c r="J980">
        <v>941701</v>
      </c>
      <c r="K980">
        <v>8.0816916406784814E-4</v>
      </c>
      <c r="L980">
        <v>210352</v>
      </c>
      <c r="M980">
        <v>170</v>
      </c>
      <c r="N980">
        <v>1.17E-2</v>
      </c>
      <c r="O980">
        <v>44</v>
      </c>
    </row>
    <row r="981" spans="1:15" x14ac:dyDescent="0.25">
      <c r="A981" t="s">
        <v>564</v>
      </c>
      <c r="B981" t="s">
        <v>28</v>
      </c>
      <c r="C981" t="s">
        <v>348</v>
      </c>
      <c r="D981" t="s">
        <v>76</v>
      </c>
      <c r="E981" t="s">
        <v>634</v>
      </c>
      <c r="F981" t="s">
        <v>638</v>
      </c>
      <c r="G981" t="s">
        <v>639</v>
      </c>
      <c r="H981" t="s">
        <v>9334</v>
      </c>
      <c r="I981">
        <v>1.3804806408828279E-4</v>
      </c>
      <c r="J981">
        <v>941701</v>
      </c>
      <c r="K981">
        <v>6.1801171369894273E-4</v>
      </c>
      <c r="L981">
        <v>210352</v>
      </c>
      <c r="M981">
        <v>130</v>
      </c>
      <c r="N981">
        <v>1.52E-2</v>
      </c>
      <c r="O981">
        <v>45</v>
      </c>
    </row>
    <row r="982" spans="1:15" x14ac:dyDescent="0.25">
      <c r="A982" t="s">
        <v>564</v>
      </c>
      <c r="B982" t="s">
        <v>28</v>
      </c>
      <c r="C982" t="s">
        <v>348</v>
      </c>
      <c r="D982" t="s">
        <v>76</v>
      </c>
      <c r="E982" t="s">
        <v>660</v>
      </c>
      <c r="F982" t="s">
        <v>78</v>
      </c>
      <c r="G982" t="s">
        <v>661</v>
      </c>
      <c r="H982" t="s">
        <v>9338</v>
      </c>
      <c r="I982">
        <v>1.263670740500435E-4</v>
      </c>
      <c r="J982">
        <v>941701</v>
      </c>
      <c r="K982">
        <v>5.657184148474937E-4</v>
      </c>
      <c r="L982">
        <v>210352</v>
      </c>
      <c r="M982">
        <v>119</v>
      </c>
      <c r="N982">
        <v>0.05</v>
      </c>
      <c r="O982">
        <v>46</v>
      </c>
    </row>
    <row r="983" spans="1:15" x14ac:dyDescent="0.25">
      <c r="A983" t="s">
        <v>564</v>
      </c>
      <c r="B983" t="s">
        <v>28</v>
      </c>
      <c r="C983" t="s">
        <v>348</v>
      </c>
      <c r="D983" t="s">
        <v>76</v>
      </c>
      <c r="E983" t="s">
        <v>602</v>
      </c>
      <c r="F983" t="s">
        <v>648</v>
      </c>
      <c r="G983" t="s">
        <v>649</v>
      </c>
      <c r="H983" t="s">
        <v>9342</v>
      </c>
      <c r="I983">
        <v>7.6457389341202782E-5</v>
      </c>
      <c r="J983">
        <v>941701</v>
      </c>
      <c r="K983">
        <v>3.4228341066402978E-4</v>
      </c>
      <c r="L983">
        <v>210352</v>
      </c>
      <c r="M983">
        <v>72</v>
      </c>
      <c r="N983">
        <v>4.1099999999999998E-2</v>
      </c>
      <c r="O983">
        <v>47</v>
      </c>
    </row>
    <row r="984" spans="1:15" x14ac:dyDescent="0.25">
      <c r="A984" t="s">
        <v>564</v>
      </c>
      <c r="B984" t="s">
        <v>28</v>
      </c>
      <c r="C984" t="s">
        <v>348</v>
      </c>
      <c r="D984" t="s">
        <v>76</v>
      </c>
      <c r="E984" t="s">
        <v>81</v>
      </c>
      <c r="F984" t="s">
        <v>646</v>
      </c>
      <c r="G984" t="s">
        <v>647</v>
      </c>
      <c r="H984" t="s">
        <v>9337</v>
      </c>
      <c r="I984">
        <v>7.5395481155908294E-5</v>
      </c>
      <c r="J984">
        <v>941701</v>
      </c>
      <c r="K984">
        <v>3.375294744048072E-4</v>
      </c>
      <c r="L984">
        <v>210352</v>
      </c>
      <c r="M984">
        <v>71</v>
      </c>
      <c r="N984">
        <v>1.3899999999999999E-2</v>
      </c>
      <c r="O984">
        <v>48</v>
      </c>
    </row>
    <row r="985" spans="1:15" x14ac:dyDescent="0.25">
      <c r="A985" t="s">
        <v>564</v>
      </c>
      <c r="B985" t="s">
        <v>28</v>
      </c>
      <c r="C985" t="s">
        <v>348</v>
      </c>
      <c r="D985" t="s">
        <v>76</v>
      </c>
      <c r="E985" t="s">
        <v>644</v>
      </c>
      <c r="F985" t="s">
        <v>78</v>
      </c>
      <c r="G985" t="s">
        <v>645</v>
      </c>
      <c r="H985" t="s">
        <v>9341</v>
      </c>
      <c r="I985">
        <v>6.4776399302963461E-5</v>
      </c>
      <c r="J985">
        <v>941701</v>
      </c>
      <c r="K985">
        <v>2.8999011181258079E-4</v>
      </c>
      <c r="L985">
        <v>210352</v>
      </c>
      <c r="M985">
        <v>61</v>
      </c>
      <c r="N985">
        <v>0.1613</v>
      </c>
      <c r="O985">
        <v>49</v>
      </c>
    </row>
    <row r="986" spans="1:15" x14ac:dyDescent="0.25">
      <c r="A986" t="s">
        <v>564</v>
      </c>
      <c r="B986" t="s">
        <v>28</v>
      </c>
      <c r="C986" t="s">
        <v>348</v>
      </c>
      <c r="D986" t="s">
        <v>76</v>
      </c>
      <c r="E986" t="s">
        <v>81</v>
      </c>
      <c r="F986" t="s">
        <v>604</v>
      </c>
      <c r="G986" t="s">
        <v>605</v>
      </c>
      <c r="H986" t="s">
        <v>9346</v>
      </c>
      <c r="I986">
        <v>6.26525829323745E-5</v>
      </c>
      <c r="J986">
        <v>941701</v>
      </c>
      <c r="K986">
        <v>2.8048223929413548E-4</v>
      </c>
      <c r="L986">
        <v>210352</v>
      </c>
      <c r="M986">
        <v>59</v>
      </c>
      <c r="N986">
        <v>3.3300000000000003E-2</v>
      </c>
      <c r="O986">
        <v>50</v>
      </c>
    </row>
    <row r="987" spans="1:15" x14ac:dyDescent="0.25">
      <c r="A987" t="s">
        <v>564</v>
      </c>
      <c r="B987" t="s">
        <v>28</v>
      </c>
      <c r="C987" t="s">
        <v>348</v>
      </c>
      <c r="D987" t="s">
        <v>76</v>
      </c>
      <c r="E987" t="s">
        <v>654</v>
      </c>
      <c r="F987" t="s">
        <v>78</v>
      </c>
      <c r="G987" t="s">
        <v>655</v>
      </c>
      <c r="H987" t="s">
        <v>9345</v>
      </c>
      <c r="I987">
        <v>5.7343042005902083E-5</v>
      </c>
      <c r="J987">
        <v>941701</v>
      </c>
      <c r="K987">
        <v>2.5671255799802239E-4</v>
      </c>
      <c r="L987">
        <v>210352</v>
      </c>
      <c r="M987">
        <v>54</v>
      </c>
      <c r="N987">
        <v>3.6400000000000002E-2</v>
      </c>
      <c r="O987">
        <v>51</v>
      </c>
    </row>
    <row r="988" spans="1:15" x14ac:dyDescent="0.25">
      <c r="A988" t="s">
        <v>564</v>
      </c>
      <c r="B988" t="s">
        <v>28</v>
      </c>
      <c r="C988" t="s">
        <v>348</v>
      </c>
      <c r="D988" t="s">
        <v>76</v>
      </c>
      <c r="E988" t="s">
        <v>674</v>
      </c>
      <c r="F988" t="s">
        <v>78</v>
      </c>
      <c r="G988" t="s">
        <v>675</v>
      </c>
      <c r="H988" t="s">
        <v>9344</v>
      </c>
      <c r="I988">
        <v>4.4600143782368288E-5</v>
      </c>
      <c r="J988">
        <v>941701</v>
      </c>
      <c r="K988">
        <v>1.9966532288735069E-4</v>
      </c>
      <c r="L988">
        <v>210352</v>
      </c>
      <c r="M988">
        <v>42</v>
      </c>
      <c r="N988">
        <v>4.65E-2</v>
      </c>
      <c r="O988">
        <v>52</v>
      </c>
    </row>
    <row r="989" spans="1:15" x14ac:dyDescent="0.25">
      <c r="A989" t="s">
        <v>564</v>
      </c>
      <c r="B989" t="s">
        <v>28</v>
      </c>
      <c r="C989" t="s">
        <v>348</v>
      </c>
      <c r="D989" t="s">
        <v>76</v>
      </c>
      <c r="E989" t="s">
        <v>654</v>
      </c>
      <c r="F989" t="s">
        <v>8392</v>
      </c>
      <c r="G989" t="s">
        <v>8393</v>
      </c>
      <c r="H989" t="s">
        <v>9348</v>
      </c>
      <c r="I989">
        <v>2.8671521002951041E-5</v>
      </c>
      <c r="J989">
        <v>941701</v>
      </c>
      <c r="K989">
        <v>1.2835627899901119E-4</v>
      </c>
      <c r="L989">
        <v>210352</v>
      </c>
      <c r="M989">
        <v>27</v>
      </c>
      <c r="N989">
        <v>7.1499999999999994E-2</v>
      </c>
      <c r="O989">
        <v>53</v>
      </c>
    </row>
    <row r="990" spans="1:15" x14ac:dyDescent="0.25">
      <c r="A990" t="s">
        <v>564</v>
      </c>
      <c r="B990" t="s">
        <v>28</v>
      </c>
      <c r="C990" t="s">
        <v>348</v>
      </c>
      <c r="D990" t="s">
        <v>76</v>
      </c>
      <c r="E990" t="s">
        <v>602</v>
      </c>
      <c r="F990" t="s">
        <v>650</v>
      </c>
      <c r="G990" t="s">
        <v>651</v>
      </c>
      <c r="H990" t="s">
        <v>9343</v>
      </c>
      <c r="I990">
        <v>2.5485796447067589E-5</v>
      </c>
      <c r="J990">
        <v>941701</v>
      </c>
      <c r="K990">
        <v>1.140944702213433E-4</v>
      </c>
      <c r="L990">
        <v>210352</v>
      </c>
      <c r="M990">
        <v>24</v>
      </c>
      <c r="N990">
        <v>0.04</v>
      </c>
      <c r="O990">
        <v>54</v>
      </c>
    </row>
    <row r="991" spans="1:15" x14ac:dyDescent="0.25">
      <c r="A991" t="s">
        <v>564</v>
      </c>
      <c r="B991" t="s">
        <v>28</v>
      </c>
      <c r="C991" t="s">
        <v>348</v>
      </c>
      <c r="D991" t="s">
        <v>76</v>
      </c>
      <c r="E991" t="s">
        <v>676</v>
      </c>
      <c r="F991" t="s">
        <v>78</v>
      </c>
      <c r="G991" t="s">
        <v>677</v>
      </c>
      <c r="H991" t="s">
        <v>9358</v>
      </c>
      <c r="I991">
        <v>2.123816370588966E-5</v>
      </c>
      <c r="J991">
        <v>941701</v>
      </c>
      <c r="K991">
        <v>9.507872518445273E-5</v>
      </c>
      <c r="L991">
        <v>210352</v>
      </c>
      <c r="M991">
        <v>20</v>
      </c>
      <c r="N991">
        <v>0.05</v>
      </c>
      <c r="O991">
        <v>55</v>
      </c>
    </row>
    <row r="992" spans="1:15" x14ac:dyDescent="0.25">
      <c r="A992" t="s">
        <v>564</v>
      </c>
      <c r="B992" t="s">
        <v>28</v>
      </c>
      <c r="C992" t="s">
        <v>348</v>
      </c>
      <c r="D992" t="s">
        <v>76</v>
      </c>
      <c r="E992" t="s">
        <v>654</v>
      </c>
      <c r="F992" t="s">
        <v>8395</v>
      </c>
      <c r="G992" t="s">
        <v>8396</v>
      </c>
      <c r="H992" t="s">
        <v>9357</v>
      </c>
      <c r="I992">
        <v>1.6990530964711731E-5</v>
      </c>
      <c r="J992">
        <v>941701</v>
      </c>
      <c r="K992">
        <v>7.6062980147562184E-5</v>
      </c>
      <c r="L992">
        <v>210352</v>
      </c>
      <c r="M992">
        <v>16</v>
      </c>
      <c r="O992">
        <v>56</v>
      </c>
    </row>
    <row r="993" spans="1:15" x14ac:dyDescent="0.25">
      <c r="A993" t="s">
        <v>564</v>
      </c>
      <c r="B993" t="s">
        <v>28</v>
      </c>
      <c r="C993" t="s">
        <v>348</v>
      </c>
      <c r="D993" t="s">
        <v>76</v>
      </c>
      <c r="E993" t="s">
        <v>654</v>
      </c>
      <c r="F993" t="s">
        <v>8388</v>
      </c>
      <c r="G993" t="s">
        <v>8389</v>
      </c>
      <c r="H993" t="s">
        <v>9352</v>
      </c>
      <c r="I993">
        <v>1.592862277941725E-5</v>
      </c>
      <c r="J993">
        <v>941701</v>
      </c>
      <c r="K993">
        <v>7.1309043888339541E-5</v>
      </c>
      <c r="L993">
        <v>210352</v>
      </c>
      <c r="M993">
        <v>15</v>
      </c>
      <c r="N993">
        <v>6.6699999999999995E-2</v>
      </c>
      <c r="O993">
        <v>57</v>
      </c>
    </row>
    <row r="994" spans="1:15" x14ac:dyDescent="0.25">
      <c r="A994" t="s">
        <v>564</v>
      </c>
      <c r="B994" t="s">
        <v>28</v>
      </c>
      <c r="C994" t="s">
        <v>348</v>
      </c>
      <c r="D994" t="s">
        <v>76</v>
      </c>
      <c r="E994" t="s">
        <v>654</v>
      </c>
      <c r="F994" t="s">
        <v>8507</v>
      </c>
      <c r="G994" t="s">
        <v>8508</v>
      </c>
      <c r="H994" t="s">
        <v>9354</v>
      </c>
      <c r="I994">
        <v>1.1680990038239311E-5</v>
      </c>
      <c r="J994">
        <v>941701</v>
      </c>
      <c r="K994">
        <v>5.2293298851449002E-5</v>
      </c>
      <c r="L994">
        <v>210352</v>
      </c>
      <c r="M994">
        <v>11</v>
      </c>
      <c r="O994">
        <v>58</v>
      </c>
    </row>
    <row r="995" spans="1:15" x14ac:dyDescent="0.25">
      <c r="A995" t="s">
        <v>564</v>
      </c>
      <c r="B995" t="s">
        <v>28</v>
      </c>
      <c r="C995" t="s">
        <v>348</v>
      </c>
      <c r="D995" t="s">
        <v>76</v>
      </c>
      <c r="E995" t="s">
        <v>672</v>
      </c>
      <c r="F995" t="s">
        <v>78</v>
      </c>
      <c r="G995" t="s">
        <v>673</v>
      </c>
      <c r="H995" t="s">
        <v>9353</v>
      </c>
      <c r="I995">
        <v>1.061908185294483E-5</v>
      </c>
      <c r="J995">
        <v>941701</v>
      </c>
      <c r="K995">
        <v>4.7539362592226372E-5</v>
      </c>
      <c r="L995">
        <v>210352</v>
      </c>
      <c r="M995">
        <v>10</v>
      </c>
      <c r="O995">
        <v>59</v>
      </c>
    </row>
    <row r="996" spans="1:15" x14ac:dyDescent="0.25">
      <c r="A996" t="s">
        <v>564</v>
      </c>
      <c r="B996" t="s">
        <v>28</v>
      </c>
      <c r="C996" t="s">
        <v>348</v>
      </c>
      <c r="D996" t="s">
        <v>76</v>
      </c>
      <c r="E996" t="s">
        <v>602</v>
      </c>
      <c r="F996" t="s">
        <v>666</v>
      </c>
      <c r="G996" t="s">
        <v>667</v>
      </c>
      <c r="H996" t="s">
        <v>9356</v>
      </c>
      <c r="I996">
        <v>1.061908185294483E-5</v>
      </c>
      <c r="J996">
        <v>941701</v>
      </c>
      <c r="K996">
        <v>4.7539362592226372E-5</v>
      </c>
      <c r="L996">
        <v>210352</v>
      </c>
      <c r="M996">
        <v>10</v>
      </c>
      <c r="O996">
        <v>60</v>
      </c>
    </row>
    <row r="997" spans="1:15" x14ac:dyDescent="0.25">
      <c r="A997" t="s">
        <v>564</v>
      </c>
      <c r="B997" t="s">
        <v>28</v>
      </c>
      <c r="C997" t="s">
        <v>348</v>
      </c>
      <c r="D997" t="s">
        <v>76</v>
      </c>
      <c r="E997" t="s">
        <v>678</v>
      </c>
      <c r="F997" t="s">
        <v>78</v>
      </c>
      <c r="G997" t="s">
        <v>679</v>
      </c>
      <c r="H997" t="s">
        <v>9351</v>
      </c>
      <c r="I997">
        <v>9.5571736676503477E-6</v>
      </c>
      <c r="J997">
        <v>941701</v>
      </c>
      <c r="K997">
        <v>4.2785426333003729E-5</v>
      </c>
      <c r="L997">
        <v>210352</v>
      </c>
      <c r="M997">
        <v>9</v>
      </c>
      <c r="O997">
        <v>61</v>
      </c>
    </row>
    <row r="998" spans="1:15" x14ac:dyDescent="0.25">
      <c r="A998" t="s">
        <v>564</v>
      </c>
      <c r="B998" t="s">
        <v>28</v>
      </c>
      <c r="C998" t="s">
        <v>348</v>
      </c>
      <c r="D998" t="s">
        <v>76</v>
      </c>
      <c r="E998" t="s">
        <v>656</v>
      </c>
      <c r="F998" t="s">
        <v>78</v>
      </c>
      <c r="G998" t="s">
        <v>657</v>
      </c>
      <c r="H998" t="s">
        <v>9350</v>
      </c>
      <c r="I998">
        <v>9.5571736676503477E-6</v>
      </c>
      <c r="J998">
        <v>941701</v>
      </c>
      <c r="K998">
        <v>4.2785426333003729E-5</v>
      </c>
      <c r="L998">
        <v>210352</v>
      </c>
      <c r="M998">
        <v>9</v>
      </c>
      <c r="O998">
        <v>62</v>
      </c>
    </row>
    <row r="999" spans="1:15" x14ac:dyDescent="0.25">
      <c r="A999" t="s">
        <v>564</v>
      </c>
      <c r="B999" t="s">
        <v>28</v>
      </c>
      <c r="C999" t="s">
        <v>348</v>
      </c>
      <c r="D999" t="s">
        <v>76</v>
      </c>
      <c r="E999" t="s">
        <v>602</v>
      </c>
      <c r="F999" t="s">
        <v>670</v>
      </c>
      <c r="G999" t="s">
        <v>671</v>
      </c>
      <c r="H999" t="s">
        <v>9349</v>
      </c>
      <c r="I999">
        <v>7.4333572970613814E-6</v>
      </c>
      <c r="J999">
        <v>941701</v>
      </c>
      <c r="K999">
        <v>3.3277553814558462E-5</v>
      </c>
      <c r="L999">
        <v>210352</v>
      </c>
      <c r="M999">
        <v>7</v>
      </c>
      <c r="N999">
        <v>0.375</v>
      </c>
      <c r="O999">
        <v>63</v>
      </c>
    </row>
    <row r="1000" spans="1:15" x14ac:dyDescent="0.25">
      <c r="A1000" t="s">
        <v>564</v>
      </c>
      <c r="B1000" t="s">
        <v>28</v>
      </c>
      <c r="C1000" t="s">
        <v>348</v>
      </c>
      <c r="D1000" t="s">
        <v>76</v>
      </c>
      <c r="E1000" t="s">
        <v>81</v>
      </c>
      <c r="F1000" t="s">
        <v>851</v>
      </c>
      <c r="G1000" t="s">
        <v>852</v>
      </c>
      <c r="H1000" t="s">
        <v>9360</v>
      </c>
      <c r="I1000">
        <v>4.2476327411779327E-6</v>
      </c>
      <c r="J1000">
        <v>941701</v>
      </c>
      <c r="K1000">
        <v>1.9015745036890549E-5</v>
      </c>
      <c r="L1000">
        <v>210352</v>
      </c>
      <c r="M1000">
        <v>4</v>
      </c>
      <c r="O1000">
        <v>64</v>
      </c>
    </row>
    <row r="1001" spans="1:15" x14ac:dyDescent="0.25">
      <c r="A1001" t="s">
        <v>564</v>
      </c>
      <c r="B1001" t="s">
        <v>28</v>
      </c>
      <c r="C1001" t="s">
        <v>348</v>
      </c>
      <c r="D1001" t="s">
        <v>76</v>
      </c>
      <c r="E1001" t="s">
        <v>654</v>
      </c>
      <c r="F1001" t="s">
        <v>8471</v>
      </c>
      <c r="G1001" t="s">
        <v>8472</v>
      </c>
      <c r="H1001" t="s">
        <v>9362</v>
      </c>
      <c r="I1001">
        <v>4.2476327411779327E-6</v>
      </c>
      <c r="J1001">
        <v>941701</v>
      </c>
      <c r="K1001">
        <v>1.9015745036890549E-5</v>
      </c>
      <c r="L1001">
        <v>210352</v>
      </c>
      <c r="M1001">
        <v>4</v>
      </c>
      <c r="O1001">
        <v>65</v>
      </c>
    </row>
    <row r="1002" spans="1:15" x14ac:dyDescent="0.25">
      <c r="A1002" t="s">
        <v>564</v>
      </c>
      <c r="B1002" t="s">
        <v>28</v>
      </c>
      <c r="C1002" t="s">
        <v>348</v>
      </c>
      <c r="D1002" t="s">
        <v>76</v>
      </c>
      <c r="E1002" t="s">
        <v>680</v>
      </c>
      <c r="F1002" t="s">
        <v>78</v>
      </c>
      <c r="G1002" t="s">
        <v>681</v>
      </c>
      <c r="H1002" t="s">
        <v>9361</v>
      </c>
      <c r="I1002">
        <v>4.2476327411779327E-6</v>
      </c>
      <c r="J1002">
        <v>941701</v>
      </c>
      <c r="K1002">
        <v>1.9015745036890549E-5</v>
      </c>
      <c r="L1002">
        <v>210352</v>
      </c>
      <c r="M1002">
        <v>4</v>
      </c>
      <c r="O1002">
        <v>66</v>
      </c>
    </row>
    <row r="1003" spans="1:15" x14ac:dyDescent="0.25">
      <c r="A1003" t="s">
        <v>564</v>
      </c>
      <c r="B1003" t="s">
        <v>28</v>
      </c>
      <c r="C1003" t="s">
        <v>348</v>
      </c>
      <c r="D1003" t="s">
        <v>76</v>
      </c>
      <c r="E1003" t="s">
        <v>8399</v>
      </c>
      <c r="F1003" t="s">
        <v>78</v>
      </c>
      <c r="G1003" t="s">
        <v>8400</v>
      </c>
      <c r="H1003" t="s">
        <v>9363</v>
      </c>
      <c r="I1003">
        <v>2.1238163705889659E-6</v>
      </c>
      <c r="J1003">
        <v>941701</v>
      </c>
      <c r="K1003">
        <v>9.507872518445273E-6</v>
      </c>
      <c r="L1003">
        <v>210352</v>
      </c>
      <c r="M1003">
        <v>2</v>
      </c>
      <c r="O1003">
        <v>67</v>
      </c>
    </row>
    <row r="1004" spans="1:15" x14ac:dyDescent="0.25">
      <c r="A1004" t="s">
        <v>564</v>
      </c>
      <c r="B1004" t="s">
        <v>28</v>
      </c>
      <c r="C1004" t="s">
        <v>348</v>
      </c>
      <c r="D1004" t="s">
        <v>76</v>
      </c>
      <c r="E1004" t="s">
        <v>668</v>
      </c>
      <c r="F1004" t="s">
        <v>78</v>
      </c>
      <c r="G1004" t="s">
        <v>669</v>
      </c>
      <c r="H1004" t="s">
        <v>9359</v>
      </c>
      <c r="I1004">
        <v>2.1238163705889659E-6</v>
      </c>
      <c r="J1004">
        <v>941701</v>
      </c>
      <c r="K1004">
        <v>9.507872518445273E-6</v>
      </c>
      <c r="L1004">
        <v>210352</v>
      </c>
      <c r="M1004">
        <v>2</v>
      </c>
      <c r="O1004">
        <v>68</v>
      </c>
    </row>
    <row r="1005" spans="1:15" x14ac:dyDescent="0.25">
      <c r="A1005" t="s">
        <v>564</v>
      </c>
      <c r="B1005" t="s">
        <v>28</v>
      </c>
      <c r="C1005" t="s">
        <v>348</v>
      </c>
      <c r="D1005" t="s">
        <v>76</v>
      </c>
      <c r="E1005" t="s">
        <v>1000</v>
      </c>
      <c r="F1005" t="s">
        <v>78</v>
      </c>
      <c r="G1005" t="s">
        <v>1001</v>
      </c>
      <c r="H1005" t="s">
        <v>9442</v>
      </c>
      <c r="I1005">
        <v>1.061908185294483E-6</v>
      </c>
      <c r="J1005">
        <v>941701</v>
      </c>
      <c r="K1005">
        <v>4.7539362592226374E-6</v>
      </c>
      <c r="L1005">
        <v>210352</v>
      </c>
      <c r="M1005">
        <v>1</v>
      </c>
      <c r="O1005">
        <v>69</v>
      </c>
    </row>
    <row r="1006" spans="1:15" x14ac:dyDescent="0.25">
      <c r="A1006" t="s">
        <v>564</v>
      </c>
      <c r="B1006" t="s">
        <v>28</v>
      </c>
      <c r="C1006" t="s">
        <v>348</v>
      </c>
      <c r="D1006" t="s">
        <v>76</v>
      </c>
      <c r="E1006" t="s">
        <v>688</v>
      </c>
      <c r="F1006" t="s">
        <v>78</v>
      </c>
      <c r="G1006" t="s">
        <v>689</v>
      </c>
      <c r="H1006" t="s">
        <v>9423</v>
      </c>
      <c r="I1006">
        <v>1.061908185294483E-6</v>
      </c>
      <c r="J1006">
        <v>941701</v>
      </c>
      <c r="K1006">
        <v>4.7539362592226374E-6</v>
      </c>
      <c r="L1006">
        <v>210352</v>
      </c>
      <c r="M1006">
        <v>1</v>
      </c>
      <c r="O1006">
        <v>70</v>
      </c>
    </row>
    <row r="1007" spans="1:15" x14ac:dyDescent="0.25">
      <c r="A1007" t="s">
        <v>564</v>
      </c>
      <c r="B1007" t="s">
        <v>28</v>
      </c>
      <c r="C1007" t="s">
        <v>348</v>
      </c>
      <c r="D1007" t="s">
        <v>76</v>
      </c>
      <c r="E1007" t="s">
        <v>596</v>
      </c>
      <c r="F1007" t="s">
        <v>78</v>
      </c>
      <c r="G1007" t="s">
        <v>597</v>
      </c>
      <c r="H1007" t="s">
        <v>9368</v>
      </c>
      <c r="I1007">
        <v>1.061908185294483E-6</v>
      </c>
      <c r="J1007">
        <v>941701</v>
      </c>
      <c r="K1007">
        <v>4.7539362592226374E-6</v>
      </c>
      <c r="L1007">
        <v>210352</v>
      </c>
      <c r="M1007">
        <v>1</v>
      </c>
      <c r="O1007">
        <v>71</v>
      </c>
    </row>
    <row r="1008" spans="1:15" x14ac:dyDescent="0.25">
      <c r="A1008" t="s">
        <v>564</v>
      </c>
      <c r="B1008" t="s">
        <v>28</v>
      </c>
      <c r="C1008" t="s">
        <v>348</v>
      </c>
      <c r="D1008" t="s">
        <v>76</v>
      </c>
      <c r="E1008" t="s">
        <v>686</v>
      </c>
      <c r="F1008" t="s">
        <v>1084</v>
      </c>
      <c r="G1008" t="s">
        <v>1085</v>
      </c>
      <c r="H1008" t="s">
        <v>9384</v>
      </c>
      <c r="J1008">
        <v>941701</v>
      </c>
      <c r="L1008">
        <v>210352</v>
      </c>
      <c r="O1008">
        <v>72</v>
      </c>
    </row>
    <row r="1009" spans="1:15" x14ac:dyDescent="0.25">
      <c r="A1009" t="s">
        <v>564</v>
      </c>
      <c r="B1009" t="s">
        <v>28</v>
      </c>
      <c r="C1009" t="s">
        <v>348</v>
      </c>
      <c r="D1009" t="s">
        <v>76</v>
      </c>
      <c r="E1009" t="s">
        <v>858</v>
      </c>
      <c r="F1009" t="s">
        <v>78</v>
      </c>
      <c r="G1009" t="s">
        <v>859</v>
      </c>
      <c r="H1009" t="s">
        <v>9427</v>
      </c>
      <c r="J1009">
        <v>941701</v>
      </c>
      <c r="L1009">
        <v>210352</v>
      </c>
      <c r="O1009">
        <v>73</v>
      </c>
    </row>
    <row r="1010" spans="1:15" x14ac:dyDescent="0.25">
      <c r="A1010" t="s">
        <v>564</v>
      </c>
      <c r="B1010" t="s">
        <v>28</v>
      </c>
      <c r="C1010" t="s">
        <v>348</v>
      </c>
      <c r="D1010" t="s">
        <v>76</v>
      </c>
      <c r="E1010" t="s">
        <v>8468</v>
      </c>
      <c r="F1010" t="s">
        <v>78</v>
      </c>
      <c r="G1010" t="s">
        <v>8469</v>
      </c>
      <c r="H1010" t="s">
        <v>9411</v>
      </c>
      <c r="J1010">
        <v>941701</v>
      </c>
      <c r="L1010">
        <v>210352</v>
      </c>
      <c r="O1010">
        <v>74</v>
      </c>
    </row>
    <row r="1011" spans="1:15" x14ac:dyDescent="0.25">
      <c r="A1011" t="s">
        <v>564</v>
      </c>
      <c r="B1011" t="s">
        <v>28</v>
      </c>
      <c r="C1011" t="s">
        <v>348</v>
      </c>
      <c r="D1011" t="s">
        <v>76</v>
      </c>
      <c r="E1011" t="s">
        <v>1096</v>
      </c>
      <c r="F1011" t="s">
        <v>78</v>
      </c>
      <c r="G1011" t="s">
        <v>1097</v>
      </c>
      <c r="H1011" t="s">
        <v>9430</v>
      </c>
      <c r="J1011">
        <v>941701</v>
      </c>
      <c r="L1011">
        <v>210352</v>
      </c>
      <c r="O1011">
        <v>75</v>
      </c>
    </row>
    <row r="1012" spans="1:15" x14ac:dyDescent="0.25">
      <c r="A1012" t="s">
        <v>564</v>
      </c>
      <c r="B1012" t="s">
        <v>28</v>
      </c>
      <c r="C1012" t="s">
        <v>348</v>
      </c>
      <c r="D1012" t="s">
        <v>76</v>
      </c>
      <c r="E1012" t="s">
        <v>1093</v>
      </c>
      <c r="F1012" t="s">
        <v>78</v>
      </c>
      <c r="G1012" t="s">
        <v>1094</v>
      </c>
      <c r="H1012" t="s">
        <v>9408</v>
      </c>
      <c r="J1012">
        <v>941701</v>
      </c>
      <c r="L1012">
        <v>210352</v>
      </c>
      <c r="O1012">
        <v>76</v>
      </c>
    </row>
    <row r="1013" spans="1:15" x14ac:dyDescent="0.25">
      <c r="A1013" t="s">
        <v>564</v>
      </c>
      <c r="B1013" t="s">
        <v>28</v>
      </c>
      <c r="C1013" t="s">
        <v>348</v>
      </c>
      <c r="D1013" t="s">
        <v>76</v>
      </c>
      <c r="E1013" t="s">
        <v>634</v>
      </c>
      <c r="F1013" t="s">
        <v>883</v>
      </c>
      <c r="G1013" t="s">
        <v>884</v>
      </c>
      <c r="H1013" t="s">
        <v>9425</v>
      </c>
      <c r="J1013">
        <v>941701</v>
      </c>
      <c r="L1013">
        <v>210352</v>
      </c>
      <c r="O1013">
        <v>77</v>
      </c>
    </row>
    <row r="1014" spans="1:15" x14ac:dyDescent="0.25">
      <c r="A1014" t="s">
        <v>564</v>
      </c>
      <c r="B1014" t="s">
        <v>28</v>
      </c>
      <c r="C1014" t="s">
        <v>348</v>
      </c>
      <c r="D1014" t="s">
        <v>76</v>
      </c>
      <c r="E1014" t="s">
        <v>634</v>
      </c>
      <c r="F1014" t="s">
        <v>880</v>
      </c>
      <c r="G1014" t="s">
        <v>881</v>
      </c>
      <c r="H1014" t="s">
        <v>9355</v>
      </c>
      <c r="J1014">
        <v>941701</v>
      </c>
      <c r="L1014">
        <v>210352</v>
      </c>
      <c r="O1014">
        <v>78</v>
      </c>
    </row>
    <row r="1015" spans="1:15" x14ac:dyDescent="0.25">
      <c r="A1015" t="s">
        <v>564</v>
      </c>
      <c r="B1015" t="s">
        <v>28</v>
      </c>
      <c r="C1015" t="s">
        <v>348</v>
      </c>
      <c r="D1015" t="s">
        <v>76</v>
      </c>
      <c r="E1015" t="s">
        <v>602</v>
      </c>
      <c r="F1015" t="s">
        <v>876</v>
      </c>
      <c r="G1015" t="s">
        <v>877</v>
      </c>
      <c r="H1015" t="s">
        <v>9371</v>
      </c>
      <c r="J1015">
        <v>941701</v>
      </c>
      <c r="L1015">
        <v>210352</v>
      </c>
      <c r="O1015">
        <v>79</v>
      </c>
    </row>
    <row r="1016" spans="1:15" x14ac:dyDescent="0.25">
      <c r="A1016" t="s">
        <v>564</v>
      </c>
      <c r="B1016" t="s">
        <v>28</v>
      </c>
      <c r="C1016" t="s">
        <v>348</v>
      </c>
      <c r="D1016" t="s">
        <v>76</v>
      </c>
      <c r="E1016" t="s">
        <v>602</v>
      </c>
      <c r="F1016" t="s">
        <v>870</v>
      </c>
      <c r="G1016" t="s">
        <v>871</v>
      </c>
      <c r="H1016" t="s">
        <v>9419</v>
      </c>
      <c r="J1016">
        <v>941701</v>
      </c>
      <c r="L1016">
        <v>210352</v>
      </c>
      <c r="O1016">
        <v>80</v>
      </c>
    </row>
    <row r="1017" spans="1:15" x14ac:dyDescent="0.25">
      <c r="A1017" t="s">
        <v>564</v>
      </c>
      <c r="B1017" t="s">
        <v>28</v>
      </c>
      <c r="C1017" t="s">
        <v>348</v>
      </c>
      <c r="D1017" t="s">
        <v>76</v>
      </c>
      <c r="E1017" t="s">
        <v>602</v>
      </c>
      <c r="F1017" t="s">
        <v>867</v>
      </c>
      <c r="G1017" t="s">
        <v>868</v>
      </c>
      <c r="H1017" t="s">
        <v>9421</v>
      </c>
      <c r="J1017">
        <v>941701</v>
      </c>
      <c r="L1017">
        <v>210352</v>
      </c>
      <c r="O1017">
        <v>81</v>
      </c>
    </row>
    <row r="1018" spans="1:15" x14ac:dyDescent="0.25">
      <c r="A1018" t="s">
        <v>564</v>
      </c>
      <c r="B1018" t="s">
        <v>28</v>
      </c>
      <c r="C1018" t="s">
        <v>348</v>
      </c>
      <c r="D1018" t="s">
        <v>76</v>
      </c>
      <c r="E1018" t="s">
        <v>602</v>
      </c>
      <c r="F1018" t="s">
        <v>864</v>
      </c>
      <c r="G1018" t="s">
        <v>865</v>
      </c>
      <c r="H1018" t="s">
        <v>9418</v>
      </c>
      <c r="J1018">
        <v>941701</v>
      </c>
      <c r="L1018">
        <v>210352</v>
      </c>
      <c r="O1018">
        <v>82</v>
      </c>
    </row>
    <row r="1019" spans="1:15" x14ac:dyDescent="0.25">
      <c r="A1019" t="s">
        <v>564</v>
      </c>
      <c r="B1019" t="s">
        <v>28</v>
      </c>
      <c r="C1019" t="s">
        <v>348</v>
      </c>
      <c r="D1019" t="s">
        <v>76</v>
      </c>
      <c r="E1019" t="s">
        <v>602</v>
      </c>
      <c r="F1019" t="s">
        <v>854</v>
      </c>
      <c r="G1019" t="s">
        <v>855</v>
      </c>
      <c r="H1019" t="s">
        <v>9372</v>
      </c>
      <c r="J1019">
        <v>941701</v>
      </c>
      <c r="L1019">
        <v>210352</v>
      </c>
      <c r="O1019">
        <v>83</v>
      </c>
    </row>
    <row r="1020" spans="1:15" x14ac:dyDescent="0.25">
      <c r="A1020" t="s">
        <v>564</v>
      </c>
      <c r="B1020" t="s">
        <v>28</v>
      </c>
      <c r="C1020" t="s">
        <v>348</v>
      </c>
      <c r="D1020" t="s">
        <v>76</v>
      </c>
      <c r="E1020" t="s">
        <v>602</v>
      </c>
      <c r="F1020" t="s">
        <v>1099</v>
      </c>
      <c r="G1020" t="s">
        <v>1100</v>
      </c>
      <c r="H1020" t="s">
        <v>9417</v>
      </c>
      <c r="J1020">
        <v>941701</v>
      </c>
      <c r="L1020">
        <v>210352</v>
      </c>
      <c r="O1020">
        <v>84</v>
      </c>
    </row>
    <row r="1021" spans="1:15" x14ac:dyDescent="0.25">
      <c r="A1021" t="s">
        <v>564</v>
      </c>
      <c r="B1021" t="s">
        <v>28</v>
      </c>
      <c r="C1021" t="s">
        <v>348</v>
      </c>
      <c r="D1021" t="s">
        <v>76</v>
      </c>
      <c r="E1021" t="s">
        <v>602</v>
      </c>
      <c r="F1021" t="s">
        <v>1090</v>
      </c>
      <c r="G1021" t="s">
        <v>1091</v>
      </c>
      <c r="H1021" t="s">
        <v>9416</v>
      </c>
      <c r="J1021">
        <v>941701</v>
      </c>
      <c r="L1021">
        <v>210352</v>
      </c>
      <c r="O1021">
        <v>85</v>
      </c>
    </row>
    <row r="1022" spans="1:15" x14ac:dyDescent="0.25">
      <c r="A1022" t="s">
        <v>564</v>
      </c>
      <c r="B1022" t="s">
        <v>28</v>
      </c>
      <c r="C1022" t="s">
        <v>348</v>
      </c>
      <c r="D1022" t="s">
        <v>76</v>
      </c>
      <c r="E1022" t="s">
        <v>602</v>
      </c>
      <c r="F1022" t="s">
        <v>1087</v>
      </c>
      <c r="G1022" t="s">
        <v>1088</v>
      </c>
      <c r="H1022" t="s">
        <v>9420</v>
      </c>
      <c r="J1022">
        <v>941701</v>
      </c>
      <c r="L1022">
        <v>210352</v>
      </c>
      <c r="O1022">
        <v>86</v>
      </c>
    </row>
    <row r="1023" spans="1:15" x14ac:dyDescent="0.25">
      <c r="A1023" t="s">
        <v>564</v>
      </c>
      <c r="B1023" t="s">
        <v>28</v>
      </c>
      <c r="C1023" t="s">
        <v>348</v>
      </c>
      <c r="D1023" t="s">
        <v>76</v>
      </c>
      <c r="E1023" t="s">
        <v>654</v>
      </c>
      <c r="F1023" t="s">
        <v>8518</v>
      </c>
      <c r="G1023" t="s">
        <v>8519</v>
      </c>
      <c r="H1023" t="s">
        <v>9385</v>
      </c>
      <c r="J1023">
        <v>941701</v>
      </c>
      <c r="L1023">
        <v>210352</v>
      </c>
      <c r="O1023">
        <v>87</v>
      </c>
    </row>
    <row r="1024" spans="1:15" x14ac:dyDescent="0.25">
      <c r="A1024" t="s">
        <v>564</v>
      </c>
      <c r="B1024" t="s">
        <v>28</v>
      </c>
      <c r="C1024" t="s">
        <v>348</v>
      </c>
      <c r="D1024" t="s">
        <v>76</v>
      </c>
      <c r="E1024" t="s">
        <v>654</v>
      </c>
      <c r="F1024" t="s">
        <v>8465</v>
      </c>
      <c r="G1024" t="s">
        <v>8466</v>
      </c>
      <c r="H1024" t="s">
        <v>9386</v>
      </c>
      <c r="J1024">
        <v>941701</v>
      </c>
      <c r="L1024">
        <v>210352</v>
      </c>
      <c r="O1024">
        <v>88</v>
      </c>
    </row>
    <row r="1025" spans="1:15" x14ac:dyDescent="0.25">
      <c r="A1025" t="s">
        <v>564</v>
      </c>
      <c r="B1025" t="s">
        <v>28</v>
      </c>
      <c r="C1025" t="s">
        <v>348</v>
      </c>
      <c r="D1025" t="s">
        <v>76</v>
      </c>
      <c r="E1025" t="s">
        <v>886</v>
      </c>
      <c r="F1025" t="s">
        <v>8512</v>
      </c>
      <c r="G1025" t="s">
        <v>8513</v>
      </c>
      <c r="H1025" t="s">
        <v>9367</v>
      </c>
      <c r="J1025">
        <v>941701</v>
      </c>
      <c r="L1025">
        <v>210352</v>
      </c>
      <c r="O1025">
        <v>89</v>
      </c>
    </row>
    <row r="1026" spans="1:15" x14ac:dyDescent="0.25">
      <c r="A1026" t="s">
        <v>564</v>
      </c>
      <c r="B1026" t="s">
        <v>28</v>
      </c>
      <c r="C1026" t="s">
        <v>348</v>
      </c>
      <c r="D1026" t="s">
        <v>76</v>
      </c>
      <c r="E1026" t="s">
        <v>886</v>
      </c>
      <c r="F1026" t="s">
        <v>8495</v>
      </c>
      <c r="G1026" t="s">
        <v>8496</v>
      </c>
      <c r="H1026" t="s">
        <v>9407</v>
      </c>
      <c r="J1026">
        <v>941701</v>
      </c>
      <c r="L1026">
        <v>210352</v>
      </c>
      <c r="O1026">
        <v>90</v>
      </c>
    </row>
    <row r="1027" spans="1:15" x14ac:dyDescent="0.25">
      <c r="A1027" t="s">
        <v>564</v>
      </c>
      <c r="B1027" t="s">
        <v>28</v>
      </c>
      <c r="C1027" t="s">
        <v>348</v>
      </c>
      <c r="D1027" t="s">
        <v>76</v>
      </c>
      <c r="E1027" t="s">
        <v>886</v>
      </c>
      <c r="F1027" t="s">
        <v>8504</v>
      </c>
      <c r="G1027" t="s">
        <v>8505</v>
      </c>
      <c r="H1027" t="s">
        <v>9410</v>
      </c>
      <c r="J1027">
        <v>941701</v>
      </c>
      <c r="L1027">
        <v>210352</v>
      </c>
      <c r="O1027">
        <v>91</v>
      </c>
    </row>
    <row r="1028" spans="1:15" x14ac:dyDescent="0.25">
      <c r="A1028" t="s">
        <v>564</v>
      </c>
      <c r="B1028" t="s">
        <v>28</v>
      </c>
      <c r="C1028" t="s">
        <v>348</v>
      </c>
      <c r="D1028" t="s">
        <v>76</v>
      </c>
      <c r="E1028" t="s">
        <v>686</v>
      </c>
      <c r="F1028" t="s">
        <v>1069</v>
      </c>
      <c r="G1028" t="s">
        <v>1070</v>
      </c>
      <c r="H1028" t="s">
        <v>9404</v>
      </c>
      <c r="J1028">
        <v>941701</v>
      </c>
      <c r="L1028">
        <v>210352</v>
      </c>
      <c r="O1028">
        <v>92</v>
      </c>
    </row>
    <row r="1029" spans="1:15" x14ac:dyDescent="0.25">
      <c r="A1029" t="s">
        <v>564</v>
      </c>
      <c r="B1029" t="s">
        <v>28</v>
      </c>
      <c r="C1029" t="s">
        <v>348</v>
      </c>
      <c r="D1029" t="s">
        <v>76</v>
      </c>
      <c r="E1029" t="s">
        <v>686</v>
      </c>
      <c r="F1029" t="s">
        <v>1063</v>
      </c>
      <c r="G1029" t="s">
        <v>1064</v>
      </c>
      <c r="H1029" t="s">
        <v>9403</v>
      </c>
      <c r="J1029">
        <v>941701</v>
      </c>
      <c r="L1029">
        <v>210352</v>
      </c>
      <c r="O1029">
        <v>93</v>
      </c>
    </row>
    <row r="1030" spans="1:15" x14ac:dyDescent="0.25">
      <c r="A1030" t="s">
        <v>564</v>
      </c>
      <c r="B1030" t="s">
        <v>28</v>
      </c>
      <c r="C1030" t="s">
        <v>348</v>
      </c>
      <c r="D1030" t="s">
        <v>76</v>
      </c>
      <c r="E1030" t="s">
        <v>686</v>
      </c>
      <c r="F1030" t="s">
        <v>1045</v>
      </c>
      <c r="G1030" t="s">
        <v>1046</v>
      </c>
      <c r="H1030" t="s">
        <v>9396</v>
      </c>
      <c r="J1030">
        <v>941701</v>
      </c>
      <c r="L1030">
        <v>210352</v>
      </c>
      <c r="O1030">
        <v>94</v>
      </c>
    </row>
    <row r="1031" spans="1:15" x14ac:dyDescent="0.25">
      <c r="A1031" t="s">
        <v>564</v>
      </c>
      <c r="B1031" t="s">
        <v>28</v>
      </c>
      <c r="C1031" t="s">
        <v>348</v>
      </c>
      <c r="D1031" t="s">
        <v>76</v>
      </c>
      <c r="E1031" t="s">
        <v>686</v>
      </c>
      <c r="F1031" t="s">
        <v>1039</v>
      </c>
      <c r="G1031" t="s">
        <v>1040</v>
      </c>
      <c r="H1031" t="s">
        <v>9380</v>
      </c>
      <c r="J1031">
        <v>941701</v>
      </c>
      <c r="L1031">
        <v>210352</v>
      </c>
      <c r="O1031">
        <v>95</v>
      </c>
    </row>
    <row r="1032" spans="1:15" x14ac:dyDescent="0.25">
      <c r="A1032" t="s">
        <v>564</v>
      </c>
      <c r="B1032" t="s">
        <v>28</v>
      </c>
      <c r="C1032" t="s">
        <v>348</v>
      </c>
      <c r="D1032" t="s">
        <v>76</v>
      </c>
      <c r="E1032" t="s">
        <v>686</v>
      </c>
      <c r="F1032" t="s">
        <v>1036</v>
      </c>
      <c r="G1032" t="s">
        <v>1037</v>
      </c>
      <c r="H1032" t="s">
        <v>9393</v>
      </c>
      <c r="J1032">
        <v>941701</v>
      </c>
      <c r="L1032">
        <v>210352</v>
      </c>
      <c r="O1032">
        <v>96</v>
      </c>
    </row>
    <row r="1033" spans="1:15" x14ac:dyDescent="0.25">
      <c r="A1033" t="s">
        <v>564</v>
      </c>
      <c r="B1033" t="s">
        <v>28</v>
      </c>
      <c r="C1033" t="s">
        <v>348</v>
      </c>
      <c r="D1033" t="s">
        <v>76</v>
      </c>
      <c r="E1033" t="s">
        <v>686</v>
      </c>
      <c r="F1033" t="s">
        <v>1024</v>
      </c>
      <c r="G1033" t="s">
        <v>1025</v>
      </c>
      <c r="H1033" t="s">
        <v>9397</v>
      </c>
      <c r="J1033">
        <v>941701</v>
      </c>
      <c r="L1033">
        <v>210352</v>
      </c>
      <c r="O1033">
        <v>97</v>
      </c>
    </row>
    <row r="1034" spans="1:15" x14ac:dyDescent="0.25">
      <c r="A1034" t="s">
        <v>564</v>
      </c>
      <c r="B1034" t="s">
        <v>28</v>
      </c>
      <c r="C1034" t="s">
        <v>348</v>
      </c>
      <c r="D1034" t="s">
        <v>76</v>
      </c>
      <c r="E1034" t="s">
        <v>686</v>
      </c>
      <c r="F1034" t="s">
        <v>1021</v>
      </c>
      <c r="G1034" t="s">
        <v>1022</v>
      </c>
      <c r="H1034" t="s">
        <v>9376</v>
      </c>
      <c r="J1034">
        <v>941701</v>
      </c>
      <c r="L1034">
        <v>210352</v>
      </c>
      <c r="O1034">
        <v>98</v>
      </c>
    </row>
    <row r="1035" spans="1:15" x14ac:dyDescent="0.25">
      <c r="A1035" t="s">
        <v>564</v>
      </c>
      <c r="B1035" t="s">
        <v>28</v>
      </c>
      <c r="C1035" t="s">
        <v>348</v>
      </c>
      <c r="D1035" t="s">
        <v>76</v>
      </c>
      <c r="E1035" t="s">
        <v>686</v>
      </c>
      <c r="F1035" t="s">
        <v>1012</v>
      </c>
      <c r="G1035" t="s">
        <v>1013</v>
      </c>
      <c r="H1035" t="s">
        <v>9394</v>
      </c>
      <c r="J1035">
        <v>941701</v>
      </c>
      <c r="L1035">
        <v>210352</v>
      </c>
      <c r="O1035">
        <v>99</v>
      </c>
    </row>
    <row r="1036" spans="1:15" x14ac:dyDescent="0.25">
      <c r="A1036" t="s">
        <v>564</v>
      </c>
      <c r="B1036" t="s">
        <v>28</v>
      </c>
      <c r="C1036" t="s">
        <v>348</v>
      </c>
      <c r="D1036" t="s">
        <v>76</v>
      </c>
      <c r="E1036" t="s">
        <v>686</v>
      </c>
      <c r="F1036" t="s">
        <v>1009</v>
      </c>
      <c r="G1036" t="s">
        <v>1010</v>
      </c>
      <c r="H1036" t="s">
        <v>9401</v>
      </c>
      <c r="J1036">
        <v>941701</v>
      </c>
      <c r="L1036">
        <v>210352</v>
      </c>
      <c r="O1036">
        <v>100</v>
      </c>
    </row>
    <row r="1037" spans="1:15" x14ac:dyDescent="0.25">
      <c r="A1037" t="s">
        <v>564</v>
      </c>
      <c r="B1037" t="s">
        <v>28</v>
      </c>
      <c r="C1037" t="s">
        <v>348</v>
      </c>
      <c r="D1037" t="s">
        <v>76</v>
      </c>
      <c r="E1037" t="s">
        <v>686</v>
      </c>
      <c r="F1037" t="s">
        <v>1006</v>
      </c>
      <c r="G1037" t="s">
        <v>1007</v>
      </c>
      <c r="H1037" t="s">
        <v>9400</v>
      </c>
      <c r="J1037">
        <v>941701</v>
      </c>
      <c r="L1037">
        <v>210352</v>
      </c>
      <c r="O1037">
        <v>101</v>
      </c>
    </row>
    <row r="1038" spans="1:15" x14ac:dyDescent="0.25">
      <c r="A1038" t="s">
        <v>564</v>
      </c>
      <c r="B1038" t="s">
        <v>28</v>
      </c>
      <c r="C1038" t="s">
        <v>348</v>
      </c>
      <c r="D1038" t="s">
        <v>76</v>
      </c>
      <c r="E1038" t="s">
        <v>686</v>
      </c>
      <c r="F1038" t="s">
        <v>991</v>
      </c>
      <c r="G1038" t="s">
        <v>992</v>
      </c>
      <c r="H1038" t="s">
        <v>9399</v>
      </c>
      <c r="J1038">
        <v>941701</v>
      </c>
      <c r="L1038">
        <v>210352</v>
      </c>
      <c r="O1038">
        <v>102</v>
      </c>
    </row>
    <row r="1039" spans="1:15" x14ac:dyDescent="0.25">
      <c r="A1039" t="s">
        <v>564</v>
      </c>
      <c r="B1039" t="s">
        <v>28</v>
      </c>
      <c r="C1039" t="s">
        <v>348</v>
      </c>
      <c r="D1039" t="s">
        <v>76</v>
      </c>
      <c r="E1039" t="s">
        <v>686</v>
      </c>
      <c r="F1039" t="s">
        <v>958</v>
      </c>
      <c r="G1039" t="s">
        <v>959</v>
      </c>
      <c r="H1039" t="s">
        <v>9379</v>
      </c>
      <c r="J1039">
        <v>941701</v>
      </c>
      <c r="L1039">
        <v>210352</v>
      </c>
      <c r="O1039">
        <v>103</v>
      </c>
    </row>
    <row r="1040" spans="1:15" x14ac:dyDescent="0.25">
      <c r="A1040" t="s">
        <v>564</v>
      </c>
      <c r="B1040" t="s">
        <v>28</v>
      </c>
      <c r="C1040" t="s">
        <v>348</v>
      </c>
      <c r="D1040" t="s">
        <v>76</v>
      </c>
      <c r="E1040" t="s">
        <v>686</v>
      </c>
      <c r="F1040" t="s">
        <v>952</v>
      </c>
      <c r="G1040" t="s">
        <v>953</v>
      </c>
      <c r="H1040" t="s">
        <v>9388</v>
      </c>
      <c r="J1040">
        <v>941701</v>
      </c>
      <c r="L1040">
        <v>210352</v>
      </c>
      <c r="O1040">
        <v>104</v>
      </c>
    </row>
    <row r="1041" spans="1:15" x14ac:dyDescent="0.25">
      <c r="A1041" t="s">
        <v>564</v>
      </c>
      <c r="B1041" t="s">
        <v>28</v>
      </c>
      <c r="C1041" t="s">
        <v>348</v>
      </c>
      <c r="D1041" t="s">
        <v>76</v>
      </c>
      <c r="E1041" t="s">
        <v>686</v>
      </c>
      <c r="F1041" t="s">
        <v>940</v>
      </c>
      <c r="G1041" t="s">
        <v>941</v>
      </c>
      <c r="H1041" t="s">
        <v>9402</v>
      </c>
      <c r="J1041">
        <v>941701</v>
      </c>
      <c r="L1041">
        <v>210352</v>
      </c>
      <c r="O1041">
        <v>105</v>
      </c>
    </row>
    <row r="1042" spans="1:15" x14ac:dyDescent="0.25">
      <c r="A1042" t="s">
        <v>564</v>
      </c>
      <c r="B1042" t="s">
        <v>28</v>
      </c>
      <c r="C1042" t="s">
        <v>348</v>
      </c>
      <c r="D1042" t="s">
        <v>76</v>
      </c>
      <c r="E1042" t="s">
        <v>686</v>
      </c>
      <c r="F1042" t="s">
        <v>937</v>
      </c>
      <c r="G1042" t="s">
        <v>938</v>
      </c>
      <c r="H1042" t="s">
        <v>9382</v>
      </c>
      <c r="J1042">
        <v>941701</v>
      </c>
      <c r="L1042">
        <v>210352</v>
      </c>
      <c r="O1042">
        <v>106</v>
      </c>
    </row>
    <row r="1043" spans="1:15" x14ac:dyDescent="0.25">
      <c r="A1043" t="s">
        <v>564</v>
      </c>
      <c r="B1043" t="s">
        <v>28</v>
      </c>
      <c r="C1043" t="s">
        <v>348</v>
      </c>
      <c r="D1043" t="s">
        <v>76</v>
      </c>
      <c r="E1043" t="s">
        <v>686</v>
      </c>
      <c r="F1043" t="s">
        <v>934</v>
      </c>
      <c r="G1043" t="s">
        <v>935</v>
      </c>
      <c r="H1043" t="s">
        <v>9392</v>
      </c>
      <c r="J1043">
        <v>941701</v>
      </c>
      <c r="L1043">
        <v>210352</v>
      </c>
      <c r="O1043">
        <v>107</v>
      </c>
    </row>
    <row r="1044" spans="1:15" x14ac:dyDescent="0.25">
      <c r="A1044" t="s">
        <v>564</v>
      </c>
      <c r="B1044" t="s">
        <v>28</v>
      </c>
      <c r="C1044" t="s">
        <v>348</v>
      </c>
      <c r="D1044" t="s">
        <v>76</v>
      </c>
      <c r="E1044" t="s">
        <v>686</v>
      </c>
      <c r="F1044" t="s">
        <v>924</v>
      </c>
      <c r="G1044" t="s">
        <v>925</v>
      </c>
      <c r="H1044" t="s">
        <v>9377</v>
      </c>
      <c r="J1044">
        <v>941701</v>
      </c>
      <c r="L1044">
        <v>210352</v>
      </c>
      <c r="O1044">
        <v>108</v>
      </c>
    </row>
    <row r="1045" spans="1:15" x14ac:dyDescent="0.25">
      <c r="A1045" t="s">
        <v>564</v>
      </c>
      <c r="B1045" t="s">
        <v>28</v>
      </c>
      <c r="C1045" t="s">
        <v>348</v>
      </c>
      <c r="D1045" t="s">
        <v>76</v>
      </c>
      <c r="E1045" t="s">
        <v>686</v>
      </c>
      <c r="F1045" t="s">
        <v>921</v>
      </c>
      <c r="G1045" t="s">
        <v>922</v>
      </c>
      <c r="H1045" t="s">
        <v>9387</v>
      </c>
      <c r="J1045">
        <v>941701</v>
      </c>
      <c r="L1045">
        <v>210352</v>
      </c>
      <c r="O1045">
        <v>109</v>
      </c>
    </row>
    <row r="1046" spans="1:15" x14ac:dyDescent="0.25">
      <c r="A1046" t="s">
        <v>564</v>
      </c>
      <c r="B1046" t="s">
        <v>28</v>
      </c>
      <c r="C1046" t="s">
        <v>348</v>
      </c>
      <c r="D1046" t="s">
        <v>76</v>
      </c>
      <c r="E1046" t="s">
        <v>686</v>
      </c>
      <c r="F1046" t="s">
        <v>915</v>
      </c>
      <c r="G1046" t="s">
        <v>916</v>
      </c>
      <c r="H1046" t="s">
        <v>9398</v>
      </c>
      <c r="J1046">
        <v>941701</v>
      </c>
      <c r="L1046">
        <v>210352</v>
      </c>
      <c r="O1046">
        <v>110</v>
      </c>
    </row>
    <row r="1047" spans="1:15" x14ac:dyDescent="0.25">
      <c r="A1047" t="s">
        <v>564</v>
      </c>
      <c r="B1047" t="s">
        <v>28</v>
      </c>
      <c r="C1047" t="s">
        <v>348</v>
      </c>
      <c r="D1047" t="s">
        <v>76</v>
      </c>
      <c r="E1047" t="s">
        <v>686</v>
      </c>
      <c r="F1047" t="s">
        <v>909</v>
      </c>
      <c r="G1047" t="s">
        <v>910</v>
      </c>
      <c r="H1047" t="s">
        <v>9375</v>
      </c>
      <c r="J1047">
        <v>941701</v>
      </c>
      <c r="L1047">
        <v>210352</v>
      </c>
      <c r="O1047">
        <v>111</v>
      </c>
    </row>
    <row r="1048" spans="1:15" x14ac:dyDescent="0.25">
      <c r="A1048" t="s">
        <v>564</v>
      </c>
      <c r="B1048" t="s">
        <v>28</v>
      </c>
      <c r="C1048" t="s">
        <v>348</v>
      </c>
      <c r="D1048" t="s">
        <v>76</v>
      </c>
      <c r="E1048" t="s">
        <v>686</v>
      </c>
      <c r="F1048" t="s">
        <v>894</v>
      </c>
      <c r="G1048" t="s">
        <v>895</v>
      </c>
      <c r="H1048" t="s">
        <v>9374</v>
      </c>
      <c r="J1048">
        <v>941701</v>
      </c>
      <c r="L1048">
        <v>210352</v>
      </c>
      <c r="O1048">
        <v>112</v>
      </c>
    </row>
    <row r="1049" spans="1:15" x14ac:dyDescent="0.25">
      <c r="A1049" t="s">
        <v>564</v>
      </c>
      <c r="B1049" t="s">
        <v>28</v>
      </c>
      <c r="C1049" t="s">
        <v>348</v>
      </c>
      <c r="D1049" t="s">
        <v>76</v>
      </c>
      <c r="E1049" t="s">
        <v>682</v>
      </c>
      <c r="F1049" t="s">
        <v>78</v>
      </c>
      <c r="G1049" t="s">
        <v>683</v>
      </c>
      <c r="H1049" t="s">
        <v>9347</v>
      </c>
      <c r="J1049">
        <v>941701</v>
      </c>
      <c r="L1049">
        <v>210352</v>
      </c>
      <c r="O1049">
        <v>113</v>
      </c>
    </row>
    <row r="1050" spans="1:15" x14ac:dyDescent="0.25">
      <c r="A1050" t="s">
        <v>564</v>
      </c>
      <c r="B1050" t="s">
        <v>28</v>
      </c>
      <c r="C1050" t="s">
        <v>348</v>
      </c>
      <c r="D1050" t="s">
        <v>76</v>
      </c>
      <c r="E1050" t="s">
        <v>897</v>
      </c>
      <c r="F1050" t="s">
        <v>78</v>
      </c>
      <c r="G1050" t="s">
        <v>898</v>
      </c>
      <c r="H1050" t="s">
        <v>9435</v>
      </c>
      <c r="J1050">
        <v>941701</v>
      </c>
      <c r="L1050">
        <v>210352</v>
      </c>
      <c r="O1050">
        <v>114</v>
      </c>
    </row>
    <row r="1051" spans="1:15" x14ac:dyDescent="0.25">
      <c r="A1051" t="s">
        <v>564</v>
      </c>
      <c r="B1051" t="s">
        <v>28</v>
      </c>
      <c r="C1051" t="s">
        <v>348</v>
      </c>
      <c r="D1051" t="s">
        <v>76</v>
      </c>
      <c r="E1051" t="s">
        <v>900</v>
      </c>
      <c r="F1051" t="s">
        <v>78</v>
      </c>
      <c r="G1051" t="s">
        <v>901</v>
      </c>
      <c r="H1051" t="s">
        <v>9428</v>
      </c>
      <c r="J1051">
        <v>941701</v>
      </c>
      <c r="L1051">
        <v>210352</v>
      </c>
      <c r="O1051">
        <v>115</v>
      </c>
    </row>
    <row r="1052" spans="1:15" x14ac:dyDescent="0.25">
      <c r="A1052" t="s">
        <v>564</v>
      </c>
      <c r="B1052" t="s">
        <v>28</v>
      </c>
      <c r="C1052" t="s">
        <v>348</v>
      </c>
      <c r="D1052" t="s">
        <v>76</v>
      </c>
      <c r="E1052" t="s">
        <v>903</v>
      </c>
      <c r="F1052" t="s">
        <v>78</v>
      </c>
      <c r="G1052" t="s">
        <v>904</v>
      </c>
      <c r="H1052" t="s">
        <v>9414</v>
      </c>
      <c r="J1052">
        <v>941701</v>
      </c>
      <c r="L1052">
        <v>210352</v>
      </c>
      <c r="O1052">
        <v>116</v>
      </c>
    </row>
    <row r="1053" spans="1:15" x14ac:dyDescent="0.25">
      <c r="A1053" t="s">
        <v>564</v>
      </c>
      <c r="B1053" t="s">
        <v>28</v>
      </c>
      <c r="C1053" t="s">
        <v>348</v>
      </c>
      <c r="D1053" t="s">
        <v>76</v>
      </c>
      <c r="E1053" t="s">
        <v>906</v>
      </c>
      <c r="F1053" t="s">
        <v>78</v>
      </c>
      <c r="G1053" t="s">
        <v>907</v>
      </c>
      <c r="H1053" t="s">
        <v>9383</v>
      </c>
      <c r="J1053">
        <v>941701</v>
      </c>
      <c r="L1053">
        <v>210352</v>
      </c>
      <c r="O1053">
        <v>117</v>
      </c>
    </row>
    <row r="1054" spans="1:15" x14ac:dyDescent="0.25">
      <c r="A1054" t="s">
        <v>564</v>
      </c>
      <c r="B1054" t="s">
        <v>28</v>
      </c>
      <c r="C1054" t="s">
        <v>348</v>
      </c>
      <c r="D1054" t="s">
        <v>76</v>
      </c>
      <c r="E1054" t="s">
        <v>912</v>
      </c>
      <c r="F1054" t="s">
        <v>78</v>
      </c>
      <c r="G1054" t="s">
        <v>913</v>
      </c>
      <c r="H1054" t="s">
        <v>9422</v>
      </c>
      <c r="J1054">
        <v>941701</v>
      </c>
      <c r="L1054">
        <v>210352</v>
      </c>
      <c r="O1054">
        <v>118</v>
      </c>
    </row>
    <row r="1055" spans="1:15" x14ac:dyDescent="0.25">
      <c r="A1055" t="s">
        <v>564</v>
      </c>
      <c r="B1055" t="s">
        <v>28</v>
      </c>
      <c r="C1055" t="s">
        <v>348</v>
      </c>
      <c r="D1055" t="s">
        <v>76</v>
      </c>
      <c r="E1055" t="s">
        <v>662</v>
      </c>
      <c r="F1055" t="s">
        <v>78</v>
      </c>
      <c r="G1055" t="s">
        <v>663</v>
      </c>
      <c r="H1055" t="s">
        <v>9366</v>
      </c>
      <c r="J1055">
        <v>941701</v>
      </c>
      <c r="L1055">
        <v>210352</v>
      </c>
      <c r="O1055">
        <v>119</v>
      </c>
    </row>
    <row r="1056" spans="1:15" x14ac:dyDescent="0.25">
      <c r="A1056" t="s">
        <v>564</v>
      </c>
      <c r="B1056" t="s">
        <v>28</v>
      </c>
      <c r="C1056" t="s">
        <v>348</v>
      </c>
      <c r="D1056" t="s">
        <v>76</v>
      </c>
      <c r="E1056" t="s">
        <v>918</v>
      </c>
      <c r="F1056" t="s">
        <v>78</v>
      </c>
      <c r="G1056" t="s">
        <v>919</v>
      </c>
      <c r="H1056" t="s">
        <v>9426</v>
      </c>
      <c r="J1056">
        <v>941701</v>
      </c>
      <c r="L1056">
        <v>210352</v>
      </c>
      <c r="O1056">
        <v>120</v>
      </c>
    </row>
    <row r="1057" spans="1:15" x14ac:dyDescent="0.25">
      <c r="A1057" t="s">
        <v>564</v>
      </c>
      <c r="B1057" t="s">
        <v>28</v>
      </c>
      <c r="C1057" t="s">
        <v>348</v>
      </c>
      <c r="D1057" t="s">
        <v>76</v>
      </c>
      <c r="E1057" t="s">
        <v>927</v>
      </c>
      <c r="F1057" t="s">
        <v>78</v>
      </c>
      <c r="G1057" t="s">
        <v>928</v>
      </c>
      <c r="H1057" t="s">
        <v>9424</v>
      </c>
      <c r="J1057">
        <v>941701</v>
      </c>
      <c r="L1057">
        <v>210352</v>
      </c>
      <c r="O1057">
        <v>121</v>
      </c>
    </row>
    <row r="1058" spans="1:15" x14ac:dyDescent="0.25">
      <c r="A1058" t="s">
        <v>564</v>
      </c>
      <c r="B1058" t="s">
        <v>28</v>
      </c>
      <c r="C1058" t="s">
        <v>348</v>
      </c>
      <c r="D1058" t="s">
        <v>76</v>
      </c>
      <c r="E1058" t="s">
        <v>690</v>
      </c>
      <c r="F1058" t="s">
        <v>78</v>
      </c>
      <c r="G1058" t="s">
        <v>691</v>
      </c>
      <c r="H1058" t="s">
        <v>9406</v>
      </c>
      <c r="J1058">
        <v>941701</v>
      </c>
      <c r="L1058">
        <v>210352</v>
      </c>
      <c r="O1058">
        <v>122</v>
      </c>
    </row>
    <row r="1059" spans="1:15" x14ac:dyDescent="0.25">
      <c r="A1059" t="s">
        <v>564</v>
      </c>
      <c r="B1059" t="s">
        <v>28</v>
      </c>
      <c r="C1059" t="s">
        <v>348</v>
      </c>
      <c r="D1059" t="s">
        <v>76</v>
      </c>
      <c r="E1059" t="s">
        <v>931</v>
      </c>
      <c r="F1059" t="s">
        <v>78</v>
      </c>
      <c r="G1059" t="s">
        <v>932</v>
      </c>
      <c r="H1059" t="s">
        <v>9412</v>
      </c>
      <c r="J1059">
        <v>941701</v>
      </c>
      <c r="L1059">
        <v>210352</v>
      </c>
      <c r="O1059">
        <v>123</v>
      </c>
    </row>
    <row r="1060" spans="1:15" x14ac:dyDescent="0.25">
      <c r="A1060" t="s">
        <v>564</v>
      </c>
      <c r="B1060" t="s">
        <v>28</v>
      </c>
      <c r="C1060" t="s">
        <v>348</v>
      </c>
      <c r="D1060" t="s">
        <v>76</v>
      </c>
      <c r="E1060" t="s">
        <v>943</v>
      </c>
      <c r="F1060" t="s">
        <v>78</v>
      </c>
      <c r="G1060" t="s">
        <v>944</v>
      </c>
      <c r="H1060" t="s">
        <v>9413</v>
      </c>
      <c r="J1060">
        <v>941701</v>
      </c>
      <c r="L1060">
        <v>210352</v>
      </c>
      <c r="O1060">
        <v>124</v>
      </c>
    </row>
    <row r="1061" spans="1:15" x14ac:dyDescent="0.25">
      <c r="A1061" t="s">
        <v>564</v>
      </c>
      <c r="B1061" t="s">
        <v>28</v>
      </c>
      <c r="C1061" t="s">
        <v>348</v>
      </c>
      <c r="D1061" t="s">
        <v>76</v>
      </c>
      <c r="E1061" t="s">
        <v>946</v>
      </c>
      <c r="F1061" t="s">
        <v>78</v>
      </c>
      <c r="G1061" t="s">
        <v>947</v>
      </c>
      <c r="H1061" t="s">
        <v>9443</v>
      </c>
      <c r="J1061">
        <v>941701</v>
      </c>
      <c r="L1061">
        <v>210352</v>
      </c>
      <c r="O1061">
        <v>125</v>
      </c>
    </row>
    <row r="1062" spans="1:15" x14ac:dyDescent="0.25">
      <c r="A1062" t="s">
        <v>564</v>
      </c>
      <c r="B1062" t="s">
        <v>28</v>
      </c>
      <c r="C1062" t="s">
        <v>348</v>
      </c>
      <c r="D1062" t="s">
        <v>76</v>
      </c>
      <c r="E1062" t="s">
        <v>949</v>
      </c>
      <c r="F1062" t="s">
        <v>78</v>
      </c>
      <c r="G1062" t="s">
        <v>950</v>
      </c>
      <c r="H1062" t="s">
        <v>9444</v>
      </c>
      <c r="J1062">
        <v>941701</v>
      </c>
      <c r="L1062">
        <v>210352</v>
      </c>
      <c r="O1062">
        <v>126</v>
      </c>
    </row>
    <row r="1063" spans="1:15" x14ac:dyDescent="0.25">
      <c r="A1063" t="s">
        <v>564</v>
      </c>
      <c r="B1063" t="s">
        <v>28</v>
      </c>
      <c r="C1063" t="s">
        <v>348</v>
      </c>
      <c r="D1063" t="s">
        <v>76</v>
      </c>
      <c r="E1063" t="s">
        <v>955</v>
      </c>
      <c r="F1063" t="s">
        <v>78</v>
      </c>
      <c r="G1063" t="s">
        <v>956</v>
      </c>
      <c r="H1063" t="s">
        <v>9446</v>
      </c>
      <c r="J1063">
        <v>941701</v>
      </c>
      <c r="L1063">
        <v>210352</v>
      </c>
      <c r="O1063">
        <v>127</v>
      </c>
    </row>
    <row r="1064" spans="1:15" x14ac:dyDescent="0.25">
      <c r="A1064" t="s">
        <v>564</v>
      </c>
      <c r="B1064" t="s">
        <v>28</v>
      </c>
      <c r="C1064" t="s">
        <v>348</v>
      </c>
      <c r="D1064" t="s">
        <v>76</v>
      </c>
      <c r="E1064" t="s">
        <v>961</v>
      </c>
      <c r="F1064" t="s">
        <v>78</v>
      </c>
      <c r="G1064" t="s">
        <v>962</v>
      </c>
      <c r="H1064" t="s">
        <v>9409</v>
      </c>
      <c r="J1064">
        <v>941701</v>
      </c>
      <c r="L1064">
        <v>210352</v>
      </c>
      <c r="O1064">
        <v>128</v>
      </c>
    </row>
    <row r="1065" spans="1:15" x14ac:dyDescent="0.25">
      <c r="A1065" t="s">
        <v>564</v>
      </c>
      <c r="B1065" t="s">
        <v>28</v>
      </c>
      <c r="C1065" t="s">
        <v>348</v>
      </c>
      <c r="D1065" t="s">
        <v>76</v>
      </c>
      <c r="E1065" t="s">
        <v>964</v>
      </c>
      <c r="F1065" t="s">
        <v>78</v>
      </c>
      <c r="G1065" t="s">
        <v>965</v>
      </c>
      <c r="H1065" t="s">
        <v>9451</v>
      </c>
      <c r="J1065">
        <v>941701</v>
      </c>
      <c r="L1065">
        <v>210352</v>
      </c>
      <c r="O1065">
        <v>129</v>
      </c>
    </row>
    <row r="1066" spans="1:15" x14ac:dyDescent="0.25">
      <c r="A1066" t="s">
        <v>564</v>
      </c>
      <c r="B1066" t="s">
        <v>28</v>
      </c>
      <c r="C1066" t="s">
        <v>348</v>
      </c>
      <c r="D1066" t="s">
        <v>76</v>
      </c>
      <c r="E1066" t="s">
        <v>967</v>
      </c>
      <c r="F1066" t="s">
        <v>78</v>
      </c>
      <c r="G1066" t="s">
        <v>968</v>
      </c>
      <c r="H1066" t="s">
        <v>9365</v>
      </c>
      <c r="J1066">
        <v>941701</v>
      </c>
      <c r="L1066">
        <v>210352</v>
      </c>
      <c r="O1066">
        <v>130</v>
      </c>
    </row>
    <row r="1067" spans="1:15" x14ac:dyDescent="0.25">
      <c r="A1067" t="s">
        <v>564</v>
      </c>
      <c r="B1067" t="s">
        <v>28</v>
      </c>
      <c r="C1067" t="s">
        <v>348</v>
      </c>
      <c r="D1067" t="s">
        <v>76</v>
      </c>
      <c r="E1067" t="s">
        <v>970</v>
      </c>
      <c r="F1067" t="s">
        <v>78</v>
      </c>
      <c r="G1067" t="s">
        <v>971</v>
      </c>
      <c r="H1067" t="s">
        <v>9440</v>
      </c>
      <c r="J1067">
        <v>941701</v>
      </c>
      <c r="L1067">
        <v>210352</v>
      </c>
      <c r="O1067">
        <v>131</v>
      </c>
    </row>
    <row r="1068" spans="1:15" x14ac:dyDescent="0.25">
      <c r="A1068" t="s">
        <v>564</v>
      </c>
      <c r="B1068" t="s">
        <v>28</v>
      </c>
      <c r="C1068" t="s">
        <v>348</v>
      </c>
      <c r="D1068" t="s">
        <v>76</v>
      </c>
      <c r="E1068" t="s">
        <v>973</v>
      </c>
      <c r="F1068" t="s">
        <v>78</v>
      </c>
      <c r="G1068" t="s">
        <v>974</v>
      </c>
      <c r="H1068" t="s">
        <v>9431</v>
      </c>
      <c r="J1068">
        <v>941701</v>
      </c>
      <c r="L1068">
        <v>210352</v>
      </c>
      <c r="O1068">
        <v>132</v>
      </c>
    </row>
    <row r="1069" spans="1:15" x14ac:dyDescent="0.25">
      <c r="A1069" t="s">
        <v>564</v>
      </c>
      <c r="B1069" t="s">
        <v>28</v>
      </c>
      <c r="C1069" t="s">
        <v>348</v>
      </c>
      <c r="D1069" t="s">
        <v>76</v>
      </c>
      <c r="E1069" t="s">
        <v>976</v>
      </c>
      <c r="F1069" t="s">
        <v>78</v>
      </c>
      <c r="G1069" t="s">
        <v>977</v>
      </c>
      <c r="H1069" t="s">
        <v>9441</v>
      </c>
      <c r="J1069">
        <v>941701</v>
      </c>
      <c r="L1069">
        <v>210352</v>
      </c>
      <c r="O1069">
        <v>133</v>
      </c>
    </row>
    <row r="1070" spans="1:15" x14ac:dyDescent="0.25">
      <c r="A1070" t="s">
        <v>564</v>
      </c>
      <c r="B1070" t="s">
        <v>28</v>
      </c>
      <c r="C1070" t="s">
        <v>348</v>
      </c>
      <c r="D1070" t="s">
        <v>76</v>
      </c>
      <c r="E1070" t="s">
        <v>979</v>
      </c>
      <c r="F1070" t="s">
        <v>78</v>
      </c>
      <c r="G1070" t="s">
        <v>980</v>
      </c>
      <c r="H1070" t="s">
        <v>9447</v>
      </c>
      <c r="J1070">
        <v>941701</v>
      </c>
      <c r="L1070">
        <v>210352</v>
      </c>
      <c r="O1070">
        <v>134</v>
      </c>
    </row>
    <row r="1071" spans="1:15" x14ac:dyDescent="0.25">
      <c r="A1071" t="s">
        <v>564</v>
      </c>
      <c r="B1071" t="s">
        <v>28</v>
      </c>
      <c r="C1071" t="s">
        <v>348</v>
      </c>
      <c r="D1071" t="s">
        <v>76</v>
      </c>
      <c r="E1071" t="s">
        <v>982</v>
      </c>
      <c r="F1071" t="s">
        <v>78</v>
      </c>
      <c r="G1071" t="s">
        <v>983</v>
      </c>
      <c r="H1071" t="s">
        <v>9450</v>
      </c>
      <c r="J1071">
        <v>941701</v>
      </c>
      <c r="L1071">
        <v>210352</v>
      </c>
      <c r="O1071">
        <v>135</v>
      </c>
    </row>
    <row r="1072" spans="1:15" x14ac:dyDescent="0.25">
      <c r="A1072" t="s">
        <v>564</v>
      </c>
      <c r="B1072" t="s">
        <v>28</v>
      </c>
      <c r="C1072" t="s">
        <v>348</v>
      </c>
      <c r="D1072" t="s">
        <v>76</v>
      </c>
      <c r="E1072" t="s">
        <v>985</v>
      </c>
      <c r="F1072" t="s">
        <v>78</v>
      </c>
      <c r="G1072" t="s">
        <v>986</v>
      </c>
      <c r="H1072" t="s">
        <v>9432</v>
      </c>
      <c r="J1072">
        <v>941701</v>
      </c>
      <c r="L1072">
        <v>210352</v>
      </c>
      <c r="O1072">
        <v>136</v>
      </c>
    </row>
    <row r="1073" spans="1:15" x14ac:dyDescent="0.25">
      <c r="A1073" t="s">
        <v>564</v>
      </c>
      <c r="B1073" t="s">
        <v>28</v>
      </c>
      <c r="C1073" t="s">
        <v>348</v>
      </c>
      <c r="D1073" t="s">
        <v>76</v>
      </c>
      <c r="E1073" t="s">
        <v>988</v>
      </c>
      <c r="F1073" t="s">
        <v>78</v>
      </c>
      <c r="G1073" t="s">
        <v>989</v>
      </c>
      <c r="H1073" t="s">
        <v>9438</v>
      </c>
      <c r="J1073">
        <v>941701</v>
      </c>
      <c r="L1073">
        <v>210352</v>
      </c>
      <c r="O1073">
        <v>137</v>
      </c>
    </row>
    <row r="1074" spans="1:15" x14ac:dyDescent="0.25">
      <c r="A1074" t="s">
        <v>564</v>
      </c>
      <c r="B1074" t="s">
        <v>28</v>
      </c>
      <c r="C1074" t="s">
        <v>348</v>
      </c>
      <c r="D1074" t="s">
        <v>76</v>
      </c>
      <c r="E1074" t="s">
        <v>994</v>
      </c>
      <c r="F1074" t="s">
        <v>78</v>
      </c>
      <c r="G1074" t="s">
        <v>995</v>
      </c>
      <c r="H1074" t="s">
        <v>9453</v>
      </c>
      <c r="J1074">
        <v>941701</v>
      </c>
      <c r="L1074">
        <v>210352</v>
      </c>
      <c r="O1074">
        <v>138</v>
      </c>
    </row>
    <row r="1075" spans="1:15" x14ac:dyDescent="0.25">
      <c r="A1075" t="s">
        <v>564</v>
      </c>
      <c r="B1075" t="s">
        <v>28</v>
      </c>
      <c r="C1075" t="s">
        <v>348</v>
      </c>
      <c r="D1075" t="s">
        <v>76</v>
      </c>
      <c r="E1075" t="s">
        <v>997</v>
      </c>
      <c r="F1075" t="s">
        <v>78</v>
      </c>
      <c r="G1075" t="s">
        <v>998</v>
      </c>
      <c r="H1075" t="s">
        <v>9439</v>
      </c>
      <c r="J1075">
        <v>941701</v>
      </c>
      <c r="L1075">
        <v>210352</v>
      </c>
      <c r="O1075">
        <v>139</v>
      </c>
    </row>
    <row r="1076" spans="1:15" x14ac:dyDescent="0.25">
      <c r="A1076" t="s">
        <v>564</v>
      </c>
      <c r="B1076" t="s">
        <v>28</v>
      </c>
      <c r="C1076" t="s">
        <v>348</v>
      </c>
      <c r="D1076" t="s">
        <v>76</v>
      </c>
      <c r="E1076" t="s">
        <v>1003</v>
      </c>
      <c r="F1076" t="s">
        <v>78</v>
      </c>
      <c r="G1076" t="s">
        <v>1004</v>
      </c>
      <c r="H1076" t="s">
        <v>9433</v>
      </c>
      <c r="J1076">
        <v>941701</v>
      </c>
      <c r="L1076">
        <v>210352</v>
      </c>
      <c r="O1076">
        <v>140</v>
      </c>
    </row>
    <row r="1077" spans="1:15" x14ac:dyDescent="0.25">
      <c r="A1077" t="s">
        <v>564</v>
      </c>
      <c r="B1077" t="s">
        <v>28</v>
      </c>
      <c r="C1077" t="s">
        <v>348</v>
      </c>
      <c r="D1077" t="s">
        <v>76</v>
      </c>
      <c r="E1077" t="s">
        <v>1015</v>
      </c>
      <c r="F1077" t="s">
        <v>78</v>
      </c>
      <c r="G1077" t="s">
        <v>1016</v>
      </c>
      <c r="H1077" t="s">
        <v>9378</v>
      </c>
      <c r="J1077">
        <v>941701</v>
      </c>
      <c r="L1077">
        <v>210352</v>
      </c>
      <c r="O1077">
        <v>141</v>
      </c>
    </row>
    <row r="1078" spans="1:15" x14ac:dyDescent="0.25">
      <c r="A1078" t="s">
        <v>564</v>
      </c>
      <c r="B1078" t="s">
        <v>28</v>
      </c>
      <c r="C1078" t="s">
        <v>348</v>
      </c>
      <c r="D1078" t="s">
        <v>76</v>
      </c>
      <c r="E1078" t="s">
        <v>1018</v>
      </c>
      <c r="F1078" t="s">
        <v>78</v>
      </c>
      <c r="G1078" t="s">
        <v>1019</v>
      </c>
      <c r="H1078" t="s">
        <v>9370</v>
      </c>
      <c r="J1078">
        <v>941701</v>
      </c>
      <c r="L1078">
        <v>210352</v>
      </c>
      <c r="O1078">
        <v>142</v>
      </c>
    </row>
    <row r="1079" spans="1:15" x14ac:dyDescent="0.25">
      <c r="A1079" t="s">
        <v>564</v>
      </c>
      <c r="B1079" t="s">
        <v>28</v>
      </c>
      <c r="C1079" t="s">
        <v>348</v>
      </c>
      <c r="D1079" t="s">
        <v>76</v>
      </c>
      <c r="E1079" t="s">
        <v>692</v>
      </c>
      <c r="F1079" t="s">
        <v>78</v>
      </c>
      <c r="G1079" t="s">
        <v>693</v>
      </c>
      <c r="H1079" t="s">
        <v>9389</v>
      </c>
      <c r="J1079">
        <v>941701</v>
      </c>
      <c r="L1079">
        <v>210352</v>
      </c>
      <c r="O1079">
        <v>143</v>
      </c>
    </row>
    <row r="1080" spans="1:15" x14ac:dyDescent="0.25">
      <c r="A1080" t="s">
        <v>564</v>
      </c>
      <c r="B1080" t="s">
        <v>28</v>
      </c>
      <c r="C1080" t="s">
        <v>348</v>
      </c>
      <c r="D1080" t="s">
        <v>76</v>
      </c>
      <c r="E1080" t="s">
        <v>1027</v>
      </c>
      <c r="F1080" t="s">
        <v>78</v>
      </c>
      <c r="G1080" t="s">
        <v>1028</v>
      </c>
      <c r="H1080" t="s">
        <v>9436</v>
      </c>
      <c r="J1080">
        <v>941701</v>
      </c>
      <c r="L1080">
        <v>210352</v>
      </c>
      <c r="O1080">
        <v>144</v>
      </c>
    </row>
    <row r="1081" spans="1:15" x14ac:dyDescent="0.25">
      <c r="A1081" t="s">
        <v>564</v>
      </c>
      <c r="B1081" t="s">
        <v>28</v>
      </c>
      <c r="C1081" t="s">
        <v>348</v>
      </c>
      <c r="D1081" t="s">
        <v>76</v>
      </c>
      <c r="E1081" t="s">
        <v>1030</v>
      </c>
      <c r="F1081" t="s">
        <v>78</v>
      </c>
      <c r="G1081" t="s">
        <v>1031</v>
      </c>
      <c r="H1081" t="s">
        <v>9449</v>
      </c>
      <c r="J1081">
        <v>941701</v>
      </c>
      <c r="L1081">
        <v>210352</v>
      </c>
      <c r="O1081">
        <v>145</v>
      </c>
    </row>
    <row r="1082" spans="1:15" x14ac:dyDescent="0.25">
      <c r="A1082" t="s">
        <v>564</v>
      </c>
      <c r="B1082" t="s">
        <v>28</v>
      </c>
      <c r="C1082" t="s">
        <v>348</v>
      </c>
      <c r="D1082" t="s">
        <v>76</v>
      </c>
      <c r="E1082" t="s">
        <v>1033</v>
      </c>
      <c r="F1082" t="s">
        <v>78</v>
      </c>
      <c r="G1082" t="s">
        <v>1034</v>
      </c>
      <c r="H1082" t="s">
        <v>9429</v>
      </c>
      <c r="J1082">
        <v>941701</v>
      </c>
      <c r="L1082">
        <v>210352</v>
      </c>
      <c r="O1082">
        <v>146</v>
      </c>
    </row>
    <row r="1083" spans="1:15" x14ac:dyDescent="0.25">
      <c r="A1083" t="s">
        <v>564</v>
      </c>
      <c r="B1083" t="s">
        <v>28</v>
      </c>
      <c r="C1083" t="s">
        <v>348</v>
      </c>
      <c r="D1083" t="s">
        <v>76</v>
      </c>
      <c r="E1083" t="s">
        <v>1042</v>
      </c>
      <c r="F1083" t="s">
        <v>78</v>
      </c>
      <c r="G1083" t="s">
        <v>1043</v>
      </c>
      <c r="H1083" t="s">
        <v>9456</v>
      </c>
      <c r="J1083">
        <v>941701</v>
      </c>
      <c r="L1083">
        <v>210352</v>
      </c>
      <c r="O1083">
        <v>147</v>
      </c>
    </row>
    <row r="1084" spans="1:15" x14ac:dyDescent="0.25">
      <c r="A1084" t="s">
        <v>564</v>
      </c>
      <c r="B1084" t="s">
        <v>28</v>
      </c>
      <c r="C1084" t="s">
        <v>348</v>
      </c>
      <c r="D1084" t="s">
        <v>76</v>
      </c>
      <c r="E1084" t="s">
        <v>10855</v>
      </c>
      <c r="F1084" t="s">
        <v>78</v>
      </c>
      <c r="G1084" t="s">
        <v>10856</v>
      </c>
      <c r="H1084" t="s">
        <v>10862</v>
      </c>
      <c r="J1084">
        <v>941701</v>
      </c>
      <c r="L1084">
        <v>210352</v>
      </c>
      <c r="O1084">
        <v>148</v>
      </c>
    </row>
    <row r="1085" spans="1:15" x14ac:dyDescent="0.25">
      <c r="A1085" t="s">
        <v>564</v>
      </c>
      <c r="B1085" t="s">
        <v>28</v>
      </c>
      <c r="C1085" t="s">
        <v>348</v>
      </c>
      <c r="D1085" t="s">
        <v>76</v>
      </c>
      <c r="E1085" t="s">
        <v>1048</v>
      </c>
      <c r="F1085" t="s">
        <v>78</v>
      </c>
      <c r="G1085" t="s">
        <v>1049</v>
      </c>
      <c r="H1085" t="s">
        <v>9434</v>
      </c>
      <c r="J1085">
        <v>941701</v>
      </c>
      <c r="L1085">
        <v>210352</v>
      </c>
      <c r="O1085">
        <v>149</v>
      </c>
    </row>
    <row r="1086" spans="1:15" x14ac:dyDescent="0.25">
      <c r="A1086" t="s">
        <v>564</v>
      </c>
      <c r="B1086" t="s">
        <v>28</v>
      </c>
      <c r="C1086" t="s">
        <v>348</v>
      </c>
      <c r="D1086" t="s">
        <v>76</v>
      </c>
      <c r="E1086" t="s">
        <v>1051</v>
      </c>
      <c r="F1086" t="s">
        <v>78</v>
      </c>
      <c r="G1086" t="s">
        <v>1052</v>
      </c>
      <c r="H1086" t="s">
        <v>9437</v>
      </c>
      <c r="J1086">
        <v>941701</v>
      </c>
      <c r="L1086">
        <v>210352</v>
      </c>
      <c r="O1086">
        <v>150</v>
      </c>
    </row>
    <row r="1087" spans="1:15" x14ac:dyDescent="0.25">
      <c r="A1087" t="s">
        <v>564</v>
      </c>
      <c r="B1087" t="s">
        <v>28</v>
      </c>
      <c r="C1087" t="s">
        <v>348</v>
      </c>
      <c r="D1087" t="s">
        <v>76</v>
      </c>
      <c r="E1087" t="s">
        <v>1054</v>
      </c>
      <c r="F1087" t="s">
        <v>78</v>
      </c>
      <c r="G1087" t="s">
        <v>1055</v>
      </c>
      <c r="H1087" t="s">
        <v>9454</v>
      </c>
      <c r="J1087">
        <v>941701</v>
      </c>
      <c r="L1087">
        <v>210352</v>
      </c>
      <c r="O1087">
        <v>151</v>
      </c>
    </row>
    <row r="1088" spans="1:15" x14ac:dyDescent="0.25">
      <c r="A1088" t="s">
        <v>564</v>
      </c>
      <c r="B1088" t="s">
        <v>28</v>
      </c>
      <c r="C1088" t="s">
        <v>348</v>
      </c>
      <c r="D1088" t="s">
        <v>76</v>
      </c>
      <c r="E1088" t="s">
        <v>1057</v>
      </c>
      <c r="F1088" t="s">
        <v>78</v>
      </c>
      <c r="G1088" t="s">
        <v>1058</v>
      </c>
      <c r="H1088" t="s">
        <v>9445</v>
      </c>
      <c r="J1088">
        <v>941701</v>
      </c>
      <c r="L1088">
        <v>210352</v>
      </c>
      <c r="O1088">
        <v>152</v>
      </c>
    </row>
    <row r="1089" spans="1:15" x14ac:dyDescent="0.25">
      <c r="A1089" t="s">
        <v>564</v>
      </c>
      <c r="B1089" t="s">
        <v>28</v>
      </c>
      <c r="C1089" t="s">
        <v>348</v>
      </c>
      <c r="D1089" t="s">
        <v>76</v>
      </c>
      <c r="E1089" t="s">
        <v>1060</v>
      </c>
      <c r="F1089" t="s">
        <v>78</v>
      </c>
      <c r="G1089" t="s">
        <v>1061</v>
      </c>
      <c r="H1089" t="s">
        <v>9455</v>
      </c>
      <c r="J1089">
        <v>941701</v>
      </c>
      <c r="L1089">
        <v>210352</v>
      </c>
      <c r="O1089">
        <v>153</v>
      </c>
    </row>
    <row r="1090" spans="1:15" x14ac:dyDescent="0.25">
      <c r="A1090" t="s">
        <v>564</v>
      </c>
      <c r="B1090" t="s">
        <v>28</v>
      </c>
      <c r="C1090" t="s">
        <v>348</v>
      </c>
      <c r="D1090" t="s">
        <v>76</v>
      </c>
      <c r="E1090" t="s">
        <v>1066</v>
      </c>
      <c r="F1090" t="s">
        <v>78</v>
      </c>
      <c r="G1090" t="s">
        <v>1067</v>
      </c>
      <c r="H1090" t="s">
        <v>9457</v>
      </c>
      <c r="J1090">
        <v>941701</v>
      </c>
      <c r="L1090">
        <v>210352</v>
      </c>
      <c r="O1090">
        <v>154</v>
      </c>
    </row>
    <row r="1091" spans="1:15" x14ac:dyDescent="0.25">
      <c r="A1091" t="s">
        <v>564</v>
      </c>
      <c r="B1091" t="s">
        <v>28</v>
      </c>
      <c r="C1091" t="s">
        <v>348</v>
      </c>
      <c r="D1091" t="s">
        <v>76</v>
      </c>
      <c r="E1091" t="s">
        <v>1072</v>
      </c>
      <c r="F1091" t="s">
        <v>78</v>
      </c>
      <c r="G1091" t="s">
        <v>1073</v>
      </c>
      <c r="H1091" t="s">
        <v>9452</v>
      </c>
      <c r="J1091">
        <v>941701</v>
      </c>
      <c r="L1091">
        <v>210352</v>
      </c>
      <c r="O1091">
        <v>155</v>
      </c>
    </row>
    <row r="1092" spans="1:15" x14ac:dyDescent="0.25">
      <c r="A1092" t="s">
        <v>564</v>
      </c>
      <c r="B1092" t="s">
        <v>28</v>
      </c>
      <c r="C1092" t="s">
        <v>348</v>
      </c>
      <c r="D1092" t="s">
        <v>76</v>
      </c>
      <c r="E1092" t="s">
        <v>1075</v>
      </c>
      <c r="F1092" t="s">
        <v>78</v>
      </c>
      <c r="G1092" t="s">
        <v>1076</v>
      </c>
      <c r="H1092" t="s">
        <v>9448</v>
      </c>
      <c r="J1092">
        <v>941701</v>
      </c>
      <c r="L1092">
        <v>210352</v>
      </c>
      <c r="O1092">
        <v>156</v>
      </c>
    </row>
    <row r="1093" spans="1:15" x14ac:dyDescent="0.25">
      <c r="A1093" t="s">
        <v>564</v>
      </c>
      <c r="B1093" t="s">
        <v>28</v>
      </c>
      <c r="C1093" t="s">
        <v>348</v>
      </c>
      <c r="D1093" t="s">
        <v>76</v>
      </c>
      <c r="E1093" t="s">
        <v>1078</v>
      </c>
      <c r="F1093" t="s">
        <v>78</v>
      </c>
      <c r="G1093" t="s">
        <v>1079</v>
      </c>
      <c r="H1093" t="s">
        <v>9381</v>
      </c>
      <c r="J1093">
        <v>941701</v>
      </c>
      <c r="L1093">
        <v>210352</v>
      </c>
      <c r="O1093">
        <v>157</v>
      </c>
    </row>
    <row r="1094" spans="1:15" x14ac:dyDescent="0.25">
      <c r="A1094" t="s">
        <v>564</v>
      </c>
      <c r="B1094" t="s">
        <v>28</v>
      </c>
      <c r="C1094" t="s">
        <v>348</v>
      </c>
      <c r="D1094" t="s">
        <v>76</v>
      </c>
      <c r="E1094" t="s">
        <v>1081</v>
      </c>
      <c r="F1094" t="s">
        <v>78</v>
      </c>
      <c r="G1094" t="s">
        <v>1082</v>
      </c>
      <c r="H1094" t="s">
        <v>9405</v>
      </c>
      <c r="J1094">
        <v>941701</v>
      </c>
      <c r="L1094">
        <v>210352</v>
      </c>
      <c r="O1094">
        <v>158</v>
      </c>
    </row>
    <row r="1095" spans="1:15" x14ac:dyDescent="0.25">
      <c r="A1095" t="s">
        <v>564</v>
      </c>
      <c r="B1095" t="s">
        <v>28</v>
      </c>
      <c r="C1095" t="s">
        <v>348</v>
      </c>
      <c r="D1095" t="s">
        <v>76</v>
      </c>
      <c r="E1095" t="s">
        <v>686</v>
      </c>
      <c r="F1095" t="s">
        <v>78</v>
      </c>
      <c r="G1095" t="s">
        <v>687</v>
      </c>
      <c r="H1095" t="s">
        <v>9373</v>
      </c>
      <c r="J1095">
        <v>941701</v>
      </c>
      <c r="L1095">
        <v>210352</v>
      </c>
      <c r="O1095">
        <v>159</v>
      </c>
    </row>
    <row r="1096" spans="1:15" x14ac:dyDescent="0.25">
      <c r="A1096" t="s">
        <v>564</v>
      </c>
      <c r="B1096" t="s">
        <v>28</v>
      </c>
      <c r="C1096" t="s">
        <v>348</v>
      </c>
      <c r="D1096" t="s">
        <v>76</v>
      </c>
      <c r="E1096" t="s">
        <v>890</v>
      </c>
      <c r="F1096" t="s">
        <v>78</v>
      </c>
      <c r="G1096" t="s">
        <v>891</v>
      </c>
      <c r="H1096" t="s">
        <v>9395</v>
      </c>
      <c r="J1096">
        <v>941701</v>
      </c>
      <c r="L1096">
        <v>210352</v>
      </c>
      <c r="O1096">
        <v>160</v>
      </c>
    </row>
    <row r="1097" spans="1:15" x14ac:dyDescent="0.25">
      <c r="A1097" t="s">
        <v>564</v>
      </c>
      <c r="B1097" t="s">
        <v>28</v>
      </c>
      <c r="C1097" t="s">
        <v>348</v>
      </c>
      <c r="D1097" t="s">
        <v>76</v>
      </c>
      <c r="E1097" t="s">
        <v>684</v>
      </c>
      <c r="F1097" t="s">
        <v>78</v>
      </c>
      <c r="G1097" t="s">
        <v>685</v>
      </c>
      <c r="H1097" t="s">
        <v>9364</v>
      </c>
      <c r="J1097">
        <v>941701</v>
      </c>
      <c r="L1097">
        <v>210352</v>
      </c>
      <c r="O1097">
        <v>161</v>
      </c>
    </row>
    <row r="1098" spans="1:15" x14ac:dyDescent="0.25">
      <c r="A1098" t="s">
        <v>564</v>
      </c>
      <c r="B1098" t="s">
        <v>28</v>
      </c>
      <c r="C1098" t="s">
        <v>348</v>
      </c>
      <c r="D1098" t="s">
        <v>76</v>
      </c>
      <c r="E1098" t="s">
        <v>886</v>
      </c>
      <c r="F1098" t="s">
        <v>78</v>
      </c>
      <c r="G1098" t="s">
        <v>887</v>
      </c>
      <c r="H1098" t="s">
        <v>9369</v>
      </c>
      <c r="J1098">
        <v>941701</v>
      </c>
      <c r="L1098">
        <v>210352</v>
      </c>
      <c r="O1098">
        <v>162</v>
      </c>
    </row>
    <row r="1099" spans="1:15" x14ac:dyDescent="0.25">
      <c r="A1099" t="s">
        <v>564</v>
      </c>
      <c r="B1099" t="s">
        <v>28</v>
      </c>
      <c r="C1099" t="s">
        <v>348</v>
      </c>
      <c r="D1099" t="s">
        <v>76</v>
      </c>
      <c r="E1099" t="s">
        <v>694</v>
      </c>
      <c r="F1099" t="s">
        <v>78</v>
      </c>
      <c r="G1099" t="s">
        <v>695</v>
      </c>
      <c r="H1099" t="s">
        <v>9458</v>
      </c>
      <c r="J1099">
        <v>941701</v>
      </c>
      <c r="L1099">
        <v>210352</v>
      </c>
      <c r="O1099">
        <v>163</v>
      </c>
    </row>
    <row r="1100" spans="1:15" x14ac:dyDescent="0.25">
      <c r="A1100" t="s">
        <v>564</v>
      </c>
      <c r="B1100" t="s">
        <v>28</v>
      </c>
      <c r="C1100" t="s">
        <v>348</v>
      </c>
      <c r="D1100" t="s">
        <v>76</v>
      </c>
      <c r="E1100" t="s">
        <v>636</v>
      </c>
      <c r="F1100" t="s">
        <v>78</v>
      </c>
      <c r="G1100" t="s">
        <v>637</v>
      </c>
      <c r="H1100" t="s">
        <v>9391</v>
      </c>
      <c r="J1100">
        <v>941701</v>
      </c>
      <c r="L1100">
        <v>210352</v>
      </c>
      <c r="O1100">
        <v>164</v>
      </c>
    </row>
    <row r="1101" spans="1:15" x14ac:dyDescent="0.25">
      <c r="A1101" t="s">
        <v>564</v>
      </c>
      <c r="B1101" t="s">
        <v>28</v>
      </c>
      <c r="C1101" t="s">
        <v>348</v>
      </c>
      <c r="D1101" t="s">
        <v>76</v>
      </c>
      <c r="E1101" t="s">
        <v>873</v>
      </c>
      <c r="F1101" t="s">
        <v>78</v>
      </c>
      <c r="G1101" t="s">
        <v>874</v>
      </c>
      <c r="H1101" t="s">
        <v>9390</v>
      </c>
      <c r="J1101">
        <v>941701</v>
      </c>
      <c r="L1101">
        <v>210352</v>
      </c>
      <c r="O1101">
        <v>165</v>
      </c>
    </row>
    <row r="1102" spans="1:15" x14ac:dyDescent="0.25">
      <c r="A1102" t="s">
        <v>564</v>
      </c>
      <c r="B1102" t="s">
        <v>28</v>
      </c>
      <c r="C1102" t="s">
        <v>348</v>
      </c>
      <c r="D1102" t="s">
        <v>76</v>
      </c>
      <c r="E1102" t="s">
        <v>861</v>
      </c>
      <c r="F1102" t="s">
        <v>78</v>
      </c>
      <c r="G1102" t="s">
        <v>862</v>
      </c>
      <c r="H1102" t="s">
        <v>9415</v>
      </c>
      <c r="J1102">
        <v>941701</v>
      </c>
      <c r="L1102">
        <v>210352</v>
      </c>
      <c r="O1102">
        <v>166</v>
      </c>
    </row>
    <row r="1103" spans="1:15" x14ac:dyDescent="0.25">
      <c r="A1103" t="s">
        <v>564</v>
      </c>
      <c r="B1103" t="s">
        <v>28</v>
      </c>
      <c r="C1103" t="s">
        <v>348</v>
      </c>
      <c r="D1103" t="s">
        <v>59</v>
      </c>
      <c r="E1103" t="s">
        <v>78</v>
      </c>
      <c r="F1103" t="s">
        <v>78</v>
      </c>
      <c r="G1103" t="s">
        <v>696</v>
      </c>
      <c r="H1103" t="s">
        <v>9459</v>
      </c>
      <c r="I1103">
        <v>0.77662548940693488</v>
      </c>
      <c r="J1103">
        <v>941701</v>
      </c>
      <c r="K1103">
        <v>1</v>
      </c>
      <c r="L1103">
        <v>731349</v>
      </c>
      <c r="M1103">
        <v>731349</v>
      </c>
      <c r="N1103">
        <v>2E-3</v>
      </c>
      <c r="O1103">
        <v>1</v>
      </c>
    </row>
    <row r="1104" spans="1:15" x14ac:dyDescent="0.25">
      <c r="A1104" t="s">
        <v>564</v>
      </c>
      <c r="B1104" t="s">
        <v>28</v>
      </c>
      <c r="C1104" t="s">
        <v>348</v>
      </c>
      <c r="D1104" t="s">
        <v>59</v>
      </c>
      <c r="E1104" t="s">
        <v>60</v>
      </c>
      <c r="F1104" t="s">
        <v>78</v>
      </c>
      <c r="G1104" t="s">
        <v>697</v>
      </c>
      <c r="H1104" t="s">
        <v>9460</v>
      </c>
      <c r="I1104">
        <v>0.73331981170244054</v>
      </c>
      <c r="J1104">
        <v>941701</v>
      </c>
      <c r="K1104">
        <v>0.94423866033863446</v>
      </c>
      <c r="L1104">
        <v>731349</v>
      </c>
      <c r="M1104">
        <v>690568</v>
      </c>
      <c r="N1104">
        <v>1.6000000000000001E-3</v>
      </c>
      <c r="O1104">
        <v>2</v>
      </c>
    </row>
    <row r="1105" spans="1:17" x14ac:dyDescent="0.25">
      <c r="A1105" t="s">
        <v>564</v>
      </c>
      <c r="B1105" t="s">
        <v>28</v>
      </c>
      <c r="C1105" t="s">
        <v>348</v>
      </c>
      <c r="D1105" t="s">
        <v>59</v>
      </c>
      <c r="E1105" t="s">
        <v>60</v>
      </c>
      <c r="F1105" t="s">
        <v>61</v>
      </c>
      <c r="G1105" t="s">
        <v>698</v>
      </c>
      <c r="H1105" t="s">
        <v>9461</v>
      </c>
      <c r="I1105">
        <v>0.65502638310886363</v>
      </c>
      <c r="J1105">
        <v>941701</v>
      </c>
      <c r="K1105">
        <v>0.84342632587177946</v>
      </c>
      <c r="L1105">
        <v>731349</v>
      </c>
      <c r="M1105">
        <v>616839</v>
      </c>
      <c r="N1105">
        <v>8.9999999999999998E-4</v>
      </c>
      <c r="O1105">
        <v>3</v>
      </c>
      <c r="Q1105">
        <v>1</v>
      </c>
    </row>
    <row r="1106" spans="1:17" x14ac:dyDescent="0.25">
      <c r="A1106" t="s">
        <v>564</v>
      </c>
      <c r="B1106" t="s">
        <v>28</v>
      </c>
      <c r="C1106" t="s">
        <v>348</v>
      </c>
      <c r="D1106" t="s">
        <v>59</v>
      </c>
      <c r="E1106" t="s">
        <v>60</v>
      </c>
      <c r="F1106" t="s">
        <v>62</v>
      </c>
      <c r="G1106" t="s">
        <v>699</v>
      </c>
      <c r="H1106" t="s">
        <v>9463</v>
      </c>
      <c r="I1106">
        <v>8.380579398344061E-2</v>
      </c>
      <c r="J1106">
        <v>941701</v>
      </c>
      <c r="K1106">
        <v>0.10791017694698429</v>
      </c>
      <c r="L1106">
        <v>731349</v>
      </c>
      <c r="M1106">
        <v>78920</v>
      </c>
      <c r="N1106">
        <v>1.8E-3</v>
      </c>
      <c r="O1106">
        <v>4</v>
      </c>
      <c r="Q1106">
        <v>2</v>
      </c>
    </row>
    <row r="1107" spans="1:17" x14ac:dyDescent="0.25">
      <c r="A1107" t="s">
        <v>564</v>
      </c>
      <c r="B1107" t="s">
        <v>28</v>
      </c>
      <c r="C1107" t="s">
        <v>348</v>
      </c>
      <c r="D1107" t="s">
        <v>59</v>
      </c>
      <c r="E1107" t="s">
        <v>68</v>
      </c>
      <c r="F1107" t="s">
        <v>78</v>
      </c>
      <c r="G1107" t="s">
        <v>700</v>
      </c>
      <c r="H1107" t="s">
        <v>9462</v>
      </c>
      <c r="I1107">
        <v>4.583195727730989E-2</v>
      </c>
      <c r="J1107">
        <v>941701</v>
      </c>
      <c r="K1107">
        <v>5.9014232603039042E-2</v>
      </c>
      <c r="L1107">
        <v>731349</v>
      </c>
      <c r="M1107">
        <v>43160</v>
      </c>
      <c r="O1107">
        <v>5</v>
      </c>
    </row>
    <row r="1108" spans="1:17" x14ac:dyDescent="0.25">
      <c r="A1108" t="s">
        <v>564</v>
      </c>
      <c r="B1108" t="s">
        <v>28</v>
      </c>
      <c r="C1108" t="s">
        <v>348</v>
      </c>
      <c r="D1108" t="s">
        <v>59</v>
      </c>
      <c r="E1108" t="s">
        <v>60</v>
      </c>
      <c r="F1108" t="s">
        <v>63</v>
      </c>
      <c r="G1108" t="s">
        <v>702</v>
      </c>
      <c r="H1108" t="s">
        <v>9465</v>
      </c>
      <c r="I1108">
        <v>4.3616816802785598E-2</v>
      </c>
      <c r="J1108">
        <v>941701</v>
      </c>
      <c r="K1108">
        <v>5.6161969182975571E-2</v>
      </c>
      <c r="L1108">
        <v>731349</v>
      </c>
      <c r="M1108">
        <v>41074</v>
      </c>
      <c r="N1108">
        <v>1.0999999999999999E-2</v>
      </c>
      <c r="O1108">
        <v>6</v>
      </c>
      <c r="Q1108">
        <v>3</v>
      </c>
    </row>
    <row r="1109" spans="1:17" x14ac:dyDescent="0.25">
      <c r="A1109" t="s">
        <v>564</v>
      </c>
      <c r="B1109" t="s">
        <v>28</v>
      </c>
      <c r="C1109" t="s">
        <v>348</v>
      </c>
      <c r="D1109" t="s">
        <v>59</v>
      </c>
      <c r="E1109" t="s">
        <v>68</v>
      </c>
      <c r="F1109" t="s">
        <v>71</v>
      </c>
      <c r="G1109" t="s">
        <v>8538</v>
      </c>
      <c r="H1109" t="s">
        <v>9471</v>
      </c>
      <c r="I1109">
        <v>2.3552061641646339E-2</v>
      </c>
      <c r="J1109">
        <v>941701</v>
      </c>
      <c r="K1109">
        <v>3.0326150716005629E-2</v>
      </c>
      <c r="L1109">
        <v>731349</v>
      </c>
      <c r="M1109">
        <v>22179</v>
      </c>
      <c r="O1109">
        <v>7</v>
      </c>
    </row>
    <row r="1110" spans="1:17" x14ac:dyDescent="0.25">
      <c r="A1110" t="s">
        <v>564</v>
      </c>
      <c r="B1110" t="s">
        <v>28</v>
      </c>
      <c r="C1110" t="s">
        <v>348</v>
      </c>
      <c r="D1110" t="s">
        <v>59</v>
      </c>
      <c r="E1110" t="s">
        <v>72</v>
      </c>
      <c r="F1110" t="s">
        <v>78</v>
      </c>
      <c r="G1110" t="s">
        <v>705</v>
      </c>
      <c r="H1110" t="s">
        <v>9466</v>
      </c>
      <c r="I1110">
        <v>2.2242728849178241E-2</v>
      </c>
      <c r="J1110">
        <v>941701</v>
      </c>
      <c r="K1110">
        <v>2.8640225118240398E-2</v>
      </c>
      <c r="L1110">
        <v>731349</v>
      </c>
      <c r="M1110">
        <v>20946</v>
      </c>
      <c r="N1110">
        <v>1.24E-2</v>
      </c>
      <c r="O1110">
        <v>8</v>
      </c>
    </row>
    <row r="1111" spans="1:17" x14ac:dyDescent="0.25">
      <c r="A1111" t="s">
        <v>564</v>
      </c>
      <c r="B1111" t="s">
        <v>28</v>
      </c>
      <c r="C1111" t="s">
        <v>348</v>
      </c>
      <c r="D1111" t="s">
        <v>59</v>
      </c>
      <c r="E1111" t="s">
        <v>72</v>
      </c>
      <c r="F1111" t="s">
        <v>73</v>
      </c>
      <c r="G1111" t="s">
        <v>706</v>
      </c>
      <c r="H1111" t="s">
        <v>9468</v>
      </c>
      <c r="I1111">
        <v>1.9040013762330079E-2</v>
      </c>
      <c r="J1111">
        <v>941701</v>
      </c>
      <c r="K1111">
        <v>2.4516338984534061E-2</v>
      </c>
      <c r="L1111">
        <v>731349</v>
      </c>
      <c r="M1111">
        <v>17930</v>
      </c>
      <c r="N1111">
        <v>1.4500000000000001E-2</v>
      </c>
      <c r="O1111">
        <v>9</v>
      </c>
      <c r="Q1111">
        <v>6</v>
      </c>
    </row>
    <row r="1112" spans="1:17" x14ac:dyDescent="0.25">
      <c r="A1112" t="s">
        <v>564</v>
      </c>
      <c r="B1112" t="s">
        <v>28</v>
      </c>
      <c r="C1112" t="s">
        <v>348</v>
      </c>
      <c r="D1112" t="s">
        <v>59</v>
      </c>
      <c r="E1112" t="s">
        <v>68</v>
      </c>
      <c r="F1112" t="s">
        <v>70</v>
      </c>
      <c r="G1112" t="s">
        <v>707</v>
      </c>
      <c r="H1112" t="s">
        <v>9467</v>
      </c>
      <c r="I1112">
        <v>1.7264503276517709E-2</v>
      </c>
      <c r="J1112">
        <v>941701</v>
      </c>
      <c r="K1112">
        <v>2.2230152772479351E-2</v>
      </c>
      <c r="L1112">
        <v>731349</v>
      </c>
      <c r="M1112">
        <v>16258</v>
      </c>
      <c r="O1112">
        <v>10</v>
      </c>
      <c r="Q1112">
        <v>10</v>
      </c>
    </row>
    <row r="1113" spans="1:17" x14ac:dyDescent="0.25">
      <c r="A1113" t="s">
        <v>564</v>
      </c>
      <c r="B1113" t="s">
        <v>28</v>
      </c>
      <c r="C1113" t="s">
        <v>348</v>
      </c>
      <c r="D1113" t="s">
        <v>59</v>
      </c>
      <c r="E1113" t="s">
        <v>64</v>
      </c>
      <c r="F1113" t="s">
        <v>78</v>
      </c>
      <c r="G1113" t="s">
        <v>703</v>
      </c>
      <c r="H1113" t="s">
        <v>9469</v>
      </c>
      <c r="I1113">
        <v>1.512475828314932E-2</v>
      </c>
      <c r="J1113">
        <v>941701</v>
      </c>
      <c r="K1113">
        <v>1.9474970226253129E-2</v>
      </c>
      <c r="L1113">
        <v>731349</v>
      </c>
      <c r="M1113">
        <v>14243</v>
      </c>
      <c r="N1113">
        <v>1.8700000000000001E-2</v>
      </c>
      <c r="O1113">
        <v>11</v>
      </c>
    </row>
    <row r="1114" spans="1:17" x14ac:dyDescent="0.25">
      <c r="A1114" t="s">
        <v>564</v>
      </c>
      <c r="B1114" t="s">
        <v>28</v>
      </c>
      <c r="C1114" t="s">
        <v>348</v>
      </c>
      <c r="D1114" t="s">
        <v>59</v>
      </c>
      <c r="E1114" t="s">
        <v>64</v>
      </c>
      <c r="F1114" t="s">
        <v>67</v>
      </c>
      <c r="G1114" t="s">
        <v>709</v>
      </c>
      <c r="H1114" t="s">
        <v>9470</v>
      </c>
      <c r="I1114">
        <v>1.5118386834037561E-2</v>
      </c>
      <c r="J1114">
        <v>941701</v>
      </c>
      <c r="K1114">
        <v>1.946676620874576E-2</v>
      </c>
      <c r="L1114">
        <v>731349</v>
      </c>
      <c r="M1114">
        <v>14237</v>
      </c>
      <c r="N1114">
        <v>1.8700000000000001E-2</v>
      </c>
      <c r="O1114">
        <v>12</v>
      </c>
      <c r="Q1114">
        <v>5</v>
      </c>
    </row>
    <row r="1115" spans="1:17" x14ac:dyDescent="0.25">
      <c r="A1115" t="s">
        <v>564</v>
      </c>
      <c r="B1115" t="s">
        <v>28</v>
      </c>
      <c r="C1115" t="s">
        <v>348</v>
      </c>
      <c r="D1115" t="s">
        <v>59</v>
      </c>
      <c r="E1115" t="s">
        <v>68</v>
      </c>
      <c r="F1115" t="s">
        <v>69</v>
      </c>
      <c r="G1115" t="s">
        <v>701</v>
      </c>
      <c r="H1115" t="s">
        <v>9464</v>
      </c>
      <c r="I1115">
        <v>8.4219938175705451E-3</v>
      </c>
      <c r="J1115">
        <v>941701</v>
      </c>
      <c r="K1115">
        <v>1.0844343808496351E-2</v>
      </c>
      <c r="L1115">
        <v>731349</v>
      </c>
      <c r="M1115">
        <v>7931</v>
      </c>
      <c r="O1115">
        <v>13</v>
      </c>
      <c r="Q1115">
        <v>11</v>
      </c>
    </row>
    <row r="1116" spans="1:17" x14ac:dyDescent="0.25">
      <c r="A1116" t="s">
        <v>564</v>
      </c>
      <c r="B1116" t="s">
        <v>28</v>
      </c>
      <c r="C1116" t="s">
        <v>348</v>
      </c>
      <c r="D1116" t="s">
        <v>59</v>
      </c>
      <c r="E1116" t="s">
        <v>72</v>
      </c>
      <c r="F1116" t="s">
        <v>74</v>
      </c>
      <c r="G1116" t="s">
        <v>708</v>
      </c>
      <c r="H1116" t="s">
        <v>9472</v>
      </c>
      <c r="I1116">
        <v>3.6688927801924389E-3</v>
      </c>
      <c r="J1116">
        <v>941701</v>
      </c>
      <c r="K1116">
        <v>4.724146747995827E-3</v>
      </c>
      <c r="L1116">
        <v>731349</v>
      </c>
      <c r="M1116">
        <v>3455</v>
      </c>
      <c r="O1116">
        <v>14</v>
      </c>
      <c r="Q1116">
        <v>9</v>
      </c>
    </row>
    <row r="1117" spans="1:17" x14ac:dyDescent="0.25">
      <c r="A1117" t="s">
        <v>564</v>
      </c>
      <c r="B1117" t="s">
        <v>28</v>
      </c>
      <c r="C1117" t="s">
        <v>348</v>
      </c>
      <c r="D1117" t="s">
        <v>59</v>
      </c>
      <c r="E1117" t="s">
        <v>72</v>
      </c>
      <c r="F1117" t="s">
        <v>75</v>
      </c>
      <c r="G1117" t="s">
        <v>710</v>
      </c>
      <c r="H1117" t="s">
        <v>9473</v>
      </c>
      <c r="I1117">
        <v>6.9024032044141397E-5</v>
      </c>
      <c r="J1117">
        <v>941701</v>
      </c>
      <c r="K1117">
        <v>8.8876856329878068E-5</v>
      </c>
      <c r="L1117">
        <v>731349</v>
      </c>
      <c r="M1117">
        <v>65</v>
      </c>
      <c r="O1117">
        <v>15</v>
      </c>
      <c r="Q1117">
        <v>7</v>
      </c>
    </row>
    <row r="1118" spans="1:17" x14ac:dyDescent="0.25">
      <c r="A1118" t="s">
        <v>564</v>
      </c>
      <c r="B1118" t="s">
        <v>28</v>
      </c>
      <c r="C1118" t="s">
        <v>348</v>
      </c>
      <c r="D1118" t="s">
        <v>59</v>
      </c>
      <c r="E1118" t="s">
        <v>64</v>
      </c>
      <c r="F1118" t="s">
        <v>8547</v>
      </c>
      <c r="G1118" t="s">
        <v>8548</v>
      </c>
      <c r="H1118" t="s">
        <v>9474</v>
      </c>
      <c r="I1118">
        <v>4.2476327411779327E-6</v>
      </c>
      <c r="J1118">
        <v>941701</v>
      </c>
      <c r="K1118">
        <v>5.4693450049155737E-6</v>
      </c>
      <c r="L1118">
        <v>731349</v>
      </c>
      <c r="M1118">
        <v>4</v>
      </c>
      <c r="O1118">
        <v>16</v>
      </c>
    </row>
    <row r="1119" spans="1:17" x14ac:dyDescent="0.25">
      <c r="A1119" t="s">
        <v>564</v>
      </c>
      <c r="B1119" t="s">
        <v>28</v>
      </c>
      <c r="C1119" t="s">
        <v>348</v>
      </c>
      <c r="D1119" t="s">
        <v>59</v>
      </c>
      <c r="E1119" t="s">
        <v>64</v>
      </c>
      <c r="F1119" t="s">
        <v>8535</v>
      </c>
      <c r="G1119" t="s">
        <v>8536</v>
      </c>
      <c r="H1119" t="s">
        <v>9475</v>
      </c>
      <c r="I1119">
        <v>3.1857245558834491E-6</v>
      </c>
      <c r="J1119">
        <v>941701</v>
      </c>
      <c r="K1119">
        <v>4.10200875368668E-6</v>
      </c>
      <c r="L1119">
        <v>731349</v>
      </c>
      <c r="M1119">
        <v>3</v>
      </c>
      <c r="O1119">
        <v>17</v>
      </c>
    </row>
    <row r="1120" spans="1:17" x14ac:dyDescent="0.25">
      <c r="A1120" t="s">
        <v>564</v>
      </c>
      <c r="B1120" t="s">
        <v>28</v>
      </c>
      <c r="C1120" t="s">
        <v>348</v>
      </c>
      <c r="D1120" t="s">
        <v>59</v>
      </c>
      <c r="E1120" t="s">
        <v>64</v>
      </c>
      <c r="F1120" t="s">
        <v>8543</v>
      </c>
      <c r="G1120" t="s">
        <v>8544</v>
      </c>
      <c r="H1120" t="s">
        <v>9479</v>
      </c>
      <c r="J1120">
        <v>941701</v>
      </c>
      <c r="L1120">
        <v>731349</v>
      </c>
      <c r="O1120">
        <v>18</v>
      </c>
    </row>
    <row r="1121" spans="1:17" x14ac:dyDescent="0.25">
      <c r="A1121" t="s">
        <v>564</v>
      </c>
      <c r="B1121" t="s">
        <v>28</v>
      </c>
      <c r="C1121" t="s">
        <v>348</v>
      </c>
      <c r="D1121" t="s">
        <v>59</v>
      </c>
      <c r="E1121" t="s">
        <v>64</v>
      </c>
      <c r="F1121" t="s">
        <v>470</v>
      </c>
      <c r="G1121" t="s">
        <v>8540</v>
      </c>
      <c r="H1121" t="s">
        <v>9476</v>
      </c>
      <c r="J1121">
        <v>941701</v>
      </c>
      <c r="L1121">
        <v>731349</v>
      </c>
      <c r="O1121">
        <v>19</v>
      </c>
    </row>
    <row r="1122" spans="1:17" x14ac:dyDescent="0.25">
      <c r="A1122" t="s">
        <v>564</v>
      </c>
      <c r="B1122" t="s">
        <v>28</v>
      </c>
      <c r="C1122" t="s">
        <v>348</v>
      </c>
      <c r="D1122" t="s">
        <v>59</v>
      </c>
      <c r="E1122" t="s">
        <v>64</v>
      </c>
      <c r="F1122" t="s">
        <v>65</v>
      </c>
      <c r="G1122" t="s">
        <v>704</v>
      </c>
      <c r="H1122" t="s">
        <v>9477</v>
      </c>
      <c r="J1122">
        <v>941701</v>
      </c>
      <c r="L1122">
        <v>731349</v>
      </c>
      <c r="O1122">
        <v>20</v>
      </c>
      <c r="Q1122">
        <v>4</v>
      </c>
    </row>
    <row r="1123" spans="1:17" x14ac:dyDescent="0.25">
      <c r="A1123" t="s">
        <v>564</v>
      </c>
      <c r="B1123" t="s">
        <v>28</v>
      </c>
      <c r="C1123" t="s">
        <v>348</v>
      </c>
      <c r="D1123" t="s">
        <v>59</v>
      </c>
      <c r="E1123" t="s">
        <v>72</v>
      </c>
      <c r="F1123" t="s">
        <v>352</v>
      </c>
      <c r="G1123" t="s">
        <v>1117</v>
      </c>
      <c r="H1123" t="s">
        <v>9478</v>
      </c>
      <c r="J1123">
        <v>941701</v>
      </c>
      <c r="L1123">
        <v>731349</v>
      </c>
      <c r="O1123">
        <v>21</v>
      </c>
      <c r="Q1123">
        <v>8</v>
      </c>
    </row>
    <row r="1124" spans="1:17" x14ac:dyDescent="0.25">
      <c r="A1124" t="s">
        <v>564</v>
      </c>
      <c r="B1124" t="s">
        <v>28</v>
      </c>
      <c r="C1124" t="s">
        <v>149</v>
      </c>
      <c r="D1124" t="s">
        <v>76</v>
      </c>
      <c r="E1124" t="s">
        <v>78</v>
      </c>
      <c r="F1124" t="s">
        <v>78</v>
      </c>
      <c r="G1124" t="s">
        <v>575</v>
      </c>
      <c r="H1124" t="s">
        <v>9480</v>
      </c>
      <c r="I1124">
        <v>0.33942425057409442</v>
      </c>
      <c r="J1124">
        <v>193348</v>
      </c>
      <c r="K1124">
        <v>1</v>
      </c>
      <c r="L1124">
        <v>65627</v>
      </c>
      <c r="M1124">
        <v>65627</v>
      </c>
      <c r="N1124">
        <v>1.2200000000000001E-2</v>
      </c>
      <c r="O1124">
        <v>1</v>
      </c>
    </row>
    <row r="1125" spans="1:17" x14ac:dyDescent="0.25">
      <c r="A1125" t="s">
        <v>564</v>
      </c>
      <c r="B1125" t="s">
        <v>28</v>
      </c>
      <c r="C1125" t="s">
        <v>149</v>
      </c>
      <c r="D1125" t="s">
        <v>76</v>
      </c>
      <c r="E1125" t="s">
        <v>80</v>
      </c>
      <c r="F1125" t="s">
        <v>78</v>
      </c>
      <c r="G1125" t="s">
        <v>576</v>
      </c>
      <c r="H1125" t="s">
        <v>9481</v>
      </c>
      <c r="I1125">
        <v>0.15398142209901319</v>
      </c>
      <c r="J1125">
        <v>193348</v>
      </c>
      <c r="K1125">
        <v>0.45365474576012921</v>
      </c>
      <c r="L1125">
        <v>65627</v>
      </c>
      <c r="M1125">
        <v>29772</v>
      </c>
      <c r="N1125">
        <v>1.0200000000000001E-2</v>
      </c>
      <c r="O1125">
        <v>2</v>
      </c>
      <c r="P1125">
        <v>1</v>
      </c>
    </row>
    <row r="1126" spans="1:17" x14ac:dyDescent="0.25">
      <c r="A1126" t="s">
        <v>564</v>
      </c>
      <c r="B1126" t="s">
        <v>28</v>
      </c>
      <c r="C1126" t="s">
        <v>149</v>
      </c>
      <c r="D1126" t="s">
        <v>76</v>
      </c>
      <c r="E1126" t="s">
        <v>80</v>
      </c>
      <c r="F1126" t="s">
        <v>8326</v>
      </c>
      <c r="G1126" t="s">
        <v>8327</v>
      </c>
      <c r="H1126" t="s">
        <v>9482</v>
      </c>
      <c r="I1126">
        <v>0.14659577549289371</v>
      </c>
      <c r="J1126">
        <v>193348</v>
      </c>
      <c r="K1126">
        <v>0.43189540890182387</v>
      </c>
      <c r="L1126">
        <v>65627</v>
      </c>
      <c r="M1126">
        <v>28344</v>
      </c>
      <c r="N1126">
        <v>1.0200000000000001E-2</v>
      </c>
      <c r="O1126">
        <v>3</v>
      </c>
    </row>
    <row r="1127" spans="1:17" x14ac:dyDescent="0.25">
      <c r="A1127" t="s">
        <v>564</v>
      </c>
      <c r="B1127" t="s">
        <v>28</v>
      </c>
      <c r="C1127" t="s">
        <v>149</v>
      </c>
      <c r="D1127" t="s">
        <v>76</v>
      </c>
      <c r="E1127" t="s">
        <v>81</v>
      </c>
      <c r="F1127" t="s">
        <v>78</v>
      </c>
      <c r="G1127" t="s">
        <v>578</v>
      </c>
      <c r="H1127" t="s">
        <v>9483</v>
      </c>
      <c r="I1127">
        <v>8.6998572522084525E-2</v>
      </c>
      <c r="J1127">
        <v>193348</v>
      </c>
      <c r="K1127">
        <v>0.25631218858091942</v>
      </c>
      <c r="L1127">
        <v>65627</v>
      </c>
      <c r="M1127">
        <v>16821</v>
      </c>
      <c r="N1127">
        <v>3.8E-3</v>
      </c>
      <c r="O1127">
        <v>4</v>
      </c>
      <c r="P1127">
        <v>5</v>
      </c>
    </row>
    <row r="1128" spans="1:17" x14ac:dyDescent="0.25">
      <c r="A1128" t="s">
        <v>564</v>
      </c>
      <c r="B1128" t="s">
        <v>28</v>
      </c>
      <c r="C1128" t="s">
        <v>149</v>
      </c>
      <c r="D1128" t="s">
        <v>76</v>
      </c>
      <c r="E1128" t="s">
        <v>81</v>
      </c>
      <c r="F1128" t="s">
        <v>585</v>
      </c>
      <c r="G1128" t="s">
        <v>586</v>
      </c>
      <c r="H1128" t="s">
        <v>9484</v>
      </c>
      <c r="I1128">
        <v>7.9230196329933597E-2</v>
      </c>
      <c r="J1128">
        <v>193348</v>
      </c>
      <c r="K1128">
        <v>0.23342526703948069</v>
      </c>
      <c r="L1128">
        <v>65627</v>
      </c>
      <c r="M1128">
        <v>15319</v>
      </c>
      <c r="N1128">
        <v>5.0000000000000001E-4</v>
      </c>
      <c r="O1128">
        <v>5</v>
      </c>
    </row>
    <row r="1129" spans="1:17" x14ac:dyDescent="0.25">
      <c r="A1129" t="s">
        <v>564</v>
      </c>
      <c r="B1129" t="s">
        <v>28</v>
      </c>
      <c r="C1129" t="s">
        <v>149</v>
      </c>
      <c r="D1129" t="s">
        <v>76</v>
      </c>
      <c r="E1129" t="s">
        <v>79</v>
      </c>
      <c r="F1129" t="s">
        <v>78</v>
      </c>
      <c r="G1129" t="s">
        <v>577</v>
      </c>
      <c r="H1129" t="s">
        <v>9488</v>
      </c>
      <c r="I1129">
        <v>2.4898111177772721E-2</v>
      </c>
      <c r="J1129">
        <v>193348</v>
      </c>
      <c r="K1129">
        <v>7.3353954927087933E-2</v>
      </c>
      <c r="L1129">
        <v>65627</v>
      </c>
      <c r="M1129">
        <v>4814</v>
      </c>
      <c r="N1129">
        <v>1.0999999999999999E-2</v>
      </c>
      <c r="O1129">
        <v>6</v>
      </c>
      <c r="P1129">
        <v>4</v>
      </c>
    </row>
    <row r="1130" spans="1:17" x14ac:dyDescent="0.25">
      <c r="A1130" t="s">
        <v>564</v>
      </c>
      <c r="B1130" t="s">
        <v>28</v>
      </c>
      <c r="C1130" t="s">
        <v>149</v>
      </c>
      <c r="D1130" t="s">
        <v>76</v>
      </c>
      <c r="E1130" t="s">
        <v>82</v>
      </c>
      <c r="F1130" t="s">
        <v>78</v>
      </c>
      <c r="G1130" t="s">
        <v>579</v>
      </c>
      <c r="H1130" t="s">
        <v>9486</v>
      </c>
      <c r="I1130">
        <v>2.3356848790781391E-2</v>
      </c>
      <c r="J1130">
        <v>193348</v>
      </c>
      <c r="K1130">
        <v>6.8813140932847766E-2</v>
      </c>
      <c r="L1130">
        <v>65627</v>
      </c>
      <c r="M1130">
        <v>4516</v>
      </c>
      <c r="N1130">
        <v>3.3000000000000002E-2</v>
      </c>
      <c r="O1130">
        <v>7</v>
      </c>
      <c r="P1130">
        <v>2</v>
      </c>
    </row>
    <row r="1131" spans="1:17" x14ac:dyDescent="0.25">
      <c r="A1131" t="s">
        <v>564</v>
      </c>
      <c r="B1131" t="s">
        <v>28</v>
      </c>
      <c r="C1131" t="s">
        <v>149</v>
      </c>
      <c r="D1131" t="s">
        <v>76</v>
      </c>
      <c r="E1131" t="s">
        <v>83</v>
      </c>
      <c r="F1131" t="s">
        <v>78</v>
      </c>
      <c r="G1131" t="s">
        <v>580</v>
      </c>
      <c r="H1131" t="s">
        <v>9485</v>
      </c>
      <c r="I1131">
        <v>2.262759376874858E-2</v>
      </c>
      <c r="J1131">
        <v>193348</v>
      </c>
      <c r="K1131">
        <v>6.6664634982552914E-2</v>
      </c>
      <c r="L1131">
        <v>65627</v>
      </c>
      <c r="M1131">
        <v>4375</v>
      </c>
      <c r="N1131">
        <v>9.0700000000000003E-2</v>
      </c>
      <c r="O1131">
        <v>8</v>
      </c>
      <c r="P1131">
        <v>3</v>
      </c>
    </row>
    <row r="1132" spans="1:17" x14ac:dyDescent="0.25">
      <c r="A1132" t="s">
        <v>564</v>
      </c>
      <c r="B1132" t="s">
        <v>28</v>
      </c>
      <c r="C1132" t="s">
        <v>149</v>
      </c>
      <c r="D1132" t="s">
        <v>76</v>
      </c>
      <c r="E1132" t="s">
        <v>346</v>
      </c>
      <c r="F1132" t="s">
        <v>78</v>
      </c>
      <c r="G1132" t="s">
        <v>584</v>
      </c>
      <c r="H1132" t="s">
        <v>9490</v>
      </c>
      <c r="I1132">
        <v>1.9286467923123069E-2</v>
      </c>
      <c r="J1132">
        <v>193348</v>
      </c>
      <c r="K1132">
        <v>5.6821125451414822E-2</v>
      </c>
      <c r="L1132">
        <v>65627</v>
      </c>
      <c r="M1132">
        <v>3729</v>
      </c>
      <c r="N1132">
        <v>4.7999999999999996E-3</v>
      </c>
      <c r="O1132">
        <v>9</v>
      </c>
      <c r="P1132">
        <v>6</v>
      </c>
    </row>
    <row r="1133" spans="1:17" x14ac:dyDescent="0.25">
      <c r="A1133" t="s">
        <v>564</v>
      </c>
      <c r="B1133" t="s">
        <v>28</v>
      </c>
      <c r="C1133" t="s">
        <v>149</v>
      </c>
      <c r="D1133" t="s">
        <v>76</v>
      </c>
      <c r="E1133" t="s">
        <v>77</v>
      </c>
      <c r="F1133" t="s">
        <v>78</v>
      </c>
      <c r="G1133" t="s">
        <v>581</v>
      </c>
      <c r="H1133" t="s">
        <v>9491</v>
      </c>
      <c r="I1133">
        <v>1.6281523470633261E-2</v>
      </c>
      <c r="J1133">
        <v>193348</v>
      </c>
      <c r="K1133">
        <v>4.7968061925731789E-2</v>
      </c>
      <c r="L1133">
        <v>65627</v>
      </c>
      <c r="M1133">
        <v>3148</v>
      </c>
      <c r="N1133">
        <v>3.27E-2</v>
      </c>
      <c r="O1133">
        <v>10</v>
      </c>
      <c r="P1133">
        <v>7</v>
      </c>
    </row>
    <row r="1134" spans="1:17" x14ac:dyDescent="0.25">
      <c r="A1134" t="s">
        <v>564</v>
      </c>
      <c r="B1134" t="s">
        <v>28</v>
      </c>
      <c r="C1134" t="s">
        <v>149</v>
      </c>
      <c r="D1134" t="s">
        <v>76</v>
      </c>
      <c r="E1134" t="s">
        <v>84</v>
      </c>
      <c r="F1134" t="s">
        <v>78</v>
      </c>
      <c r="G1134" t="s">
        <v>589</v>
      </c>
      <c r="H1134" t="s">
        <v>9489</v>
      </c>
      <c r="I1134">
        <v>1.5893621863169002E-2</v>
      </c>
      <c r="J1134">
        <v>193348</v>
      </c>
      <c r="K1134">
        <v>4.6825239611745173E-2</v>
      </c>
      <c r="L1134">
        <v>65627</v>
      </c>
      <c r="M1134">
        <v>3073</v>
      </c>
      <c r="N1134">
        <v>5.79E-2</v>
      </c>
      <c r="O1134">
        <v>11</v>
      </c>
    </row>
    <row r="1135" spans="1:17" x14ac:dyDescent="0.25">
      <c r="A1135" t="s">
        <v>564</v>
      </c>
      <c r="B1135" t="s">
        <v>28</v>
      </c>
      <c r="C1135" t="s">
        <v>149</v>
      </c>
      <c r="D1135" t="s">
        <v>76</v>
      </c>
      <c r="E1135" t="s">
        <v>592</v>
      </c>
      <c r="F1135" t="s">
        <v>78</v>
      </c>
      <c r="G1135" t="s">
        <v>593</v>
      </c>
      <c r="H1135" t="s">
        <v>9487</v>
      </c>
      <c r="I1135">
        <v>1.5852245691706152E-2</v>
      </c>
      <c r="J1135">
        <v>193348</v>
      </c>
      <c r="K1135">
        <v>4.6703338564919927E-2</v>
      </c>
      <c r="L1135">
        <v>65627</v>
      </c>
      <c r="M1135">
        <v>3065</v>
      </c>
      <c r="N1135">
        <v>5.8999999999999999E-3</v>
      </c>
      <c r="O1135">
        <v>12</v>
      </c>
    </row>
    <row r="1136" spans="1:17" x14ac:dyDescent="0.25">
      <c r="A1136" t="s">
        <v>564</v>
      </c>
      <c r="B1136" t="s">
        <v>28</v>
      </c>
      <c r="C1136" t="s">
        <v>149</v>
      </c>
      <c r="D1136" t="s">
        <v>76</v>
      </c>
      <c r="E1136" t="s">
        <v>80</v>
      </c>
      <c r="F1136" t="s">
        <v>8354</v>
      </c>
      <c r="G1136" t="s">
        <v>8355</v>
      </c>
      <c r="H1136" t="s">
        <v>9495</v>
      </c>
      <c r="I1136">
        <v>1.026646254422078E-2</v>
      </c>
      <c r="J1136">
        <v>193348</v>
      </c>
      <c r="K1136">
        <v>3.0246697243512581E-2</v>
      </c>
      <c r="L1136">
        <v>65627</v>
      </c>
      <c r="M1136">
        <v>1985</v>
      </c>
      <c r="N1136">
        <v>1.21E-2</v>
      </c>
      <c r="O1136">
        <v>13</v>
      </c>
    </row>
    <row r="1137" spans="1:15" x14ac:dyDescent="0.25">
      <c r="A1137" t="s">
        <v>564</v>
      </c>
      <c r="B1137" t="s">
        <v>28</v>
      </c>
      <c r="C1137" t="s">
        <v>149</v>
      </c>
      <c r="D1137" t="s">
        <v>76</v>
      </c>
      <c r="E1137" t="s">
        <v>592</v>
      </c>
      <c r="F1137" t="s">
        <v>624</v>
      </c>
      <c r="G1137" t="s">
        <v>625</v>
      </c>
      <c r="H1137" t="s">
        <v>9494</v>
      </c>
      <c r="I1137">
        <v>9.6923681651736766E-3</v>
      </c>
      <c r="J1137">
        <v>193348</v>
      </c>
      <c r="K1137">
        <v>2.855532021881238E-2</v>
      </c>
      <c r="L1137">
        <v>65627</v>
      </c>
      <c r="M1137">
        <v>1874</v>
      </c>
      <c r="N1137">
        <v>2.2000000000000001E-3</v>
      </c>
      <c r="O1137">
        <v>14</v>
      </c>
    </row>
    <row r="1138" spans="1:15" x14ac:dyDescent="0.25">
      <c r="A1138" t="s">
        <v>564</v>
      </c>
      <c r="B1138" t="s">
        <v>28</v>
      </c>
      <c r="C1138" t="s">
        <v>149</v>
      </c>
      <c r="D1138" t="s">
        <v>76</v>
      </c>
      <c r="E1138" t="s">
        <v>81</v>
      </c>
      <c r="F1138" t="s">
        <v>590</v>
      </c>
      <c r="G1138" t="s">
        <v>591</v>
      </c>
      <c r="H1138" t="s">
        <v>9493</v>
      </c>
      <c r="I1138">
        <v>7.5304632062395266E-3</v>
      </c>
      <c r="J1138">
        <v>193348</v>
      </c>
      <c r="K1138">
        <v>2.218599052219361E-2</v>
      </c>
      <c r="L1138">
        <v>65627</v>
      </c>
      <c r="M1138">
        <v>1456</v>
      </c>
      <c r="N1138">
        <v>3.7100000000000001E-2</v>
      </c>
      <c r="O1138">
        <v>15</v>
      </c>
    </row>
    <row r="1139" spans="1:15" x14ac:dyDescent="0.25">
      <c r="A1139" t="s">
        <v>564</v>
      </c>
      <c r="B1139" t="s">
        <v>28</v>
      </c>
      <c r="C1139" t="s">
        <v>149</v>
      </c>
      <c r="D1139" t="s">
        <v>76</v>
      </c>
      <c r="E1139" t="s">
        <v>602</v>
      </c>
      <c r="F1139" t="s">
        <v>78</v>
      </c>
      <c r="G1139" t="s">
        <v>603</v>
      </c>
      <c r="H1139" t="s">
        <v>9496</v>
      </c>
      <c r="I1139">
        <v>6.8736164842667109E-3</v>
      </c>
      <c r="J1139">
        <v>193348</v>
      </c>
      <c r="K1139">
        <v>2.0250811403842928E-2</v>
      </c>
      <c r="L1139">
        <v>65627</v>
      </c>
      <c r="M1139">
        <v>1329</v>
      </c>
      <c r="N1139">
        <v>8.9999999999999993E-3</v>
      </c>
      <c r="O1139">
        <v>16</v>
      </c>
    </row>
    <row r="1140" spans="1:15" x14ac:dyDescent="0.25">
      <c r="A1140" t="s">
        <v>564</v>
      </c>
      <c r="B1140" t="s">
        <v>28</v>
      </c>
      <c r="C1140" t="s">
        <v>149</v>
      </c>
      <c r="D1140" t="s">
        <v>76</v>
      </c>
      <c r="E1140" t="s">
        <v>598</v>
      </c>
      <c r="F1140" t="s">
        <v>78</v>
      </c>
      <c r="G1140" t="s">
        <v>599</v>
      </c>
      <c r="H1140" t="s">
        <v>9492</v>
      </c>
      <c r="I1140">
        <v>6.8684444628338542E-3</v>
      </c>
      <c r="J1140">
        <v>193348</v>
      </c>
      <c r="K1140">
        <v>2.023557377298978E-2</v>
      </c>
      <c r="L1140">
        <v>65627</v>
      </c>
      <c r="M1140">
        <v>1328</v>
      </c>
      <c r="O1140">
        <v>17</v>
      </c>
    </row>
    <row r="1141" spans="1:15" x14ac:dyDescent="0.25">
      <c r="A1141" t="s">
        <v>564</v>
      </c>
      <c r="B1141" t="s">
        <v>28</v>
      </c>
      <c r="C1141" t="s">
        <v>149</v>
      </c>
      <c r="D1141" t="s">
        <v>76</v>
      </c>
      <c r="E1141" t="s">
        <v>600</v>
      </c>
      <c r="F1141" t="s">
        <v>78</v>
      </c>
      <c r="G1141" t="s">
        <v>601</v>
      </c>
      <c r="H1141" t="s">
        <v>9497</v>
      </c>
      <c r="I1141">
        <v>5.0478929184682537E-3</v>
      </c>
      <c r="J1141">
        <v>193348</v>
      </c>
      <c r="K1141">
        <v>1.487192771267923E-2</v>
      </c>
      <c r="L1141">
        <v>65627</v>
      </c>
      <c r="M1141">
        <v>976</v>
      </c>
      <c r="N1141">
        <v>5.1000000000000004E-3</v>
      </c>
      <c r="O1141">
        <v>18</v>
      </c>
    </row>
    <row r="1142" spans="1:15" x14ac:dyDescent="0.25">
      <c r="A1142" t="s">
        <v>564</v>
      </c>
      <c r="B1142" t="s">
        <v>28</v>
      </c>
      <c r="C1142" t="s">
        <v>149</v>
      </c>
      <c r="D1142" t="s">
        <v>76</v>
      </c>
      <c r="E1142" t="s">
        <v>600</v>
      </c>
      <c r="F1142" t="s">
        <v>614</v>
      </c>
      <c r="G1142" t="s">
        <v>615</v>
      </c>
      <c r="H1142" t="s">
        <v>9498</v>
      </c>
      <c r="I1142">
        <v>4.613443118108281E-3</v>
      </c>
      <c r="J1142">
        <v>193348</v>
      </c>
      <c r="K1142">
        <v>1.3591966721014219E-2</v>
      </c>
      <c r="L1142">
        <v>65627</v>
      </c>
      <c r="M1142">
        <v>892</v>
      </c>
      <c r="N1142">
        <v>4.4999999999999997E-3</v>
      </c>
      <c r="O1142">
        <v>19</v>
      </c>
    </row>
    <row r="1143" spans="1:15" x14ac:dyDescent="0.25">
      <c r="A1143" t="s">
        <v>564</v>
      </c>
      <c r="B1143" t="s">
        <v>28</v>
      </c>
      <c r="C1143" t="s">
        <v>149</v>
      </c>
      <c r="D1143" t="s">
        <v>76</v>
      </c>
      <c r="E1143" t="s">
        <v>602</v>
      </c>
      <c r="F1143" t="s">
        <v>616</v>
      </c>
      <c r="G1143" t="s">
        <v>617</v>
      </c>
      <c r="H1143" t="s">
        <v>9501</v>
      </c>
      <c r="I1143">
        <v>4.4634544965554326E-3</v>
      </c>
      <c r="J1143">
        <v>193348</v>
      </c>
      <c r="K1143">
        <v>1.3150075426272719E-2</v>
      </c>
      <c r="L1143">
        <v>65627</v>
      </c>
      <c r="M1143">
        <v>863</v>
      </c>
      <c r="N1143">
        <v>1.2699999999999999E-2</v>
      </c>
      <c r="O1143">
        <v>20</v>
      </c>
    </row>
    <row r="1144" spans="1:15" x14ac:dyDescent="0.25">
      <c r="A1144" t="s">
        <v>564</v>
      </c>
      <c r="B1144" t="s">
        <v>28</v>
      </c>
      <c r="C1144" t="s">
        <v>149</v>
      </c>
      <c r="D1144" t="s">
        <v>76</v>
      </c>
      <c r="E1144" t="s">
        <v>606</v>
      </c>
      <c r="F1144" t="s">
        <v>78</v>
      </c>
      <c r="G1144" t="s">
        <v>607</v>
      </c>
      <c r="H1144" t="s">
        <v>9503</v>
      </c>
      <c r="I1144">
        <v>3.9979725675983197E-3</v>
      </c>
      <c r="J1144">
        <v>193348</v>
      </c>
      <c r="K1144">
        <v>1.1778688649488779E-2</v>
      </c>
      <c r="L1144">
        <v>65627</v>
      </c>
      <c r="M1144">
        <v>773</v>
      </c>
      <c r="N1144">
        <v>4.5199999999999997E-2</v>
      </c>
      <c r="O1144">
        <v>21</v>
      </c>
    </row>
    <row r="1145" spans="1:15" x14ac:dyDescent="0.25">
      <c r="A1145" t="s">
        <v>564</v>
      </c>
      <c r="B1145" t="s">
        <v>28</v>
      </c>
      <c r="C1145" t="s">
        <v>149</v>
      </c>
      <c r="D1145" t="s">
        <v>76</v>
      </c>
      <c r="E1145" t="s">
        <v>592</v>
      </c>
      <c r="F1145" t="s">
        <v>803</v>
      </c>
      <c r="G1145" t="s">
        <v>804</v>
      </c>
      <c r="H1145" t="s">
        <v>9500</v>
      </c>
      <c r="I1145">
        <v>3.522146595775493E-3</v>
      </c>
      <c r="J1145">
        <v>193348</v>
      </c>
      <c r="K1145">
        <v>1.037682661099852E-2</v>
      </c>
      <c r="L1145">
        <v>65627</v>
      </c>
      <c r="M1145">
        <v>681</v>
      </c>
      <c r="N1145">
        <v>1.46E-2</v>
      </c>
      <c r="O1145">
        <v>22</v>
      </c>
    </row>
    <row r="1146" spans="1:15" x14ac:dyDescent="0.25">
      <c r="A1146" t="s">
        <v>564</v>
      </c>
      <c r="B1146" t="s">
        <v>28</v>
      </c>
      <c r="C1146" t="s">
        <v>149</v>
      </c>
      <c r="D1146" t="s">
        <v>76</v>
      </c>
      <c r="E1146" t="s">
        <v>610</v>
      </c>
      <c r="F1146" t="s">
        <v>78</v>
      </c>
      <c r="G1146" t="s">
        <v>611</v>
      </c>
      <c r="H1146" t="s">
        <v>9504</v>
      </c>
      <c r="I1146">
        <v>2.9377081738626719E-3</v>
      </c>
      <c r="J1146">
        <v>193348</v>
      </c>
      <c r="K1146">
        <v>8.6549743245920123E-3</v>
      </c>
      <c r="L1146">
        <v>65627</v>
      </c>
      <c r="M1146">
        <v>568</v>
      </c>
      <c r="N1146">
        <v>8.2600000000000007E-2</v>
      </c>
      <c r="O1146">
        <v>23</v>
      </c>
    </row>
    <row r="1147" spans="1:15" x14ac:dyDescent="0.25">
      <c r="A1147" t="s">
        <v>564</v>
      </c>
      <c r="B1147" t="s">
        <v>28</v>
      </c>
      <c r="C1147" t="s">
        <v>149</v>
      </c>
      <c r="D1147" t="s">
        <v>76</v>
      </c>
      <c r="E1147" t="s">
        <v>592</v>
      </c>
      <c r="F1147" t="s">
        <v>811</v>
      </c>
      <c r="G1147" t="s">
        <v>812</v>
      </c>
      <c r="H1147" t="s">
        <v>9499</v>
      </c>
      <c r="I1147">
        <v>2.8652998738026769E-3</v>
      </c>
      <c r="J1147">
        <v>193348</v>
      </c>
      <c r="K1147">
        <v>8.4416474926478427E-3</v>
      </c>
      <c r="L1147">
        <v>65627</v>
      </c>
      <c r="M1147">
        <v>554</v>
      </c>
      <c r="N1147">
        <v>7.1999999999999998E-3</v>
      </c>
      <c r="O1147">
        <v>24</v>
      </c>
    </row>
    <row r="1148" spans="1:15" x14ac:dyDescent="0.25">
      <c r="A1148" t="s">
        <v>564</v>
      </c>
      <c r="B1148" t="s">
        <v>28</v>
      </c>
      <c r="C1148" t="s">
        <v>149</v>
      </c>
      <c r="D1148" t="s">
        <v>76</v>
      </c>
      <c r="E1148" t="s">
        <v>618</v>
      </c>
      <c r="F1148" t="s">
        <v>78</v>
      </c>
      <c r="G1148" t="s">
        <v>619</v>
      </c>
      <c r="H1148" t="s">
        <v>9505</v>
      </c>
      <c r="I1148">
        <v>2.456710180606989E-3</v>
      </c>
      <c r="J1148">
        <v>193348</v>
      </c>
      <c r="K1148">
        <v>7.2378746552486019E-3</v>
      </c>
      <c r="L1148">
        <v>65627</v>
      </c>
      <c r="M1148">
        <v>475</v>
      </c>
      <c r="N1148">
        <v>1.47E-2</v>
      </c>
      <c r="O1148">
        <v>25</v>
      </c>
    </row>
    <row r="1149" spans="1:15" x14ac:dyDescent="0.25">
      <c r="A1149" t="s">
        <v>564</v>
      </c>
      <c r="B1149" t="s">
        <v>28</v>
      </c>
      <c r="C1149" t="s">
        <v>149</v>
      </c>
      <c r="D1149" t="s">
        <v>76</v>
      </c>
      <c r="E1149" t="s">
        <v>602</v>
      </c>
      <c r="F1149" t="s">
        <v>640</v>
      </c>
      <c r="G1149" t="s">
        <v>641</v>
      </c>
      <c r="H1149" t="s">
        <v>9512</v>
      </c>
      <c r="I1149">
        <v>2.027432401679873E-3</v>
      </c>
      <c r="J1149">
        <v>193348</v>
      </c>
      <c r="K1149">
        <v>5.9731512944367409E-3</v>
      </c>
      <c r="L1149">
        <v>65627</v>
      </c>
      <c r="M1149">
        <v>392</v>
      </c>
      <c r="O1149">
        <v>26</v>
      </c>
    </row>
    <row r="1150" spans="1:15" x14ac:dyDescent="0.25">
      <c r="A1150" t="s">
        <v>564</v>
      </c>
      <c r="B1150" t="s">
        <v>28</v>
      </c>
      <c r="C1150" t="s">
        <v>149</v>
      </c>
      <c r="D1150" t="s">
        <v>76</v>
      </c>
      <c r="E1150" t="s">
        <v>620</v>
      </c>
      <c r="F1150" t="s">
        <v>78</v>
      </c>
      <c r="G1150" t="s">
        <v>621</v>
      </c>
      <c r="H1150" t="s">
        <v>9508</v>
      </c>
      <c r="I1150">
        <v>1.489542172662764E-3</v>
      </c>
      <c r="J1150">
        <v>193348</v>
      </c>
      <c r="K1150">
        <v>4.3884376857086264E-3</v>
      </c>
      <c r="L1150">
        <v>65627</v>
      </c>
      <c r="M1150">
        <v>288</v>
      </c>
      <c r="N1150">
        <v>3.4599999999999999E-2</v>
      </c>
      <c r="O1150">
        <v>27</v>
      </c>
    </row>
    <row r="1151" spans="1:15" x14ac:dyDescent="0.25">
      <c r="A1151" t="s">
        <v>564</v>
      </c>
      <c r="B1151" t="s">
        <v>28</v>
      </c>
      <c r="C1151" t="s">
        <v>149</v>
      </c>
      <c r="D1151" t="s">
        <v>76</v>
      </c>
      <c r="E1151" t="s">
        <v>634</v>
      </c>
      <c r="F1151" t="s">
        <v>78</v>
      </c>
      <c r="G1151" t="s">
        <v>635</v>
      </c>
      <c r="H1151" t="s">
        <v>9502</v>
      </c>
      <c r="I1151">
        <v>1.4171338726027679E-3</v>
      </c>
      <c r="J1151">
        <v>193348</v>
      </c>
      <c r="K1151">
        <v>4.1751108537644568E-3</v>
      </c>
      <c r="L1151">
        <v>65627</v>
      </c>
      <c r="M1151">
        <v>274</v>
      </c>
      <c r="N1151">
        <v>3.7000000000000002E-3</v>
      </c>
      <c r="O1151">
        <v>28</v>
      </c>
    </row>
    <row r="1152" spans="1:15" x14ac:dyDescent="0.25">
      <c r="A1152" t="s">
        <v>564</v>
      </c>
      <c r="B1152" t="s">
        <v>28</v>
      </c>
      <c r="C1152" t="s">
        <v>149</v>
      </c>
      <c r="D1152" t="s">
        <v>76</v>
      </c>
      <c r="E1152" t="s">
        <v>626</v>
      </c>
      <c r="F1152" t="s">
        <v>78</v>
      </c>
      <c r="G1152" t="s">
        <v>627</v>
      </c>
      <c r="H1152" t="s">
        <v>9510</v>
      </c>
      <c r="I1152">
        <v>1.4016178083041981E-3</v>
      </c>
      <c r="J1152">
        <v>193348</v>
      </c>
      <c r="K1152">
        <v>4.1293979612049923E-3</v>
      </c>
      <c r="L1152">
        <v>65627</v>
      </c>
      <c r="M1152">
        <v>271</v>
      </c>
      <c r="N1152">
        <v>3.3099999999999997E-2</v>
      </c>
      <c r="O1152">
        <v>29</v>
      </c>
    </row>
    <row r="1153" spans="1:15" x14ac:dyDescent="0.25">
      <c r="A1153" t="s">
        <v>564</v>
      </c>
      <c r="B1153" t="s">
        <v>28</v>
      </c>
      <c r="C1153" t="s">
        <v>149</v>
      </c>
      <c r="D1153" t="s">
        <v>76</v>
      </c>
      <c r="E1153" t="s">
        <v>608</v>
      </c>
      <c r="F1153" t="s">
        <v>78</v>
      </c>
      <c r="G1153" t="s">
        <v>609</v>
      </c>
      <c r="H1153" t="s">
        <v>9506</v>
      </c>
      <c r="I1153">
        <v>1.3033494010799181E-3</v>
      </c>
      <c r="J1153">
        <v>193348</v>
      </c>
      <c r="K1153">
        <v>3.839882974995048E-3</v>
      </c>
      <c r="L1153">
        <v>65627</v>
      </c>
      <c r="M1153">
        <v>252</v>
      </c>
      <c r="N1153">
        <v>0.1186</v>
      </c>
      <c r="O1153">
        <v>30</v>
      </c>
    </row>
    <row r="1154" spans="1:15" x14ac:dyDescent="0.25">
      <c r="A1154" t="s">
        <v>564</v>
      </c>
      <c r="B1154" t="s">
        <v>28</v>
      </c>
      <c r="C1154" t="s">
        <v>149</v>
      </c>
      <c r="D1154" t="s">
        <v>76</v>
      </c>
      <c r="E1154" t="s">
        <v>634</v>
      </c>
      <c r="F1154" t="s">
        <v>638</v>
      </c>
      <c r="G1154" t="s">
        <v>639</v>
      </c>
      <c r="H1154" t="s">
        <v>9507</v>
      </c>
      <c r="I1154">
        <v>1.158532800959927E-3</v>
      </c>
      <c r="J1154">
        <v>193348</v>
      </c>
      <c r="K1154">
        <v>3.4132293111067088E-3</v>
      </c>
      <c r="L1154">
        <v>65627</v>
      </c>
      <c r="M1154">
        <v>224</v>
      </c>
      <c r="N1154">
        <v>4.4999999999999997E-3</v>
      </c>
      <c r="O1154">
        <v>31</v>
      </c>
    </row>
    <row r="1155" spans="1:15" x14ac:dyDescent="0.25">
      <c r="A1155" t="s">
        <v>564</v>
      </c>
      <c r="B1155" t="s">
        <v>28</v>
      </c>
      <c r="C1155" t="s">
        <v>149</v>
      </c>
      <c r="D1155" t="s">
        <v>76</v>
      </c>
      <c r="E1155" t="s">
        <v>644</v>
      </c>
      <c r="F1155" t="s">
        <v>78</v>
      </c>
      <c r="G1155" t="s">
        <v>645</v>
      </c>
      <c r="H1155" t="s">
        <v>9511</v>
      </c>
      <c r="I1155">
        <v>8.0166332209280673E-4</v>
      </c>
      <c r="J1155">
        <v>193348</v>
      </c>
      <c r="K1155">
        <v>2.361832782239017E-3</v>
      </c>
      <c r="L1155">
        <v>65627</v>
      </c>
      <c r="M1155">
        <v>155</v>
      </c>
      <c r="N1155">
        <v>4.4900000000000002E-2</v>
      </c>
      <c r="O1155">
        <v>32</v>
      </c>
    </row>
    <row r="1156" spans="1:15" x14ac:dyDescent="0.25">
      <c r="A1156" t="s">
        <v>564</v>
      </c>
      <c r="B1156" t="s">
        <v>28</v>
      </c>
      <c r="C1156" t="s">
        <v>149</v>
      </c>
      <c r="D1156" t="s">
        <v>76</v>
      </c>
      <c r="E1156" t="s">
        <v>630</v>
      </c>
      <c r="F1156" t="s">
        <v>78</v>
      </c>
      <c r="G1156" t="s">
        <v>631</v>
      </c>
      <c r="H1156" t="s">
        <v>9518</v>
      </c>
      <c r="I1156">
        <v>6.7753480770424315E-4</v>
      </c>
      <c r="J1156">
        <v>193348</v>
      </c>
      <c r="K1156">
        <v>1.996129641763298E-3</v>
      </c>
      <c r="L1156">
        <v>65627</v>
      </c>
      <c r="M1156">
        <v>131</v>
      </c>
      <c r="O1156">
        <v>33</v>
      </c>
    </row>
    <row r="1157" spans="1:15" x14ac:dyDescent="0.25">
      <c r="A1157" t="s">
        <v>564</v>
      </c>
      <c r="B1157" t="s">
        <v>28</v>
      </c>
      <c r="C1157" t="s">
        <v>149</v>
      </c>
      <c r="D1157" t="s">
        <v>76</v>
      </c>
      <c r="E1157" t="s">
        <v>8368</v>
      </c>
      <c r="F1157" t="s">
        <v>78</v>
      </c>
      <c r="G1157" t="s">
        <v>8369</v>
      </c>
      <c r="H1157" t="s">
        <v>9515</v>
      </c>
      <c r="I1157">
        <v>4.7065395038997041E-4</v>
      </c>
      <c r="J1157">
        <v>193348</v>
      </c>
      <c r="K1157">
        <v>1.3866244076371011E-3</v>
      </c>
      <c r="L1157">
        <v>65627</v>
      </c>
      <c r="M1157">
        <v>91</v>
      </c>
      <c r="N1157">
        <v>1.0800000000000001E-2</v>
      </c>
      <c r="O1157">
        <v>34</v>
      </c>
    </row>
    <row r="1158" spans="1:15" x14ac:dyDescent="0.25">
      <c r="A1158" t="s">
        <v>564</v>
      </c>
      <c r="B1158" t="s">
        <v>28</v>
      </c>
      <c r="C1158" t="s">
        <v>149</v>
      </c>
      <c r="D1158" t="s">
        <v>76</v>
      </c>
      <c r="E1158" t="s">
        <v>632</v>
      </c>
      <c r="F1158" t="s">
        <v>78</v>
      </c>
      <c r="G1158" t="s">
        <v>633</v>
      </c>
      <c r="H1158" t="s">
        <v>9522</v>
      </c>
      <c r="I1158">
        <v>4.7065395038997041E-4</v>
      </c>
      <c r="J1158">
        <v>193348</v>
      </c>
      <c r="K1158">
        <v>1.3866244076371011E-3</v>
      </c>
      <c r="L1158">
        <v>65627</v>
      </c>
      <c r="M1158">
        <v>91</v>
      </c>
      <c r="O1158">
        <v>35</v>
      </c>
    </row>
    <row r="1159" spans="1:15" x14ac:dyDescent="0.25">
      <c r="A1159" t="s">
        <v>564</v>
      </c>
      <c r="B1159" t="s">
        <v>28</v>
      </c>
      <c r="C1159" t="s">
        <v>149</v>
      </c>
      <c r="D1159" t="s">
        <v>76</v>
      </c>
      <c r="E1159" t="s">
        <v>81</v>
      </c>
      <c r="F1159" t="s">
        <v>582</v>
      </c>
      <c r="G1159" t="s">
        <v>583</v>
      </c>
      <c r="H1159" t="s">
        <v>9514</v>
      </c>
      <c r="I1159">
        <v>4.551378860914E-4</v>
      </c>
      <c r="J1159">
        <v>193348</v>
      </c>
      <c r="K1159">
        <v>1.3409115150776359E-3</v>
      </c>
      <c r="L1159">
        <v>65627</v>
      </c>
      <c r="M1159">
        <v>88</v>
      </c>
      <c r="N1159">
        <v>3.3700000000000001E-2</v>
      </c>
      <c r="O1159">
        <v>36</v>
      </c>
    </row>
    <row r="1160" spans="1:15" x14ac:dyDescent="0.25">
      <c r="A1160" t="s">
        <v>564</v>
      </c>
      <c r="B1160" t="s">
        <v>28</v>
      </c>
      <c r="C1160" t="s">
        <v>149</v>
      </c>
      <c r="D1160" t="s">
        <v>76</v>
      </c>
      <c r="E1160" t="s">
        <v>664</v>
      </c>
      <c r="F1160" t="s">
        <v>78</v>
      </c>
      <c r="G1160" t="s">
        <v>665</v>
      </c>
      <c r="H1160" t="s">
        <v>9533</v>
      </c>
      <c r="I1160">
        <v>4.3962182179282949E-4</v>
      </c>
      <c r="J1160">
        <v>193348</v>
      </c>
      <c r="K1160">
        <v>1.2951986225181709E-3</v>
      </c>
      <c r="L1160">
        <v>65627</v>
      </c>
      <c r="M1160">
        <v>85</v>
      </c>
      <c r="O1160">
        <v>37</v>
      </c>
    </row>
    <row r="1161" spans="1:15" x14ac:dyDescent="0.25">
      <c r="A1161" t="s">
        <v>564</v>
      </c>
      <c r="B1161" t="s">
        <v>28</v>
      </c>
      <c r="C1161" t="s">
        <v>149</v>
      </c>
      <c r="D1161" t="s">
        <v>76</v>
      </c>
      <c r="E1161" t="s">
        <v>600</v>
      </c>
      <c r="F1161" t="s">
        <v>612</v>
      </c>
      <c r="G1161" t="s">
        <v>613</v>
      </c>
      <c r="H1161" t="s">
        <v>9520</v>
      </c>
      <c r="I1161">
        <v>4.3444980035997269E-4</v>
      </c>
      <c r="J1161">
        <v>193348</v>
      </c>
      <c r="K1161">
        <v>1.2799609916650161E-3</v>
      </c>
      <c r="L1161">
        <v>65627</v>
      </c>
      <c r="M1161">
        <v>84</v>
      </c>
      <c r="N1161">
        <v>1.17E-2</v>
      </c>
      <c r="O1161">
        <v>38</v>
      </c>
    </row>
    <row r="1162" spans="1:15" x14ac:dyDescent="0.25">
      <c r="A1162" t="s">
        <v>564</v>
      </c>
      <c r="B1162" t="s">
        <v>28</v>
      </c>
      <c r="C1162" t="s">
        <v>149</v>
      </c>
      <c r="D1162" t="s">
        <v>76</v>
      </c>
      <c r="E1162" t="s">
        <v>602</v>
      </c>
      <c r="F1162" t="s">
        <v>648</v>
      </c>
      <c r="G1162" t="s">
        <v>649</v>
      </c>
      <c r="H1162" t="s">
        <v>9519</v>
      </c>
      <c r="I1162">
        <v>4.0341767176283182E-4</v>
      </c>
      <c r="J1162">
        <v>193348</v>
      </c>
      <c r="K1162">
        <v>1.1885352065460859E-3</v>
      </c>
      <c r="L1162">
        <v>65627</v>
      </c>
      <c r="M1162">
        <v>78</v>
      </c>
      <c r="O1162">
        <v>39</v>
      </c>
    </row>
    <row r="1163" spans="1:15" x14ac:dyDescent="0.25">
      <c r="A1163" t="s">
        <v>564</v>
      </c>
      <c r="B1163" t="s">
        <v>28</v>
      </c>
      <c r="C1163" t="s">
        <v>149</v>
      </c>
      <c r="D1163" t="s">
        <v>76</v>
      </c>
      <c r="E1163" t="s">
        <v>642</v>
      </c>
      <c r="F1163" t="s">
        <v>78</v>
      </c>
      <c r="G1163" t="s">
        <v>643</v>
      </c>
      <c r="H1163" t="s">
        <v>9523</v>
      </c>
      <c r="I1163">
        <v>4.0341767176283182E-4</v>
      </c>
      <c r="J1163">
        <v>193348</v>
      </c>
      <c r="K1163">
        <v>1.1885352065460859E-3</v>
      </c>
      <c r="L1163">
        <v>65627</v>
      </c>
      <c r="M1163">
        <v>78</v>
      </c>
      <c r="O1163">
        <v>40</v>
      </c>
    </row>
    <row r="1164" spans="1:15" x14ac:dyDescent="0.25">
      <c r="A1164" t="s">
        <v>564</v>
      </c>
      <c r="B1164" t="s">
        <v>28</v>
      </c>
      <c r="C1164" t="s">
        <v>149</v>
      </c>
      <c r="D1164" t="s">
        <v>76</v>
      </c>
      <c r="E1164" t="s">
        <v>80</v>
      </c>
      <c r="F1164" t="s">
        <v>8371</v>
      </c>
      <c r="G1164" t="s">
        <v>8372</v>
      </c>
      <c r="H1164" t="s">
        <v>9521</v>
      </c>
      <c r="I1164">
        <v>3.827295860314045E-4</v>
      </c>
      <c r="J1164">
        <v>193348</v>
      </c>
      <c r="K1164">
        <v>1.1275846831334669E-3</v>
      </c>
      <c r="L1164">
        <v>65627</v>
      </c>
      <c r="M1164">
        <v>74</v>
      </c>
      <c r="N1164">
        <v>1.3299999999999999E-2</v>
      </c>
      <c r="O1164">
        <v>41</v>
      </c>
    </row>
    <row r="1165" spans="1:15" x14ac:dyDescent="0.25">
      <c r="A1165" t="s">
        <v>564</v>
      </c>
      <c r="B1165" t="s">
        <v>28</v>
      </c>
      <c r="C1165" t="s">
        <v>149</v>
      </c>
      <c r="D1165" t="s">
        <v>76</v>
      </c>
      <c r="E1165" t="s">
        <v>634</v>
      </c>
      <c r="F1165" t="s">
        <v>658</v>
      </c>
      <c r="G1165" t="s">
        <v>659</v>
      </c>
      <c r="H1165" t="s">
        <v>9509</v>
      </c>
      <c r="I1165">
        <v>2.5860107164284092E-4</v>
      </c>
      <c r="J1165">
        <v>193348</v>
      </c>
      <c r="K1165">
        <v>7.6188154265774757E-4</v>
      </c>
      <c r="L1165">
        <v>65627</v>
      </c>
      <c r="M1165">
        <v>50</v>
      </c>
      <c r="O1165">
        <v>42</v>
      </c>
    </row>
    <row r="1166" spans="1:15" x14ac:dyDescent="0.25">
      <c r="A1166" t="s">
        <v>564</v>
      </c>
      <c r="B1166" t="s">
        <v>28</v>
      </c>
      <c r="C1166" t="s">
        <v>149</v>
      </c>
      <c r="D1166" t="s">
        <v>76</v>
      </c>
      <c r="E1166" t="s">
        <v>654</v>
      </c>
      <c r="F1166" t="s">
        <v>78</v>
      </c>
      <c r="G1166" t="s">
        <v>655</v>
      </c>
      <c r="H1166" t="s">
        <v>9525</v>
      </c>
      <c r="I1166">
        <v>2.5342905020998412E-4</v>
      </c>
      <c r="J1166">
        <v>193348</v>
      </c>
      <c r="K1166">
        <v>7.4664391180459262E-4</v>
      </c>
      <c r="L1166">
        <v>65627</v>
      </c>
      <c r="M1166">
        <v>49</v>
      </c>
      <c r="N1166">
        <v>0.02</v>
      </c>
      <c r="O1166">
        <v>43</v>
      </c>
    </row>
    <row r="1167" spans="1:15" x14ac:dyDescent="0.25">
      <c r="A1167" t="s">
        <v>564</v>
      </c>
      <c r="B1167" t="s">
        <v>28</v>
      </c>
      <c r="C1167" t="s">
        <v>149</v>
      </c>
      <c r="D1167" t="s">
        <v>76</v>
      </c>
      <c r="E1167" t="s">
        <v>81</v>
      </c>
      <c r="F1167" t="s">
        <v>622</v>
      </c>
      <c r="G1167" t="s">
        <v>623</v>
      </c>
      <c r="H1167" t="s">
        <v>9516</v>
      </c>
      <c r="I1167">
        <v>2.5342905020998412E-4</v>
      </c>
      <c r="J1167">
        <v>193348</v>
      </c>
      <c r="K1167">
        <v>7.4664391180459262E-4</v>
      </c>
      <c r="L1167">
        <v>65627</v>
      </c>
      <c r="M1167">
        <v>49</v>
      </c>
      <c r="O1167">
        <v>44</v>
      </c>
    </row>
    <row r="1168" spans="1:15" x14ac:dyDescent="0.25">
      <c r="A1168" t="s">
        <v>564</v>
      </c>
      <c r="B1168" t="s">
        <v>28</v>
      </c>
      <c r="C1168" t="s">
        <v>149</v>
      </c>
      <c r="D1168" t="s">
        <v>76</v>
      </c>
      <c r="E1168" t="s">
        <v>602</v>
      </c>
      <c r="F1168" t="s">
        <v>628</v>
      </c>
      <c r="G1168" t="s">
        <v>629</v>
      </c>
      <c r="H1168" t="s">
        <v>9524</v>
      </c>
      <c r="I1168">
        <v>2.4308500734427041E-4</v>
      </c>
      <c r="J1168">
        <v>193348</v>
      </c>
      <c r="K1168">
        <v>7.1616865009828271E-4</v>
      </c>
      <c r="L1168">
        <v>65627</v>
      </c>
      <c r="M1168">
        <v>47</v>
      </c>
      <c r="N1168">
        <v>4.1700000000000001E-2</v>
      </c>
      <c r="O1168">
        <v>45</v>
      </c>
    </row>
    <row r="1169" spans="1:15" x14ac:dyDescent="0.25">
      <c r="A1169" t="s">
        <v>564</v>
      </c>
      <c r="B1169" t="s">
        <v>28</v>
      </c>
      <c r="C1169" t="s">
        <v>149</v>
      </c>
      <c r="D1169" t="s">
        <v>76</v>
      </c>
      <c r="E1169" t="s">
        <v>602</v>
      </c>
      <c r="F1169" t="s">
        <v>652</v>
      </c>
      <c r="G1169" t="s">
        <v>653</v>
      </c>
      <c r="H1169" t="s">
        <v>9527</v>
      </c>
      <c r="I1169">
        <v>2.0688085731427271E-4</v>
      </c>
      <c r="J1169">
        <v>193348</v>
      </c>
      <c r="K1169">
        <v>6.0950523412619802E-4</v>
      </c>
      <c r="L1169">
        <v>65627</v>
      </c>
      <c r="M1169">
        <v>40</v>
      </c>
      <c r="O1169">
        <v>46</v>
      </c>
    </row>
    <row r="1170" spans="1:15" x14ac:dyDescent="0.25">
      <c r="A1170" t="s">
        <v>564</v>
      </c>
      <c r="B1170" t="s">
        <v>28</v>
      </c>
      <c r="C1170" t="s">
        <v>149</v>
      </c>
      <c r="D1170" t="s">
        <v>76</v>
      </c>
      <c r="E1170" t="s">
        <v>636</v>
      </c>
      <c r="F1170" t="s">
        <v>78</v>
      </c>
      <c r="G1170" t="s">
        <v>637</v>
      </c>
      <c r="H1170" t="s">
        <v>9517</v>
      </c>
      <c r="I1170">
        <v>1.7584872871713179E-4</v>
      </c>
      <c r="J1170">
        <v>193348</v>
      </c>
      <c r="K1170">
        <v>5.1807944900726839E-4</v>
      </c>
      <c r="L1170">
        <v>65627</v>
      </c>
      <c r="M1170">
        <v>34</v>
      </c>
      <c r="O1170">
        <v>47</v>
      </c>
    </row>
    <row r="1171" spans="1:15" x14ac:dyDescent="0.25">
      <c r="A1171" t="s">
        <v>564</v>
      </c>
      <c r="B1171" t="s">
        <v>28</v>
      </c>
      <c r="C1171" t="s">
        <v>149</v>
      </c>
      <c r="D1171" t="s">
        <v>76</v>
      </c>
      <c r="E1171" t="s">
        <v>587</v>
      </c>
      <c r="F1171" t="s">
        <v>78</v>
      </c>
      <c r="G1171" t="s">
        <v>588</v>
      </c>
      <c r="H1171" t="s">
        <v>9513</v>
      </c>
      <c r="I1171">
        <v>1.448166001199909E-4</v>
      </c>
      <c r="J1171">
        <v>193348</v>
      </c>
      <c r="K1171">
        <v>4.2665366388833871E-4</v>
      </c>
      <c r="L1171">
        <v>65627</v>
      </c>
      <c r="M1171">
        <v>28</v>
      </c>
      <c r="O1171">
        <v>48</v>
      </c>
    </row>
    <row r="1172" spans="1:15" x14ac:dyDescent="0.25">
      <c r="A1172" t="s">
        <v>564</v>
      </c>
      <c r="B1172" t="s">
        <v>28</v>
      </c>
      <c r="C1172" t="s">
        <v>149</v>
      </c>
      <c r="D1172" t="s">
        <v>76</v>
      </c>
      <c r="E1172" t="s">
        <v>594</v>
      </c>
      <c r="F1172" t="s">
        <v>78</v>
      </c>
      <c r="G1172" t="s">
        <v>595</v>
      </c>
      <c r="H1172" t="s">
        <v>9526</v>
      </c>
      <c r="I1172">
        <v>1.3964457868713409E-4</v>
      </c>
      <c r="J1172">
        <v>193348</v>
      </c>
      <c r="K1172">
        <v>4.114160330351837E-4</v>
      </c>
      <c r="L1172">
        <v>65627</v>
      </c>
      <c r="M1172">
        <v>27</v>
      </c>
      <c r="N1172">
        <v>7.1499999999999994E-2</v>
      </c>
      <c r="O1172">
        <v>49</v>
      </c>
    </row>
    <row r="1173" spans="1:15" x14ac:dyDescent="0.25">
      <c r="A1173" t="s">
        <v>564</v>
      </c>
      <c r="B1173" t="s">
        <v>28</v>
      </c>
      <c r="C1173" t="s">
        <v>149</v>
      </c>
      <c r="D1173" t="s">
        <v>76</v>
      </c>
      <c r="E1173" t="s">
        <v>654</v>
      </c>
      <c r="F1173" t="s">
        <v>8392</v>
      </c>
      <c r="G1173" t="s">
        <v>8393</v>
      </c>
      <c r="H1173" t="s">
        <v>9528</v>
      </c>
      <c r="I1173">
        <v>1.189564929557068E-4</v>
      </c>
      <c r="J1173">
        <v>193348</v>
      </c>
      <c r="K1173">
        <v>3.5046550962256388E-4</v>
      </c>
      <c r="L1173">
        <v>65627</v>
      </c>
      <c r="M1173">
        <v>23</v>
      </c>
      <c r="N1173">
        <v>4.1700000000000001E-2</v>
      </c>
      <c r="O1173">
        <v>50</v>
      </c>
    </row>
    <row r="1174" spans="1:15" x14ac:dyDescent="0.25">
      <c r="A1174" t="s">
        <v>564</v>
      </c>
      <c r="B1174" t="s">
        <v>28</v>
      </c>
      <c r="C1174" t="s">
        <v>149</v>
      </c>
      <c r="D1174" t="s">
        <v>76</v>
      </c>
      <c r="E1174" t="s">
        <v>654</v>
      </c>
      <c r="F1174" t="s">
        <v>8388</v>
      </c>
      <c r="G1174" t="s">
        <v>8389</v>
      </c>
      <c r="H1174" t="s">
        <v>9531</v>
      </c>
      <c r="I1174">
        <v>1.086124500899932E-4</v>
      </c>
      <c r="J1174">
        <v>193348</v>
      </c>
      <c r="K1174">
        <v>3.1999024791625402E-4</v>
      </c>
      <c r="L1174">
        <v>65627</v>
      </c>
      <c r="M1174">
        <v>21</v>
      </c>
      <c r="O1174">
        <v>51</v>
      </c>
    </row>
    <row r="1175" spans="1:15" x14ac:dyDescent="0.25">
      <c r="A1175" t="s">
        <v>564</v>
      </c>
      <c r="B1175" t="s">
        <v>28</v>
      </c>
      <c r="C1175" t="s">
        <v>149</v>
      </c>
      <c r="D1175" t="s">
        <v>76</v>
      </c>
      <c r="E1175" t="s">
        <v>660</v>
      </c>
      <c r="F1175" t="s">
        <v>78</v>
      </c>
      <c r="G1175" t="s">
        <v>661</v>
      </c>
      <c r="H1175" t="s">
        <v>9529</v>
      </c>
      <c r="I1175">
        <v>1.034404286571364E-4</v>
      </c>
      <c r="J1175">
        <v>193348</v>
      </c>
      <c r="K1175">
        <v>3.0475261706309901E-4</v>
      </c>
      <c r="L1175">
        <v>65627</v>
      </c>
      <c r="M1175">
        <v>20</v>
      </c>
      <c r="O1175">
        <v>52</v>
      </c>
    </row>
    <row r="1176" spans="1:15" x14ac:dyDescent="0.25">
      <c r="A1176" t="s">
        <v>564</v>
      </c>
      <c r="B1176" t="s">
        <v>28</v>
      </c>
      <c r="C1176" t="s">
        <v>149</v>
      </c>
      <c r="D1176" t="s">
        <v>76</v>
      </c>
      <c r="E1176" t="s">
        <v>602</v>
      </c>
      <c r="F1176" t="s">
        <v>650</v>
      </c>
      <c r="G1176" t="s">
        <v>651</v>
      </c>
      <c r="H1176" t="s">
        <v>9532</v>
      </c>
      <c r="I1176">
        <v>7.2408300059995448E-5</v>
      </c>
      <c r="J1176">
        <v>193348</v>
      </c>
      <c r="K1176">
        <v>2.133268319441693E-4</v>
      </c>
      <c r="L1176">
        <v>65627</v>
      </c>
      <c r="M1176">
        <v>14</v>
      </c>
      <c r="O1176">
        <v>53</v>
      </c>
    </row>
    <row r="1177" spans="1:15" x14ac:dyDescent="0.25">
      <c r="A1177" t="s">
        <v>564</v>
      </c>
      <c r="B1177" t="s">
        <v>28</v>
      </c>
      <c r="C1177" t="s">
        <v>149</v>
      </c>
      <c r="D1177" t="s">
        <v>76</v>
      </c>
      <c r="E1177" t="s">
        <v>81</v>
      </c>
      <c r="F1177" t="s">
        <v>604</v>
      </c>
      <c r="G1177" t="s">
        <v>605</v>
      </c>
      <c r="H1177" t="s">
        <v>9530</v>
      </c>
      <c r="I1177">
        <v>5.6892235761424987E-5</v>
      </c>
      <c r="J1177">
        <v>193348</v>
      </c>
      <c r="K1177">
        <v>1.6761393938470449E-4</v>
      </c>
      <c r="L1177">
        <v>65627</v>
      </c>
      <c r="M1177">
        <v>11</v>
      </c>
      <c r="O1177">
        <v>54</v>
      </c>
    </row>
    <row r="1178" spans="1:15" x14ac:dyDescent="0.25">
      <c r="A1178" t="s">
        <v>564</v>
      </c>
      <c r="B1178" t="s">
        <v>28</v>
      </c>
      <c r="C1178" t="s">
        <v>149</v>
      </c>
      <c r="D1178" t="s">
        <v>76</v>
      </c>
      <c r="E1178" t="s">
        <v>602</v>
      </c>
      <c r="F1178" t="s">
        <v>666</v>
      </c>
      <c r="G1178" t="s">
        <v>667</v>
      </c>
      <c r="H1178" t="s">
        <v>9548</v>
      </c>
      <c r="I1178">
        <v>3.6204150029997717E-5</v>
      </c>
      <c r="J1178">
        <v>193348</v>
      </c>
      <c r="K1178">
        <v>1.066634159720847E-4</v>
      </c>
      <c r="L1178">
        <v>65627</v>
      </c>
      <c r="M1178">
        <v>7</v>
      </c>
      <c r="O1178">
        <v>55</v>
      </c>
    </row>
    <row r="1179" spans="1:15" x14ac:dyDescent="0.25">
      <c r="A1179" t="s">
        <v>564</v>
      </c>
      <c r="B1179" t="s">
        <v>28</v>
      </c>
      <c r="C1179" t="s">
        <v>149</v>
      </c>
      <c r="D1179" t="s">
        <v>76</v>
      </c>
      <c r="E1179" t="s">
        <v>602</v>
      </c>
      <c r="F1179" t="s">
        <v>670</v>
      </c>
      <c r="G1179" t="s">
        <v>671</v>
      </c>
      <c r="H1179" t="s">
        <v>9539</v>
      </c>
      <c r="I1179">
        <v>3.6204150029997717E-5</v>
      </c>
      <c r="J1179">
        <v>193348</v>
      </c>
      <c r="K1179">
        <v>1.066634159720847E-4</v>
      </c>
      <c r="L1179">
        <v>65627</v>
      </c>
      <c r="M1179">
        <v>7</v>
      </c>
      <c r="O1179">
        <v>56</v>
      </c>
    </row>
    <row r="1180" spans="1:15" x14ac:dyDescent="0.25">
      <c r="A1180" t="s">
        <v>564</v>
      </c>
      <c r="B1180" t="s">
        <v>28</v>
      </c>
      <c r="C1180" t="s">
        <v>149</v>
      </c>
      <c r="D1180" t="s">
        <v>76</v>
      </c>
      <c r="E1180" t="s">
        <v>678</v>
      </c>
      <c r="F1180" t="s">
        <v>78</v>
      </c>
      <c r="G1180" t="s">
        <v>679</v>
      </c>
      <c r="H1180" t="s">
        <v>9540</v>
      </c>
      <c r="I1180">
        <v>3.6204150029997717E-5</v>
      </c>
      <c r="J1180">
        <v>193348</v>
      </c>
      <c r="K1180">
        <v>1.066634159720847E-4</v>
      </c>
      <c r="L1180">
        <v>65627</v>
      </c>
      <c r="M1180">
        <v>7</v>
      </c>
      <c r="O1180">
        <v>57</v>
      </c>
    </row>
    <row r="1181" spans="1:15" x14ac:dyDescent="0.25">
      <c r="A1181" t="s">
        <v>564</v>
      </c>
      <c r="B1181" t="s">
        <v>28</v>
      </c>
      <c r="C1181" t="s">
        <v>149</v>
      </c>
      <c r="D1181" t="s">
        <v>76</v>
      </c>
      <c r="E1181" t="s">
        <v>654</v>
      </c>
      <c r="F1181" t="s">
        <v>8507</v>
      </c>
      <c r="G1181" t="s">
        <v>8508</v>
      </c>
      <c r="H1181" t="s">
        <v>9559</v>
      </c>
      <c r="I1181">
        <v>3.1032128597140908E-5</v>
      </c>
      <c r="J1181">
        <v>193348</v>
      </c>
      <c r="K1181">
        <v>9.1425785118929708E-5</v>
      </c>
      <c r="L1181">
        <v>65627</v>
      </c>
      <c r="M1181">
        <v>6</v>
      </c>
      <c r="O1181">
        <v>58</v>
      </c>
    </row>
    <row r="1182" spans="1:15" x14ac:dyDescent="0.25">
      <c r="A1182" t="s">
        <v>564</v>
      </c>
      <c r="B1182" t="s">
        <v>28</v>
      </c>
      <c r="C1182" t="s">
        <v>149</v>
      </c>
      <c r="D1182" t="s">
        <v>76</v>
      </c>
      <c r="E1182" t="s">
        <v>654</v>
      </c>
      <c r="F1182" t="s">
        <v>8395</v>
      </c>
      <c r="G1182" t="s">
        <v>8396</v>
      </c>
      <c r="H1182" t="s">
        <v>9546</v>
      </c>
      <c r="I1182">
        <v>2.068808573142727E-5</v>
      </c>
      <c r="J1182">
        <v>193348</v>
      </c>
      <c r="K1182">
        <v>6.0950523412619803E-5</v>
      </c>
      <c r="L1182">
        <v>65627</v>
      </c>
      <c r="M1182">
        <v>4</v>
      </c>
      <c r="O1182">
        <v>59</v>
      </c>
    </row>
    <row r="1183" spans="1:15" x14ac:dyDescent="0.25">
      <c r="A1183" t="s">
        <v>564</v>
      </c>
      <c r="B1183" t="s">
        <v>28</v>
      </c>
      <c r="C1183" t="s">
        <v>149</v>
      </c>
      <c r="D1183" t="s">
        <v>76</v>
      </c>
      <c r="E1183" t="s">
        <v>81</v>
      </c>
      <c r="F1183" t="s">
        <v>646</v>
      </c>
      <c r="G1183" t="s">
        <v>647</v>
      </c>
      <c r="H1183" t="s">
        <v>9538</v>
      </c>
      <c r="I1183">
        <v>2.068808573142727E-5</v>
      </c>
      <c r="J1183">
        <v>193348</v>
      </c>
      <c r="K1183">
        <v>6.0950523412619803E-5</v>
      </c>
      <c r="L1183">
        <v>65627</v>
      </c>
      <c r="M1183">
        <v>4</v>
      </c>
      <c r="O1183">
        <v>60</v>
      </c>
    </row>
    <row r="1184" spans="1:15" x14ac:dyDescent="0.25">
      <c r="A1184" t="s">
        <v>564</v>
      </c>
      <c r="B1184" t="s">
        <v>28</v>
      </c>
      <c r="C1184" t="s">
        <v>149</v>
      </c>
      <c r="D1184" t="s">
        <v>76</v>
      </c>
      <c r="E1184" t="s">
        <v>676</v>
      </c>
      <c r="F1184" t="s">
        <v>78</v>
      </c>
      <c r="G1184" t="s">
        <v>677</v>
      </c>
      <c r="H1184" t="s">
        <v>9585</v>
      </c>
      <c r="I1184">
        <v>1.034404286571363E-5</v>
      </c>
      <c r="J1184">
        <v>193348</v>
      </c>
      <c r="K1184">
        <v>3.0475261706309901E-5</v>
      </c>
      <c r="L1184">
        <v>65627</v>
      </c>
      <c r="M1184">
        <v>2</v>
      </c>
      <c r="N1184">
        <v>0.5</v>
      </c>
      <c r="O1184">
        <v>61</v>
      </c>
    </row>
    <row r="1185" spans="1:15" x14ac:dyDescent="0.25">
      <c r="A1185" t="s">
        <v>564</v>
      </c>
      <c r="B1185" t="s">
        <v>28</v>
      </c>
      <c r="C1185" t="s">
        <v>149</v>
      </c>
      <c r="D1185" t="s">
        <v>76</v>
      </c>
      <c r="E1185" t="s">
        <v>656</v>
      </c>
      <c r="F1185" t="s">
        <v>78</v>
      </c>
      <c r="G1185" t="s">
        <v>657</v>
      </c>
      <c r="H1185" t="s">
        <v>9542</v>
      </c>
      <c r="I1185">
        <v>1.034404286571363E-5</v>
      </c>
      <c r="J1185">
        <v>193348</v>
      </c>
      <c r="K1185">
        <v>3.0475261706309901E-5</v>
      </c>
      <c r="L1185">
        <v>65627</v>
      </c>
      <c r="M1185">
        <v>2</v>
      </c>
      <c r="O1185">
        <v>62</v>
      </c>
    </row>
    <row r="1186" spans="1:15" x14ac:dyDescent="0.25">
      <c r="A1186" t="s">
        <v>564</v>
      </c>
      <c r="B1186" t="s">
        <v>28</v>
      </c>
      <c r="C1186" t="s">
        <v>149</v>
      </c>
      <c r="D1186" t="s">
        <v>76</v>
      </c>
      <c r="E1186" t="s">
        <v>654</v>
      </c>
      <c r="F1186" t="s">
        <v>8471</v>
      </c>
      <c r="G1186" t="s">
        <v>8472</v>
      </c>
      <c r="H1186" t="s">
        <v>9544</v>
      </c>
      <c r="I1186">
        <v>5.1720214328568166E-6</v>
      </c>
      <c r="J1186">
        <v>193348</v>
      </c>
      <c r="K1186">
        <v>1.5237630853154951E-5</v>
      </c>
      <c r="L1186">
        <v>65627</v>
      </c>
      <c r="M1186">
        <v>1</v>
      </c>
      <c r="O1186">
        <v>63</v>
      </c>
    </row>
    <row r="1187" spans="1:15" x14ac:dyDescent="0.25">
      <c r="A1187" t="s">
        <v>564</v>
      </c>
      <c r="B1187" t="s">
        <v>28</v>
      </c>
      <c r="C1187" t="s">
        <v>149</v>
      </c>
      <c r="D1187" t="s">
        <v>76</v>
      </c>
      <c r="E1187" t="s">
        <v>672</v>
      </c>
      <c r="F1187" t="s">
        <v>78</v>
      </c>
      <c r="G1187" t="s">
        <v>673</v>
      </c>
      <c r="H1187" t="s">
        <v>9591</v>
      </c>
      <c r="I1187">
        <v>5.1720214328568166E-6</v>
      </c>
      <c r="J1187">
        <v>193348</v>
      </c>
      <c r="K1187">
        <v>1.5237630853154951E-5</v>
      </c>
      <c r="L1187">
        <v>65627</v>
      </c>
      <c r="M1187">
        <v>1</v>
      </c>
      <c r="O1187">
        <v>64</v>
      </c>
    </row>
    <row r="1188" spans="1:15" x14ac:dyDescent="0.25">
      <c r="A1188" t="s">
        <v>564</v>
      </c>
      <c r="B1188" t="s">
        <v>28</v>
      </c>
      <c r="C1188" t="s">
        <v>149</v>
      </c>
      <c r="D1188" t="s">
        <v>76</v>
      </c>
      <c r="E1188" t="s">
        <v>662</v>
      </c>
      <c r="F1188" t="s">
        <v>78</v>
      </c>
      <c r="G1188" t="s">
        <v>663</v>
      </c>
      <c r="H1188" t="s">
        <v>9595</v>
      </c>
      <c r="I1188">
        <v>5.1720214328568166E-6</v>
      </c>
      <c r="J1188">
        <v>193348</v>
      </c>
      <c r="K1188">
        <v>1.5237630853154951E-5</v>
      </c>
      <c r="L1188">
        <v>65627</v>
      </c>
      <c r="M1188">
        <v>1</v>
      </c>
      <c r="O1188">
        <v>65</v>
      </c>
    </row>
    <row r="1189" spans="1:15" x14ac:dyDescent="0.25">
      <c r="A1189" t="s">
        <v>564</v>
      </c>
      <c r="B1189" t="s">
        <v>28</v>
      </c>
      <c r="C1189" t="s">
        <v>149</v>
      </c>
      <c r="D1189" t="s">
        <v>76</v>
      </c>
      <c r="E1189" t="s">
        <v>912</v>
      </c>
      <c r="F1189" t="s">
        <v>78</v>
      </c>
      <c r="G1189" t="s">
        <v>913</v>
      </c>
      <c r="H1189" t="s">
        <v>9571</v>
      </c>
      <c r="J1189">
        <v>193348</v>
      </c>
      <c r="L1189">
        <v>65627</v>
      </c>
      <c r="O1189">
        <v>66</v>
      </c>
    </row>
    <row r="1190" spans="1:15" x14ac:dyDescent="0.25">
      <c r="A1190" t="s">
        <v>564</v>
      </c>
      <c r="B1190" t="s">
        <v>28</v>
      </c>
      <c r="C1190" t="s">
        <v>149</v>
      </c>
      <c r="D1190" t="s">
        <v>76</v>
      </c>
      <c r="E1190" t="s">
        <v>634</v>
      </c>
      <c r="F1190" t="s">
        <v>883</v>
      </c>
      <c r="G1190" t="s">
        <v>884</v>
      </c>
      <c r="H1190" t="s">
        <v>9611</v>
      </c>
      <c r="J1190">
        <v>193348</v>
      </c>
      <c r="L1190">
        <v>65627</v>
      </c>
      <c r="O1190">
        <v>67</v>
      </c>
    </row>
    <row r="1191" spans="1:15" x14ac:dyDescent="0.25">
      <c r="A1191" t="s">
        <v>564</v>
      </c>
      <c r="B1191" t="s">
        <v>28</v>
      </c>
      <c r="C1191" t="s">
        <v>149</v>
      </c>
      <c r="D1191" t="s">
        <v>76</v>
      </c>
      <c r="E1191" t="s">
        <v>634</v>
      </c>
      <c r="F1191" t="s">
        <v>880</v>
      </c>
      <c r="G1191" t="s">
        <v>881</v>
      </c>
      <c r="H1191" t="s">
        <v>9537</v>
      </c>
      <c r="J1191">
        <v>193348</v>
      </c>
      <c r="L1191">
        <v>65627</v>
      </c>
      <c r="O1191">
        <v>68</v>
      </c>
    </row>
    <row r="1192" spans="1:15" x14ac:dyDescent="0.25">
      <c r="A1192" t="s">
        <v>564</v>
      </c>
      <c r="B1192" t="s">
        <v>28</v>
      </c>
      <c r="C1192" t="s">
        <v>149</v>
      </c>
      <c r="D1192" t="s">
        <v>76</v>
      </c>
      <c r="E1192" t="s">
        <v>602</v>
      </c>
      <c r="F1192" t="s">
        <v>876</v>
      </c>
      <c r="G1192" t="s">
        <v>877</v>
      </c>
      <c r="H1192" t="s">
        <v>9618</v>
      </c>
      <c r="J1192">
        <v>193348</v>
      </c>
      <c r="L1192">
        <v>65627</v>
      </c>
      <c r="O1192">
        <v>69</v>
      </c>
    </row>
    <row r="1193" spans="1:15" x14ac:dyDescent="0.25">
      <c r="A1193" t="s">
        <v>564</v>
      </c>
      <c r="B1193" t="s">
        <v>28</v>
      </c>
      <c r="C1193" t="s">
        <v>149</v>
      </c>
      <c r="D1193" t="s">
        <v>76</v>
      </c>
      <c r="E1193" t="s">
        <v>602</v>
      </c>
      <c r="F1193" t="s">
        <v>870</v>
      </c>
      <c r="G1193" t="s">
        <v>871</v>
      </c>
      <c r="H1193" t="s">
        <v>9614</v>
      </c>
      <c r="J1193">
        <v>193348</v>
      </c>
      <c r="L1193">
        <v>65627</v>
      </c>
      <c r="O1193">
        <v>70</v>
      </c>
    </row>
    <row r="1194" spans="1:15" x14ac:dyDescent="0.25">
      <c r="A1194" t="s">
        <v>564</v>
      </c>
      <c r="B1194" t="s">
        <v>28</v>
      </c>
      <c r="C1194" t="s">
        <v>149</v>
      </c>
      <c r="D1194" t="s">
        <v>76</v>
      </c>
      <c r="E1194" t="s">
        <v>602</v>
      </c>
      <c r="F1194" t="s">
        <v>867</v>
      </c>
      <c r="G1194" t="s">
        <v>868</v>
      </c>
      <c r="H1194" t="s">
        <v>9612</v>
      </c>
      <c r="J1194">
        <v>193348</v>
      </c>
      <c r="L1194">
        <v>65627</v>
      </c>
      <c r="O1194">
        <v>71</v>
      </c>
    </row>
    <row r="1195" spans="1:15" x14ac:dyDescent="0.25">
      <c r="A1195" t="s">
        <v>564</v>
      </c>
      <c r="B1195" t="s">
        <v>28</v>
      </c>
      <c r="C1195" t="s">
        <v>149</v>
      </c>
      <c r="D1195" t="s">
        <v>76</v>
      </c>
      <c r="E1195" t="s">
        <v>602</v>
      </c>
      <c r="F1195" t="s">
        <v>864</v>
      </c>
      <c r="G1195" t="s">
        <v>865</v>
      </c>
      <c r="H1195" t="s">
        <v>9615</v>
      </c>
      <c r="J1195">
        <v>193348</v>
      </c>
      <c r="L1195">
        <v>65627</v>
      </c>
      <c r="O1195">
        <v>72</v>
      </c>
    </row>
    <row r="1196" spans="1:15" x14ac:dyDescent="0.25">
      <c r="A1196" t="s">
        <v>564</v>
      </c>
      <c r="B1196" t="s">
        <v>28</v>
      </c>
      <c r="C1196" t="s">
        <v>149</v>
      </c>
      <c r="D1196" t="s">
        <v>76</v>
      </c>
      <c r="E1196" t="s">
        <v>602</v>
      </c>
      <c r="F1196" t="s">
        <v>854</v>
      </c>
      <c r="G1196" t="s">
        <v>855</v>
      </c>
      <c r="H1196" t="s">
        <v>9619</v>
      </c>
      <c r="J1196">
        <v>193348</v>
      </c>
      <c r="L1196">
        <v>65627</v>
      </c>
      <c r="O1196">
        <v>73</v>
      </c>
    </row>
    <row r="1197" spans="1:15" x14ac:dyDescent="0.25">
      <c r="A1197" t="s">
        <v>564</v>
      </c>
      <c r="B1197" t="s">
        <v>28</v>
      </c>
      <c r="C1197" t="s">
        <v>149</v>
      </c>
      <c r="D1197" t="s">
        <v>76</v>
      </c>
      <c r="E1197" t="s">
        <v>602</v>
      </c>
      <c r="F1197" t="s">
        <v>1099</v>
      </c>
      <c r="G1197" t="s">
        <v>1100</v>
      </c>
      <c r="H1197" t="s">
        <v>9616</v>
      </c>
      <c r="J1197">
        <v>193348</v>
      </c>
      <c r="L1197">
        <v>65627</v>
      </c>
      <c r="O1197">
        <v>74</v>
      </c>
    </row>
    <row r="1198" spans="1:15" x14ac:dyDescent="0.25">
      <c r="A1198" t="s">
        <v>564</v>
      </c>
      <c r="B1198" t="s">
        <v>28</v>
      </c>
      <c r="C1198" t="s">
        <v>149</v>
      </c>
      <c r="D1198" t="s">
        <v>76</v>
      </c>
      <c r="E1198" t="s">
        <v>602</v>
      </c>
      <c r="F1198" t="s">
        <v>1090</v>
      </c>
      <c r="G1198" t="s">
        <v>1091</v>
      </c>
      <c r="H1198" t="s">
        <v>9617</v>
      </c>
      <c r="J1198">
        <v>193348</v>
      </c>
      <c r="L1198">
        <v>65627</v>
      </c>
      <c r="O1198">
        <v>75</v>
      </c>
    </row>
    <row r="1199" spans="1:15" x14ac:dyDescent="0.25">
      <c r="A1199" t="s">
        <v>564</v>
      </c>
      <c r="B1199" t="s">
        <v>28</v>
      </c>
      <c r="C1199" t="s">
        <v>149</v>
      </c>
      <c r="D1199" t="s">
        <v>76</v>
      </c>
      <c r="E1199" t="s">
        <v>602</v>
      </c>
      <c r="F1199" t="s">
        <v>1087</v>
      </c>
      <c r="G1199" t="s">
        <v>1088</v>
      </c>
      <c r="H1199" t="s">
        <v>9613</v>
      </c>
      <c r="J1199">
        <v>193348</v>
      </c>
      <c r="L1199">
        <v>65627</v>
      </c>
      <c r="O1199">
        <v>76</v>
      </c>
    </row>
    <row r="1200" spans="1:15" x14ac:dyDescent="0.25">
      <c r="A1200" t="s">
        <v>564</v>
      </c>
      <c r="B1200" t="s">
        <v>28</v>
      </c>
      <c r="C1200" t="s">
        <v>149</v>
      </c>
      <c r="D1200" t="s">
        <v>76</v>
      </c>
      <c r="E1200" t="s">
        <v>81</v>
      </c>
      <c r="F1200" t="s">
        <v>851</v>
      </c>
      <c r="G1200" t="s">
        <v>852</v>
      </c>
      <c r="H1200" t="s">
        <v>9565</v>
      </c>
      <c r="J1200">
        <v>193348</v>
      </c>
      <c r="L1200">
        <v>65627</v>
      </c>
      <c r="O1200">
        <v>77</v>
      </c>
    </row>
    <row r="1201" spans="1:15" x14ac:dyDescent="0.25">
      <c r="A1201" t="s">
        <v>564</v>
      </c>
      <c r="B1201" t="s">
        <v>28</v>
      </c>
      <c r="C1201" t="s">
        <v>149</v>
      </c>
      <c r="D1201" t="s">
        <v>76</v>
      </c>
      <c r="E1201" t="s">
        <v>654</v>
      </c>
      <c r="F1201" t="s">
        <v>8518</v>
      </c>
      <c r="G1201" t="s">
        <v>8519</v>
      </c>
      <c r="H1201" t="s">
        <v>9560</v>
      </c>
      <c r="J1201">
        <v>193348</v>
      </c>
      <c r="L1201">
        <v>65627</v>
      </c>
      <c r="O1201">
        <v>78</v>
      </c>
    </row>
    <row r="1202" spans="1:15" x14ac:dyDescent="0.25">
      <c r="A1202" t="s">
        <v>564</v>
      </c>
      <c r="B1202" t="s">
        <v>28</v>
      </c>
      <c r="C1202" t="s">
        <v>149</v>
      </c>
      <c r="D1202" t="s">
        <v>76</v>
      </c>
      <c r="E1202" t="s">
        <v>654</v>
      </c>
      <c r="F1202" t="s">
        <v>8465</v>
      </c>
      <c r="G1202" t="s">
        <v>8466</v>
      </c>
      <c r="H1202" t="s">
        <v>9561</v>
      </c>
      <c r="J1202">
        <v>193348</v>
      </c>
      <c r="L1202">
        <v>65627</v>
      </c>
      <c r="O1202">
        <v>79</v>
      </c>
    </row>
    <row r="1203" spans="1:15" x14ac:dyDescent="0.25">
      <c r="A1203" t="s">
        <v>564</v>
      </c>
      <c r="B1203" t="s">
        <v>28</v>
      </c>
      <c r="C1203" t="s">
        <v>149</v>
      </c>
      <c r="D1203" t="s">
        <v>76</v>
      </c>
      <c r="E1203" t="s">
        <v>886</v>
      </c>
      <c r="F1203" t="s">
        <v>8512</v>
      </c>
      <c r="G1203" t="s">
        <v>8513</v>
      </c>
      <c r="H1203" t="s">
        <v>9643</v>
      </c>
      <c r="J1203">
        <v>193348</v>
      </c>
      <c r="L1203">
        <v>65627</v>
      </c>
      <c r="O1203">
        <v>80</v>
      </c>
    </row>
    <row r="1204" spans="1:15" x14ac:dyDescent="0.25">
      <c r="A1204" t="s">
        <v>564</v>
      </c>
      <c r="B1204" t="s">
        <v>28</v>
      </c>
      <c r="C1204" t="s">
        <v>149</v>
      </c>
      <c r="D1204" t="s">
        <v>76</v>
      </c>
      <c r="E1204" t="s">
        <v>886</v>
      </c>
      <c r="F1204" t="s">
        <v>8495</v>
      </c>
      <c r="G1204" t="s">
        <v>8496</v>
      </c>
      <c r="H1204" t="s">
        <v>9642</v>
      </c>
      <c r="J1204">
        <v>193348</v>
      </c>
      <c r="L1204">
        <v>65627</v>
      </c>
      <c r="O1204">
        <v>81</v>
      </c>
    </row>
    <row r="1205" spans="1:15" x14ac:dyDescent="0.25">
      <c r="A1205" t="s">
        <v>564</v>
      </c>
      <c r="B1205" t="s">
        <v>28</v>
      </c>
      <c r="C1205" t="s">
        <v>149</v>
      </c>
      <c r="D1205" t="s">
        <v>76</v>
      </c>
      <c r="E1205" t="s">
        <v>886</v>
      </c>
      <c r="F1205" t="s">
        <v>8504</v>
      </c>
      <c r="G1205" t="s">
        <v>8505</v>
      </c>
      <c r="H1205" t="s">
        <v>9534</v>
      </c>
      <c r="J1205">
        <v>193348</v>
      </c>
      <c r="L1205">
        <v>65627</v>
      </c>
      <c r="O1205">
        <v>82</v>
      </c>
    </row>
    <row r="1206" spans="1:15" x14ac:dyDescent="0.25">
      <c r="A1206" t="s">
        <v>564</v>
      </c>
      <c r="B1206" t="s">
        <v>28</v>
      </c>
      <c r="C1206" t="s">
        <v>149</v>
      </c>
      <c r="D1206" t="s">
        <v>76</v>
      </c>
      <c r="E1206" t="s">
        <v>686</v>
      </c>
      <c r="F1206" t="s">
        <v>1084</v>
      </c>
      <c r="G1206" t="s">
        <v>1085</v>
      </c>
      <c r="H1206" t="s">
        <v>9627</v>
      </c>
      <c r="J1206">
        <v>193348</v>
      </c>
      <c r="L1206">
        <v>65627</v>
      </c>
      <c r="O1206">
        <v>83</v>
      </c>
    </row>
    <row r="1207" spans="1:15" x14ac:dyDescent="0.25">
      <c r="A1207" t="s">
        <v>564</v>
      </c>
      <c r="B1207" t="s">
        <v>28</v>
      </c>
      <c r="C1207" t="s">
        <v>149</v>
      </c>
      <c r="D1207" t="s">
        <v>76</v>
      </c>
      <c r="E1207" t="s">
        <v>686</v>
      </c>
      <c r="F1207" t="s">
        <v>1069</v>
      </c>
      <c r="G1207" t="s">
        <v>1070</v>
      </c>
      <c r="H1207" t="s">
        <v>9641</v>
      </c>
      <c r="J1207">
        <v>193348</v>
      </c>
      <c r="L1207">
        <v>65627</v>
      </c>
      <c r="O1207">
        <v>84</v>
      </c>
    </row>
    <row r="1208" spans="1:15" x14ac:dyDescent="0.25">
      <c r="A1208" t="s">
        <v>564</v>
      </c>
      <c r="B1208" t="s">
        <v>28</v>
      </c>
      <c r="C1208" t="s">
        <v>149</v>
      </c>
      <c r="D1208" t="s">
        <v>76</v>
      </c>
      <c r="E1208" t="s">
        <v>686</v>
      </c>
      <c r="F1208" t="s">
        <v>1063</v>
      </c>
      <c r="G1208" t="s">
        <v>1064</v>
      </c>
      <c r="H1208" t="s">
        <v>9640</v>
      </c>
      <c r="J1208">
        <v>193348</v>
      </c>
      <c r="L1208">
        <v>65627</v>
      </c>
      <c r="O1208">
        <v>85</v>
      </c>
    </row>
    <row r="1209" spans="1:15" x14ac:dyDescent="0.25">
      <c r="A1209" t="s">
        <v>564</v>
      </c>
      <c r="B1209" t="s">
        <v>28</v>
      </c>
      <c r="C1209" t="s">
        <v>149</v>
      </c>
      <c r="D1209" t="s">
        <v>76</v>
      </c>
      <c r="E1209" t="s">
        <v>686</v>
      </c>
      <c r="F1209" t="s">
        <v>1045</v>
      </c>
      <c r="G1209" t="s">
        <v>1046</v>
      </c>
      <c r="H1209" t="s">
        <v>9633</v>
      </c>
      <c r="J1209">
        <v>193348</v>
      </c>
      <c r="L1209">
        <v>65627</v>
      </c>
      <c r="O1209">
        <v>86</v>
      </c>
    </row>
    <row r="1210" spans="1:15" x14ac:dyDescent="0.25">
      <c r="A1210" t="s">
        <v>564</v>
      </c>
      <c r="B1210" t="s">
        <v>28</v>
      </c>
      <c r="C1210" t="s">
        <v>149</v>
      </c>
      <c r="D1210" t="s">
        <v>76</v>
      </c>
      <c r="E1210" t="s">
        <v>686</v>
      </c>
      <c r="F1210" t="s">
        <v>1039</v>
      </c>
      <c r="G1210" t="s">
        <v>1040</v>
      </c>
      <c r="H1210" t="s">
        <v>9625</v>
      </c>
      <c r="J1210">
        <v>193348</v>
      </c>
      <c r="L1210">
        <v>65627</v>
      </c>
      <c r="O1210">
        <v>87</v>
      </c>
    </row>
    <row r="1211" spans="1:15" x14ac:dyDescent="0.25">
      <c r="A1211" t="s">
        <v>564</v>
      </c>
      <c r="B1211" t="s">
        <v>28</v>
      </c>
      <c r="C1211" t="s">
        <v>149</v>
      </c>
      <c r="D1211" t="s">
        <v>76</v>
      </c>
      <c r="E1211" t="s">
        <v>686</v>
      </c>
      <c r="F1211" t="s">
        <v>1036</v>
      </c>
      <c r="G1211" t="s">
        <v>1037</v>
      </c>
      <c r="H1211" t="s">
        <v>9631</v>
      </c>
      <c r="J1211">
        <v>193348</v>
      </c>
      <c r="L1211">
        <v>65627</v>
      </c>
      <c r="O1211">
        <v>88</v>
      </c>
    </row>
    <row r="1212" spans="1:15" x14ac:dyDescent="0.25">
      <c r="A1212" t="s">
        <v>564</v>
      </c>
      <c r="B1212" t="s">
        <v>28</v>
      </c>
      <c r="C1212" t="s">
        <v>149</v>
      </c>
      <c r="D1212" t="s">
        <v>76</v>
      </c>
      <c r="E1212" t="s">
        <v>686</v>
      </c>
      <c r="F1212" t="s">
        <v>1024</v>
      </c>
      <c r="G1212" t="s">
        <v>1025</v>
      </c>
      <c r="H1212" t="s">
        <v>9634</v>
      </c>
      <c r="J1212">
        <v>193348</v>
      </c>
      <c r="L1212">
        <v>65627</v>
      </c>
      <c r="O1212">
        <v>89</v>
      </c>
    </row>
    <row r="1213" spans="1:15" x14ac:dyDescent="0.25">
      <c r="A1213" t="s">
        <v>564</v>
      </c>
      <c r="B1213" t="s">
        <v>28</v>
      </c>
      <c r="C1213" t="s">
        <v>149</v>
      </c>
      <c r="D1213" t="s">
        <v>76</v>
      </c>
      <c r="E1213" t="s">
        <v>686</v>
      </c>
      <c r="F1213" t="s">
        <v>1021</v>
      </c>
      <c r="G1213" t="s">
        <v>1022</v>
      </c>
      <c r="H1213" t="s">
        <v>9623</v>
      </c>
      <c r="J1213">
        <v>193348</v>
      </c>
      <c r="L1213">
        <v>65627</v>
      </c>
      <c r="O1213">
        <v>90</v>
      </c>
    </row>
    <row r="1214" spans="1:15" x14ac:dyDescent="0.25">
      <c r="A1214" t="s">
        <v>564</v>
      </c>
      <c r="B1214" t="s">
        <v>28</v>
      </c>
      <c r="C1214" t="s">
        <v>149</v>
      </c>
      <c r="D1214" t="s">
        <v>76</v>
      </c>
      <c r="E1214" t="s">
        <v>686</v>
      </c>
      <c r="F1214" t="s">
        <v>1012</v>
      </c>
      <c r="G1214" t="s">
        <v>1013</v>
      </c>
      <c r="H1214" t="s">
        <v>9632</v>
      </c>
      <c r="J1214">
        <v>193348</v>
      </c>
      <c r="L1214">
        <v>65627</v>
      </c>
      <c r="O1214">
        <v>91</v>
      </c>
    </row>
    <row r="1215" spans="1:15" x14ac:dyDescent="0.25">
      <c r="A1215" t="s">
        <v>564</v>
      </c>
      <c r="B1215" t="s">
        <v>28</v>
      </c>
      <c r="C1215" t="s">
        <v>149</v>
      </c>
      <c r="D1215" t="s">
        <v>76</v>
      </c>
      <c r="E1215" t="s">
        <v>686</v>
      </c>
      <c r="F1215" t="s">
        <v>1009</v>
      </c>
      <c r="G1215" t="s">
        <v>1010</v>
      </c>
      <c r="H1215" t="s">
        <v>9638</v>
      </c>
      <c r="J1215">
        <v>193348</v>
      </c>
      <c r="L1215">
        <v>65627</v>
      </c>
      <c r="O1215">
        <v>92</v>
      </c>
    </row>
    <row r="1216" spans="1:15" x14ac:dyDescent="0.25">
      <c r="A1216" t="s">
        <v>564</v>
      </c>
      <c r="B1216" t="s">
        <v>28</v>
      </c>
      <c r="C1216" t="s">
        <v>149</v>
      </c>
      <c r="D1216" t="s">
        <v>76</v>
      </c>
      <c r="E1216" t="s">
        <v>686</v>
      </c>
      <c r="F1216" t="s">
        <v>1006</v>
      </c>
      <c r="G1216" t="s">
        <v>1007</v>
      </c>
      <c r="H1216" t="s">
        <v>9637</v>
      </c>
      <c r="J1216">
        <v>193348</v>
      </c>
      <c r="L1216">
        <v>65627</v>
      </c>
      <c r="O1216">
        <v>93</v>
      </c>
    </row>
    <row r="1217" spans="1:15" x14ac:dyDescent="0.25">
      <c r="A1217" t="s">
        <v>564</v>
      </c>
      <c r="B1217" t="s">
        <v>28</v>
      </c>
      <c r="C1217" t="s">
        <v>149</v>
      </c>
      <c r="D1217" t="s">
        <v>76</v>
      </c>
      <c r="E1217" t="s">
        <v>686</v>
      </c>
      <c r="F1217" t="s">
        <v>991</v>
      </c>
      <c r="G1217" t="s">
        <v>992</v>
      </c>
      <c r="H1217" t="s">
        <v>9636</v>
      </c>
      <c r="J1217">
        <v>193348</v>
      </c>
      <c r="L1217">
        <v>65627</v>
      </c>
      <c r="O1217">
        <v>94</v>
      </c>
    </row>
    <row r="1218" spans="1:15" x14ac:dyDescent="0.25">
      <c r="A1218" t="s">
        <v>564</v>
      </c>
      <c r="B1218" t="s">
        <v>28</v>
      </c>
      <c r="C1218" t="s">
        <v>149</v>
      </c>
      <c r="D1218" t="s">
        <v>76</v>
      </c>
      <c r="E1218" t="s">
        <v>686</v>
      </c>
      <c r="F1218" t="s">
        <v>958</v>
      </c>
      <c r="G1218" t="s">
        <v>959</v>
      </c>
      <c r="H1218" t="s">
        <v>9550</v>
      </c>
      <c r="J1218">
        <v>193348</v>
      </c>
      <c r="L1218">
        <v>65627</v>
      </c>
      <c r="O1218">
        <v>95</v>
      </c>
    </row>
    <row r="1219" spans="1:15" x14ac:dyDescent="0.25">
      <c r="A1219" t="s">
        <v>564</v>
      </c>
      <c r="B1219" t="s">
        <v>28</v>
      </c>
      <c r="C1219" t="s">
        <v>149</v>
      </c>
      <c r="D1219" t="s">
        <v>76</v>
      </c>
      <c r="E1219" t="s">
        <v>686</v>
      </c>
      <c r="F1219" t="s">
        <v>952</v>
      </c>
      <c r="G1219" t="s">
        <v>953</v>
      </c>
      <c r="H1219" t="s">
        <v>9629</v>
      </c>
      <c r="J1219">
        <v>193348</v>
      </c>
      <c r="L1219">
        <v>65627</v>
      </c>
      <c r="O1219">
        <v>96</v>
      </c>
    </row>
    <row r="1220" spans="1:15" x14ac:dyDescent="0.25">
      <c r="A1220" t="s">
        <v>564</v>
      </c>
      <c r="B1220" t="s">
        <v>28</v>
      </c>
      <c r="C1220" t="s">
        <v>149</v>
      </c>
      <c r="D1220" t="s">
        <v>76</v>
      </c>
      <c r="E1220" t="s">
        <v>686</v>
      </c>
      <c r="F1220" t="s">
        <v>940</v>
      </c>
      <c r="G1220" t="s">
        <v>941</v>
      </c>
      <c r="H1220" t="s">
        <v>9639</v>
      </c>
      <c r="J1220">
        <v>193348</v>
      </c>
      <c r="L1220">
        <v>65627</v>
      </c>
      <c r="O1220">
        <v>97</v>
      </c>
    </row>
    <row r="1221" spans="1:15" x14ac:dyDescent="0.25">
      <c r="A1221" t="s">
        <v>564</v>
      </c>
      <c r="B1221" t="s">
        <v>28</v>
      </c>
      <c r="C1221" t="s">
        <v>149</v>
      </c>
      <c r="D1221" t="s">
        <v>76</v>
      </c>
      <c r="E1221" t="s">
        <v>686</v>
      </c>
      <c r="F1221" t="s">
        <v>937</v>
      </c>
      <c r="G1221" t="s">
        <v>938</v>
      </c>
      <c r="H1221" t="s">
        <v>9626</v>
      </c>
      <c r="J1221">
        <v>193348</v>
      </c>
      <c r="L1221">
        <v>65627</v>
      </c>
      <c r="O1221">
        <v>98</v>
      </c>
    </row>
    <row r="1222" spans="1:15" x14ac:dyDescent="0.25">
      <c r="A1222" t="s">
        <v>564</v>
      </c>
      <c r="B1222" t="s">
        <v>28</v>
      </c>
      <c r="C1222" t="s">
        <v>149</v>
      </c>
      <c r="D1222" t="s">
        <v>76</v>
      </c>
      <c r="E1222" t="s">
        <v>686</v>
      </c>
      <c r="F1222" t="s">
        <v>934</v>
      </c>
      <c r="G1222" t="s">
        <v>935</v>
      </c>
      <c r="H1222" t="s">
        <v>9630</v>
      </c>
      <c r="J1222">
        <v>193348</v>
      </c>
      <c r="L1222">
        <v>65627</v>
      </c>
      <c r="O1222">
        <v>99</v>
      </c>
    </row>
    <row r="1223" spans="1:15" x14ac:dyDescent="0.25">
      <c r="A1223" t="s">
        <v>564</v>
      </c>
      <c r="B1223" t="s">
        <v>28</v>
      </c>
      <c r="C1223" t="s">
        <v>149</v>
      </c>
      <c r="D1223" t="s">
        <v>76</v>
      </c>
      <c r="E1223" t="s">
        <v>686</v>
      </c>
      <c r="F1223" t="s">
        <v>924</v>
      </c>
      <c r="G1223" t="s">
        <v>925</v>
      </c>
      <c r="H1223" t="s">
        <v>9624</v>
      </c>
      <c r="J1223">
        <v>193348</v>
      </c>
      <c r="L1223">
        <v>65627</v>
      </c>
      <c r="O1223">
        <v>100</v>
      </c>
    </row>
    <row r="1224" spans="1:15" x14ac:dyDescent="0.25">
      <c r="A1224" t="s">
        <v>564</v>
      </c>
      <c r="B1224" t="s">
        <v>28</v>
      </c>
      <c r="C1224" t="s">
        <v>149</v>
      </c>
      <c r="D1224" t="s">
        <v>76</v>
      </c>
      <c r="E1224" t="s">
        <v>686</v>
      </c>
      <c r="F1224" t="s">
        <v>921</v>
      </c>
      <c r="G1224" t="s">
        <v>922</v>
      </c>
      <c r="H1224" t="s">
        <v>9628</v>
      </c>
      <c r="J1224">
        <v>193348</v>
      </c>
      <c r="L1224">
        <v>65627</v>
      </c>
      <c r="O1224">
        <v>101</v>
      </c>
    </row>
    <row r="1225" spans="1:15" x14ac:dyDescent="0.25">
      <c r="A1225" t="s">
        <v>564</v>
      </c>
      <c r="B1225" t="s">
        <v>28</v>
      </c>
      <c r="C1225" t="s">
        <v>149</v>
      </c>
      <c r="D1225" t="s">
        <v>76</v>
      </c>
      <c r="E1225" t="s">
        <v>686</v>
      </c>
      <c r="F1225" t="s">
        <v>915</v>
      </c>
      <c r="G1225" t="s">
        <v>916</v>
      </c>
      <c r="H1225" t="s">
        <v>9635</v>
      </c>
      <c r="J1225">
        <v>193348</v>
      </c>
      <c r="L1225">
        <v>65627</v>
      </c>
      <c r="O1225">
        <v>102</v>
      </c>
    </row>
    <row r="1226" spans="1:15" x14ac:dyDescent="0.25">
      <c r="A1226" t="s">
        <v>564</v>
      </c>
      <c r="B1226" t="s">
        <v>28</v>
      </c>
      <c r="C1226" t="s">
        <v>149</v>
      </c>
      <c r="D1226" t="s">
        <v>76</v>
      </c>
      <c r="E1226" t="s">
        <v>686</v>
      </c>
      <c r="F1226" t="s">
        <v>909</v>
      </c>
      <c r="G1226" t="s">
        <v>910</v>
      </c>
      <c r="H1226" t="s">
        <v>9622</v>
      </c>
      <c r="J1226">
        <v>193348</v>
      </c>
      <c r="L1226">
        <v>65627</v>
      </c>
      <c r="O1226">
        <v>103</v>
      </c>
    </row>
    <row r="1227" spans="1:15" x14ac:dyDescent="0.25">
      <c r="A1227" t="s">
        <v>564</v>
      </c>
      <c r="B1227" t="s">
        <v>28</v>
      </c>
      <c r="C1227" t="s">
        <v>149</v>
      </c>
      <c r="D1227" t="s">
        <v>76</v>
      </c>
      <c r="E1227" t="s">
        <v>686</v>
      </c>
      <c r="F1227" t="s">
        <v>894</v>
      </c>
      <c r="G1227" t="s">
        <v>895</v>
      </c>
      <c r="H1227" t="s">
        <v>9621</v>
      </c>
      <c r="J1227">
        <v>193348</v>
      </c>
      <c r="L1227">
        <v>65627</v>
      </c>
      <c r="O1227">
        <v>104</v>
      </c>
    </row>
    <row r="1228" spans="1:15" x14ac:dyDescent="0.25">
      <c r="A1228" t="s">
        <v>564</v>
      </c>
      <c r="B1228" t="s">
        <v>28</v>
      </c>
      <c r="C1228" t="s">
        <v>149</v>
      </c>
      <c r="D1228" t="s">
        <v>76</v>
      </c>
      <c r="E1228" t="s">
        <v>682</v>
      </c>
      <c r="F1228" t="s">
        <v>78</v>
      </c>
      <c r="G1228" t="s">
        <v>683</v>
      </c>
      <c r="H1228" t="s">
        <v>9536</v>
      </c>
      <c r="J1228">
        <v>193348</v>
      </c>
      <c r="L1228">
        <v>65627</v>
      </c>
      <c r="O1228">
        <v>105</v>
      </c>
    </row>
    <row r="1229" spans="1:15" x14ac:dyDescent="0.25">
      <c r="A1229" t="s">
        <v>564</v>
      </c>
      <c r="B1229" t="s">
        <v>28</v>
      </c>
      <c r="C1229" t="s">
        <v>149</v>
      </c>
      <c r="D1229" t="s">
        <v>76</v>
      </c>
      <c r="E1229" t="s">
        <v>897</v>
      </c>
      <c r="F1229" t="s">
        <v>78</v>
      </c>
      <c r="G1229" t="s">
        <v>898</v>
      </c>
      <c r="H1229" t="s">
        <v>9578</v>
      </c>
      <c r="J1229">
        <v>193348</v>
      </c>
      <c r="L1229">
        <v>65627</v>
      </c>
      <c r="O1229">
        <v>106</v>
      </c>
    </row>
    <row r="1230" spans="1:15" x14ac:dyDescent="0.25">
      <c r="A1230" t="s">
        <v>564</v>
      </c>
      <c r="B1230" t="s">
        <v>28</v>
      </c>
      <c r="C1230" t="s">
        <v>149</v>
      </c>
      <c r="D1230" t="s">
        <v>76</v>
      </c>
      <c r="E1230" t="s">
        <v>900</v>
      </c>
      <c r="F1230" t="s">
        <v>78</v>
      </c>
      <c r="G1230" t="s">
        <v>901</v>
      </c>
      <c r="H1230" t="s">
        <v>9576</v>
      </c>
      <c r="J1230">
        <v>193348</v>
      </c>
      <c r="L1230">
        <v>65627</v>
      </c>
      <c r="O1230">
        <v>107</v>
      </c>
    </row>
    <row r="1231" spans="1:15" x14ac:dyDescent="0.25">
      <c r="A1231" t="s">
        <v>564</v>
      </c>
      <c r="B1231" t="s">
        <v>28</v>
      </c>
      <c r="C1231" t="s">
        <v>149</v>
      </c>
      <c r="D1231" t="s">
        <v>76</v>
      </c>
      <c r="E1231" t="s">
        <v>903</v>
      </c>
      <c r="F1231" t="s">
        <v>78</v>
      </c>
      <c r="G1231" t="s">
        <v>904</v>
      </c>
      <c r="H1231" t="s">
        <v>9566</v>
      </c>
      <c r="J1231">
        <v>193348</v>
      </c>
      <c r="L1231">
        <v>65627</v>
      </c>
      <c r="O1231">
        <v>108</v>
      </c>
    </row>
    <row r="1232" spans="1:15" x14ac:dyDescent="0.25">
      <c r="A1232" t="s">
        <v>564</v>
      </c>
      <c r="B1232" t="s">
        <v>28</v>
      </c>
      <c r="C1232" t="s">
        <v>149</v>
      </c>
      <c r="D1232" t="s">
        <v>76</v>
      </c>
      <c r="E1232" t="s">
        <v>906</v>
      </c>
      <c r="F1232" t="s">
        <v>78</v>
      </c>
      <c r="G1232" t="s">
        <v>907</v>
      </c>
      <c r="H1232" t="s">
        <v>9562</v>
      </c>
      <c r="J1232">
        <v>193348</v>
      </c>
      <c r="L1232">
        <v>65627</v>
      </c>
      <c r="O1232">
        <v>109</v>
      </c>
    </row>
    <row r="1233" spans="1:15" x14ac:dyDescent="0.25">
      <c r="A1233" t="s">
        <v>564</v>
      </c>
      <c r="B1233" t="s">
        <v>28</v>
      </c>
      <c r="C1233" t="s">
        <v>149</v>
      </c>
      <c r="D1233" t="s">
        <v>76</v>
      </c>
      <c r="E1233" t="s">
        <v>668</v>
      </c>
      <c r="F1233" t="s">
        <v>78</v>
      </c>
      <c r="G1233" t="s">
        <v>669</v>
      </c>
      <c r="H1233" t="s">
        <v>9543</v>
      </c>
      <c r="J1233">
        <v>193348</v>
      </c>
      <c r="L1233">
        <v>65627</v>
      </c>
      <c r="O1233">
        <v>110</v>
      </c>
    </row>
    <row r="1234" spans="1:15" x14ac:dyDescent="0.25">
      <c r="A1234" t="s">
        <v>564</v>
      </c>
      <c r="B1234" t="s">
        <v>28</v>
      </c>
      <c r="C1234" t="s">
        <v>149</v>
      </c>
      <c r="D1234" t="s">
        <v>76</v>
      </c>
      <c r="E1234" t="s">
        <v>918</v>
      </c>
      <c r="F1234" t="s">
        <v>78</v>
      </c>
      <c r="G1234" t="s">
        <v>919</v>
      </c>
      <c r="H1234" t="s">
        <v>9574</v>
      </c>
      <c r="J1234">
        <v>193348</v>
      </c>
      <c r="L1234">
        <v>65627</v>
      </c>
      <c r="O1234">
        <v>111</v>
      </c>
    </row>
    <row r="1235" spans="1:15" x14ac:dyDescent="0.25">
      <c r="A1235" t="s">
        <v>564</v>
      </c>
      <c r="B1235" t="s">
        <v>28</v>
      </c>
      <c r="C1235" t="s">
        <v>149</v>
      </c>
      <c r="D1235" t="s">
        <v>76</v>
      </c>
      <c r="E1235" t="s">
        <v>927</v>
      </c>
      <c r="F1235" t="s">
        <v>78</v>
      </c>
      <c r="G1235" t="s">
        <v>928</v>
      </c>
      <c r="H1235" t="s">
        <v>9573</v>
      </c>
      <c r="J1235">
        <v>193348</v>
      </c>
      <c r="L1235">
        <v>65627</v>
      </c>
      <c r="O1235">
        <v>112</v>
      </c>
    </row>
    <row r="1236" spans="1:15" x14ac:dyDescent="0.25">
      <c r="A1236" t="s">
        <v>564</v>
      </c>
      <c r="B1236" t="s">
        <v>28</v>
      </c>
      <c r="C1236" t="s">
        <v>149</v>
      </c>
      <c r="D1236" t="s">
        <v>76</v>
      </c>
      <c r="E1236" t="s">
        <v>690</v>
      </c>
      <c r="F1236" t="s">
        <v>78</v>
      </c>
      <c r="G1236" t="s">
        <v>691</v>
      </c>
      <c r="H1236" t="s">
        <v>9569</v>
      </c>
      <c r="J1236">
        <v>193348</v>
      </c>
      <c r="L1236">
        <v>65627</v>
      </c>
      <c r="O1236">
        <v>113</v>
      </c>
    </row>
    <row r="1237" spans="1:15" x14ac:dyDescent="0.25">
      <c r="A1237" t="s">
        <v>564</v>
      </c>
      <c r="B1237" t="s">
        <v>28</v>
      </c>
      <c r="C1237" t="s">
        <v>149</v>
      </c>
      <c r="D1237" t="s">
        <v>76</v>
      </c>
      <c r="E1237" t="s">
        <v>931</v>
      </c>
      <c r="F1237" t="s">
        <v>78</v>
      </c>
      <c r="G1237" t="s">
        <v>932</v>
      </c>
      <c r="H1237" t="s">
        <v>9555</v>
      </c>
      <c r="J1237">
        <v>193348</v>
      </c>
      <c r="L1237">
        <v>65627</v>
      </c>
      <c r="O1237">
        <v>114</v>
      </c>
    </row>
    <row r="1238" spans="1:15" x14ac:dyDescent="0.25">
      <c r="A1238" t="s">
        <v>564</v>
      </c>
      <c r="B1238" t="s">
        <v>28</v>
      </c>
      <c r="C1238" t="s">
        <v>149</v>
      </c>
      <c r="D1238" t="s">
        <v>76</v>
      </c>
      <c r="E1238" t="s">
        <v>943</v>
      </c>
      <c r="F1238" t="s">
        <v>78</v>
      </c>
      <c r="G1238" t="s">
        <v>944</v>
      </c>
      <c r="H1238" t="s">
        <v>9556</v>
      </c>
      <c r="J1238">
        <v>193348</v>
      </c>
      <c r="L1238">
        <v>65627</v>
      </c>
      <c r="O1238">
        <v>115</v>
      </c>
    </row>
    <row r="1239" spans="1:15" x14ac:dyDescent="0.25">
      <c r="A1239" t="s">
        <v>564</v>
      </c>
      <c r="B1239" t="s">
        <v>28</v>
      </c>
      <c r="C1239" t="s">
        <v>149</v>
      </c>
      <c r="D1239" t="s">
        <v>76</v>
      </c>
      <c r="E1239" t="s">
        <v>946</v>
      </c>
      <c r="F1239" t="s">
        <v>78</v>
      </c>
      <c r="G1239" t="s">
        <v>947</v>
      </c>
      <c r="H1239" t="s">
        <v>9597</v>
      </c>
      <c r="J1239">
        <v>193348</v>
      </c>
      <c r="L1239">
        <v>65627</v>
      </c>
      <c r="O1239">
        <v>116</v>
      </c>
    </row>
    <row r="1240" spans="1:15" x14ac:dyDescent="0.25">
      <c r="A1240" t="s">
        <v>564</v>
      </c>
      <c r="B1240" t="s">
        <v>28</v>
      </c>
      <c r="C1240" t="s">
        <v>149</v>
      </c>
      <c r="D1240" t="s">
        <v>76</v>
      </c>
      <c r="E1240" t="s">
        <v>949</v>
      </c>
      <c r="F1240" t="s">
        <v>78</v>
      </c>
      <c r="G1240" t="s">
        <v>950</v>
      </c>
      <c r="H1240" t="s">
        <v>9596</v>
      </c>
      <c r="J1240">
        <v>193348</v>
      </c>
      <c r="L1240">
        <v>65627</v>
      </c>
      <c r="O1240">
        <v>117</v>
      </c>
    </row>
    <row r="1241" spans="1:15" x14ac:dyDescent="0.25">
      <c r="A1241" t="s">
        <v>564</v>
      </c>
      <c r="B1241" t="s">
        <v>28</v>
      </c>
      <c r="C1241" t="s">
        <v>149</v>
      </c>
      <c r="D1241" t="s">
        <v>76</v>
      </c>
      <c r="E1241" t="s">
        <v>680</v>
      </c>
      <c r="F1241" t="s">
        <v>78</v>
      </c>
      <c r="G1241" t="s">
        <v>681</v>
      </c>
      <c r="H1241" t="s">
        <v>9547</v>
      </c>
      <c r="J1241">
        <v>193348</v>
      </c>
      <c r="L1241">
        <v>65627</v>
      </c>
      <c r="O1241">
        <v>118</v>
      </c>
    </row>
    <row r="1242" spans="1:15" x14ac:dyDescent="0.25">
      <c r="A1242" t="s">
        <v>564</v>
      </c>
      <c r="B1242" t="s">
        <v>28</v>
      </c>
      <c r="C1242" t="s">
        <v>149</v>
      </c>
      <c r="D1242" t="s">
        <v>76</v>
      </c>
      <c r="E1242" t="s">
        <v>955</v>
      </c>
      <c r="F1242" t="s">
        <v>78</v>
      </c>
      <c r="G1242" t="s">
        <v>956</v>
      </c>
      <c r="H1242" t="s">
        <v>9593</v>
      </c>
      <c r="J1242">
        <v>193348</v>
      </c>
      <c r="L1242">
        <v>65627</v>
      </c>
      <c r="O1242">
        <v>119</v>
      </c>
    </row>
    <row r="1243" spans="1:15" x14ac:dyDescent="0.25">
      <c r="A1243" t="s">
        <v>564</v>
      </c>
      <c r="B1243" t="s">
        <v>28</v>
      </c>
      <c r="C1243" t="s">
        <v>149</v>
      </c>
      <c r="D1243" t="s">
        <v>76</v>
      </c>
      <c r="E1243" t="s">
        <v>961</v>
      </c>
      <c r="F1243" t="s">
        <v>78</v>
      </c>
      <c r="G1243" t="s">
        <v>962</v>
      </c>
      <c r="H1243" t="s">
        <v>9567</v>
      </c>
      <c r="J1243">
        <v>193348</v>
      </c>
      <c r="L1243">
        <v>65627</v>
      </c>
      <c r="O1243">
        <v>120</v>
      </c>
    </row>
    <row r="1244" spans="1:15" x14ac:dyDescent="0.25">
      <c r="A1244" t="s">
        <v>564</v>
      </c>
      <c r="B1244" t="s">
        <v>28</v>
      </c>
      <c r="C1244" t="s">
        <v>149</v>
      </c>
      <c r="D1244" t="s">
        <v>76</v>
      </c>
      <c r="E1244" t="s">
        <v>964</v>
      </c>
      <c r="F1244" t="s">
        <v>78</v>
      </c>
      <c r="G1244" t="s">
        <v>965</v>
      </c>
      <c r="H1244" t="s">
        <v>9588</v>
      </c>
      <c r="J1244">
        <v>193348</v>
      </c>
      <c r="L1244">
        <v>65627</v>
      </c>
      <c r="O1244">
        <v>121</v>
      </c>
    </row>
    <row r="1245" spans="1:15" x14ac:dyDescent="0.25">
      <c r="A1245" t="s">
        <v>564</v>
      </c>
      <c r="B1245" t="s">
        <v>28</v>
      </c>
      <c r="C1245" t="s">
        <v>149</v>
      </c>
      <c r="D1245" t="s">
        <v>76</v>
      </c>
      <c r="E1245" t="s">
        <v>967</v>
      </c>
      <c r="F1245" t="s">
        <v>78</v>
      </c>
      <c r="G1245" t="s">
        <v>968</v>
      </c>
      <c r="H1245" t="s">
        <v>9605</v>
      </c>
      <c r="J1245">
        <v>193348</v>
      </c>
      <c r="L1245">
        <v>65627</v>
      </c>
      <c r="O1245">
        <v>122</v>
      </c>
    </row>
    <row r="1246" spans="1:15" x14ac:dyDescent="0.25">
      <c r="A1246" t="s">
        <v>564</v>
      </c>
      <c r="B1246" t="s">
        <v>28</v>
      </c>
      <c r="C1246" t="s">
        <v>149</v>
      </c>
      <c r="D1246" t="s">
        <v>76</v>
      </c>
      <c r="E1246" t="s">
        <v>970</v>
      </c>
      <c r="F1246" t="s">
        <v>78</v>
      </c>
      <c r="G1246" t="s">
        <v>971</v>
      </c>
      <c r="H1246" t="s">
        <v>9600</v>
      </c>
      <c r="J1246">
        <v>193348</v>
      </c>
      <c r="L1246">
        <v>65627</v>
      </c>
      <c r="O1246">
        <v>123</v>
      </c>
    </row>
    <row r="1247" spans="1:15" x14ac:dyDescent="0.25">
      <c r="A1247" t="s">
        <v>564</v>
      </c>
      <c r="B1247" t="s">
        <v>28</v>
      </c>
      <c r="C1247" t="s">
        <v>149</v>
      </c>
      <c r="D1247" t="s">
        <v>76</v>
      </c>
      <c r="E1247" t="s">
        <v>973</v>
      </c>
      <c r="F1247" t="s">
        <v>78</v>
      </c>
      <c r="G1247" t="s">
        <v>974</v>
      </c>
      <c r="H1247" t="s">
        <v>9609</v>
      </c>
      <c r="J1247">
        <v>193348</v>
      </c>
      <c r="L1247">
        <v>65627</v>
      </c>
      <c r="O1247">
        <v>124</v>
      </c>
    </row>
    <row r="1248" spans="1:15" x14ac:dyDescent="0.25">
      <c r="A1248" t="s">
        <v>564</v>
      </c>
      <c r="B1248" t="s">
        <v>28</v>
      </c>
      <c r="C1248" t="s">
        <v>149</v>
      </c>
      <c r="D1248" t="s">
        <v>76</v>
      </c>
      <c r="E1248" t="s">
        <v>976</v>
      </c>
      <c r="F1248" t="s">
        <v>78</v>
      </c>
      <c r="G1248" t="s">
        <v>977</v>
      </c>
      <c r="H1248" t="s">
        <v>9599</v>
      </c>
      <c r="J1248">
        <v>193348</v>
      </c>
      <c r="L1248">
        <v>65627</v>
      </c>
      <c r="O1248">
        <v>125</v>
      </c>
    </row>
    <row r="1249" spans="1:15" x14ac:dyDescent="0.25">
      <c r="A1249" t="s">
        <v>564</v>
      </c>
      <c r="B1249" t="s">
        <v>28</v>
      </c>
      <c r="C1249" t="s">
        <v>149</v>
      </c>
      <c r="D1249" t="s">
        <v>76</v>
      </c>
      <c r="E1249" t="s">
        <v>979</v>
      </c>
      <c r="F1249" t="s">
        <v>78</v>
      </c>
      <c r="G1249" t="s">
        <v>980</v>
      </c>
      <c r="H1249" t="s">
        <v>9592</v>
      </c>
      <c r="J1249">
        <v>193348</v>
      </c>
      <c r="L1249">
        <v>65627</v>
      </c>
      <c r="O1249">
        <v>126</v>
      </c>
    </row>
    <row r="1250" spans="1:15" x14ac:dyDescent="0.25">
      <c r="A1250" t="s">
        <v>564</v>
      </c>
      <c r="B1250" t="s">
        <v>28</v>
      </c>
      <c r="C1250" t="s">
        <v>149</v>
      </c>
      <c r="D1250" t="s">
        <v>76</v>
      </c>
      <c r="E1250" t="s">
        <v>982</v>
      </c>
      <c r="F1250" t="s">
        <v>78</v>
      </c>
      <c r="G1250" t="s">
        <v>983</v>
      </c>
      <c r="H1250" t="s">
        <v>9589</v>
      </c>
      <c r="J1250">
        <v>193348</v>
      </c>
      <c r="L1250">
        <v>65627</v>
      </c>
      <c r="O1250">
        <v>127</v>
      </c>
    </row>
    <row r="1251" spans="1:15" x14ac:dyDescent="0.25">
      <c r="A1251" t="s">
        <v>564</v>
      </c>
      <c r="B1251" t="s">
        <v>28</v>
      </c>
      <c r="C1251" t="s">
        <v>149</v>
      </c>
      <c r="D1251" t="s">
        <v>76</v>
      </c>
      <c r="E1251" t="s">
        <v>985</v>
      </c>
      <c r="F1251" t="s">
        <v>78</v>
      </c>
      <c r="G1251" t="s">
        <v>986</v>
      </c>
      <c r="H1251" t="s">
        <v>9608</v>
      </c>
      <c r="J1251">
        <v>193348</v>
      </c>
      <c r="L1251">
        <v>65627</v>
      </c>
      <c r="O1251">
        <v>128</v>
      </c>
    </row>
    <row r="1252" spans="1:15" x14ac:dyDescent="0.25">
      <c r="A1252" t="s">
        <v>564</v>
      </c>
      <c r="B1252" t="s">
        <v>28</v>
      </c>
      <c r="C1252" t="s">
        <v>149</v>
      </c>
      <c r="D1252" t="s">
        <v>76</v>
      </c>
      <c r="E1252" t="s">
        <v>988</v>
      </c>
      <c r="F1252" t="s">
        <v>78</v>
      </c>
      <c r="G1252" t="s">
        <v>989</v>
      </c>
      <c r="H1252" t="s">
        <v>9602</v>
      </c>
      <c r="J1252">
        <v>193348</v>
      </c>
      <c r="L1252">
        <v>65627</v>
      </c>
      <c r="O1252">
        <v>129</v>
      </c>
    </row>
    <row r="1253" spans="1:15" x14ac:dyDescent="0.25">
      <c r="A1253" t="s">
        <v>564</v>
      </c>
      <c r="B1253" t="s">
        <v>28</v>
      </c>
      <c r="C1253" t="s">
        <v>149</v>
      </c>
      <c r="D1253" t="s">
        <v>76</v>
      </c>
      <c r="E1253" t="s">
        <v>994</v>
      </c>
      <c r="F1253" t="s">
        <v>78</v>
      </c>
      <c r="G1253" t="s">
        <v>995</v>
      </c>
      <c r="H1253" t="s">
        <v>9587</v>
      </c>
      <c r="J1253">
        <v>193348</v>
      </c>
      <c r="L1253">
        <v>65627</v>
      </c>
      <c r="O1253">
        <v>130</v>
      </c>
    </row>
    <row r="1254" spans="1:15" x14ac:dyDescent="0.25">
      <c r="A1254" t="s">
        <v>564</v>
      </c>
      <c r="B1254" t="s">
        <v>28</v>
      </c>
      <c r="C1254" t="s">
        <v>149</v>
      </c>
      <c r="D1254" t="s">
        <v>76</v>
      </c>
      <c r="E1254" t="s">
        <v>997</v>
      </c>
      <c r="F1254" t="s">
        <v>78</v>
      </c>
      <c r="G1254" t="s">
        <v>998</v>
      </c>
      <c r="H1254" t="s">
        <v>9601</v>
      </c>
      <c r="J1254">
        <v>193348</v>
      </c>
      <c r="L1254">
        <v>65627</v>
      </c>
      <c r="O1254">
        <v>131</v>
      </c>
    </row>
    <row r="1255" spans="1:15" x14ac:dyDescent="0.25">
      <c r="A1255" t="s">
        <v>564</v>
      </c>
      <c r="B1255" t="s">
        <v>28</v>
      </c>
      <c r="C1255" t="s">
        <v>149</v>
      </c>
      <c r="D1255" t="s">
        <v>76</v>
      </c>
      <c r="E1255" t="s">
        <v>1000</v>
      </c>
      <c r="F1255" t="s">
        <v>78</v>
      </c>
      <c r="G1255" t="s">
        <v>1001</v>
      </c>
      <c r="H1255" t="s">
        <v>9598</v>
      </c>
      <c r="J1255">
        <v>193348</v>
      </c>
      <c r="L1255">
        <v>65627</v>
      </c>
      <c r="O1255">
        <v>132</v>
      </c>
    </row>
    <row r="1256" spans="1:15" x14ac:dyDescent="0.25">
      <c r="A1256" t="s">
        <v>564</v>
      </c>
      <c r="B1256" t="s">
        <v>28</v>
      </c>
      <c r="C1256" t="s">
        <v>149</v>
      </c>
      <c r="D1256" t="s">
        <v>76</v>
      </c>
      <c r="E1256" t="s">
        <v>1003</v>
      </c>
      <c r="F1256" t="s">
        <v>78</v>
      </c>
      <c r="G1256" t="s">
        <v>1004</v>
      </c>
      <c r="H1256" t="s">
        <v>9607</v>
      </c>
      <c r="J1256">
        <v>193348</v>
      </c>
      <c r="L1256">
        <v>65627</v>
      </c>
      <c r="O1256">
        <v>133</v>
      </c>
    </row>
    <row r="1257" spans="1:15" x14ac:dyDescent="0.25">
      <c r="A1257" t="s">
        <v>564</v>
      </c>
      <c r="B1257" t="s">
        <v>28</v>
      </c>
      <c r="C1257" t="s">
        <v>149</v>
      </c>
      <c r="D1257" t="s">
        <v>76</v>
      </c>
      <c r="E1257" t="s">
        <v>1015</v>
      </c>
      <c r="F1257" t="s">
        <v>78</v>
      </c>
      <c r="G1257" t="s">
        <v>1016</v>
      </c>
      <c r="H1257" t="s">
        <v>9557</v>
      </c>
      <c r="J1257">
        <v>193348</v>
      </c>
      <c r="L1257">
        <v>65627</v>
      </c>
      <c r="O1257">
        <v>134</v>
      </c>
    </row>
    <row r="1258" spans="1:15" x14ac:dyDescent="0.25">
      <c r="A1258" t="s">
        <v>564</v>
      </c>
      <c r="B1258" t="s">
        <v>28</v>
      </c>
      <c r="C1258" t="s">
        <v>149</v>
      </c>
      <c r="D1258" t="s">
        <v>76</v>
      </c>
      <c r="E1258" t="s">
        <v>1018</v>
      </c>
      <c r="F1258" t="s">
        <v>78</v>
      </c>
      <c r="G1258" t="s">
        <v>1019</v>
      </c>
      <c r="H1258" t="s">
        <v>9582</v>
      </c>
      <c r="J1258">
        <v>193348</v>
      </c>
      <c r="L1258">
        <v>65627</v>
      </c>
      <c r="O1258">
        <v>135</v>
      </c>
    </row>
    <row r="1259" spans="1:15" x14ac:dyDescent="0.25">
      <c r="A1259" t="s">
        <v>564</v>
      </c>
      <c r="B1259" t="s">
        <v>28</v>
      </c>
      <c r="C1259" t="s">
        <v>149</v>
      </c>
      <c r="D1259" t="s">
        <v>76</v>
      </c>
      <c r="E1259" t="s">
        <v>692</v>
      </c>
      <c r="F1259" t="s">
        <v>78</v>
      </c>
      <c r="G1259" t="s">
        <v>693</v>
      </c>
      <c r="H1259" t="s">
        <v>9568</v>
      </c>
      <c r="J1259">
        <v>193348</v>
      </c>
      <c r="L1259">
        <v>65627</v>
      </c>
      <c r="O1259">
        <v>136</v>
      </c>
    </row>
    <row r="1260" spans="1:15" x14ac:dyDescent="0.25">
      <c r="A1260" t="s">
        <v>564</v>
      </c>
      <c r="B1260" t="s">
        <v>28</v>
      </c>
      <c r="C1260" t="s">
        <v>149</v>
      </c>
      <c r="D1260" t="s">
        <v>76</v>
      </c>
      <c r="E1260" t="s">
        <v>1027</v>
      </c>
      <c r="F1260" t="s">
        <v>78</v>
      </c>
      <c r="G1260" t="s">
        <v>1028</v>
      </c>
      <c r="H1260" t="s">
        <v>9604</v>
      </c>
      <c r="J1260">
        <v>193348</v>
      </c>
      <c r="L1260">
        <v>65627</v>
      </c>
      <c r="O1260">
        <v>137</v>
      </c>
    </row>
    <row r="1261" spans="1:15" x14ac:dyDescent="0.25">
      <c r="A1261" t="s">
        <v>564</v>
      </c>
      <c r="B1261" t="s">
        <v>28</v>
      </c>
      <c r="C1261" t="s">
        <v>149</v>
      </c>
      <c r="D1261" t="s">
        <v>76</v>
      </c>
      <c r="E1261" t="s">
        <v>1030</v>
      </c>
      <c r="F1261" t="s">
        <v>78</v>
      </c>
      <c r="G1261" t="s">
        <v>1031</v>
      </c>
      <c r="H1261" t="s">
        <v>9590</v>
      </c>
      <c r="J1261">
        <v>193348</v>
      </c>
      <c r="L1261">
        <v>65627</v>
      </c>
      <c r="O1261">
        <v>138</v>
      </c>
    </row>
    <row r="1262" spans="1:15" x14ac:dyDescent="0.25">
      <c r="A1262" t="s">
        <v>564</v>
      </c>
      <c r="B1262" t="s">
        <v>28</v>
      </c>
      <c r="C1262" t="s">
        <v>149</v>
      </c>
      <c r="D1262" t="s">
        <v>76</v>
      </c>
      <c r="E1262" t="s">
        <v>1033</v>
      </c>
      <c r="F1262" t="s">
        <v>78</v>
      </c>
      <c r="G1262" t="s">
        <v>1034</v>
      </c>
      <c r="H1262" t="s">
        <v>9610</v>
      </c>
      <c r="J1262">
        <v>193348</v>
      </c>
      <c r="L1262">
        <v>65627</v>
      </c>
      <c r="O1262">
        <v>139</v>
      </c>
    </row>
    <row r="1263" spans="1:15" x14ac:dyDescent="0.25">
      <c r="A1263" t="s">
        <v>564</v>
      </c>
      <c r="B1263" t="s">
        <v>28</v>
      </c>
      <c r="C1263" t="s">
        <v>149</v>
      </c>
      <c r="D1263" t="s">
        <v>76</v>
      </c>
      <c r="E1263" t="s">
        <v>1042</v>
      </c>
      <c r="F1263" t="s">
        <v>78</v>
      </c>
      <c r="G1263" t="s">
        <v>1043</v>
      </c>
      <c r="H1263" t="s">
        <v>9583</v>
      </c>
      <c r="J1263">
        <v>193348</v>
      </c>
      <c r="L1263">
        <v>65627</v>
      </c>
      <c r="O1263">
        <v>140</v>
      </c>
    </row>
    <row r="1264" spans="1:15" x14ac:dyDescent="0.25">
      <c r="A1264" t="s">
        <v>564</v>
      </c>
      <c r="B1264" t="s">
        <v>28</v>
      </c>
      <c r="C1264" t="s">
        <v>149</v>
      </c>
      <c r="D1264" t="s">
        <v>76</v>
      </c>
      <c r="E1264" t="s">
        <v>10855</v>
      </c>
      <c r="F1264" t="s">
        <v>78</v>
      </c>
      <c r="G1264" t="s">
        <v>10856</v>
      </c>
      <c r="H1264" t="s">
        <v>10863</v>
      </c>
      <c r="J1264">
        <v>193348</v>
      </c>
      <c r="L1264">
        <v>65627</v>
      </c>
      <c r="O1264">
        <v>141</v>
      </c>
    </row>
    <row r="1265" spans="1:15" x14ac:dyDescent="0.25">
      <c r="A1265" t="s">
        <v>564</v>
      </c>
      <c r="B1265" t="s">
        <v>28</v>
      </c>
      <c r="C1265" t="s">
        <v>149</v>
      </c>
      <c r="D1265" t="s">
        <v>76</v>
      </c>
      <c r="E1265" t="s">
        <v>1048</v>
      </c>
      <c r="F1265" t="s">
        <v>78</v>
      </c>
      <c r="G1265" t="s">
        <v>1049</v>
      </c>
      <c r="H1265" t="s">
        <v>9606</v>
      </c>
      <c r="J1265">
        <v>193348</v>
      </c>
      <c r="L1265">
        <v>65627</v>
      </c>
      <c r="O1265">
        <v>142</v>
      </c>
    </row>
    <row r="1266" spans="1:15" x14ac:dyDescent="0.25">
      <c r="A1266" t="s">
        <v>564</v>
      </c>
      <c r="B1266" t="s">
        <v>28</v>
      </c>
      <c r="C1266" t="s">
        <v>149</v>
      </c>
      <c r="D1266" t="s">
        <v>76</v>
      </c>
      <c r="E1266" t="s">
        <v>1051</v>
      </c>
      <c r="F1266" t="s">
        <v>78</v>
      </c>
      <c r="G1266" t="s">
        <v>1052</v>
      </c>
      <c r="H1266" t="s">
        <v>9603</v>
      </c>
      <c r="J1266">
        <v>193348</v>
      </c>
      <c r="L1266">
        <v>65627</v>
      </c>
      <c r="O1266">
        <v>143</v>
      </c>
    </row>
    <row r="1267" spans="1:15" x14ac:dyDescent="0.25">
      <c r="A1267" t="s">
        <v>564</v>
      </c>
      <c r="B1267" t="s">
        <v>28</v>
      </c>
      <c r="C1267" t="s">
        <v>149</v>
      </c>
      <c r="D1267" t="s">
        <v>76</v>
      </c>
      <c r="E1267" t="s">
        <v>1054</v>
      </c>
      <c r="F1267" t="s">
        <v>78</v>
      </c>
      <c r="G1267" t="s">
        <v>1055</v>
      </c>
      <c r="H1267" t="s">
        <v>9586</v>
      </c>
      <c r="J1267">
        <v>193348</v>
      </c>
      <c r="L1267">
        <v>65627</v>
      </c>
      <c r="O1267">
        <v>144</v>
      </c>
    </row>
    <row r="1268" spans="1:15" x14ac:dyDescent="0.25">
      <c r="A1268" t="s">
        <v>564</v>
      </c>
      <c r="B1268" t="s">
        <v>28</v>
      </c>
      <c r="C1268" t="s">
        <v>149</v>
      </c>
      <c r="D1268" t="s">
        <v>76</v>
      </c>
      <c r="E1268" t="s">
        <v>1057</v>
      </c>
      <c r="F1268" t="s">
        <v>78</v>
      </c>
      <c r="G1268" t="s">
        <v>1058</v>
      </c>
      <c r="H1268" t="s">
        <v>9594</v>
      </c>
      <c r="J1268">
        <v>193348</v>
      </c>
      <c r="L1268">
        <v>65627</v>
      </c>
      <c r="O1268">
        <v>145</v>
      </c>
    </row>
    <row r="1269" spans="1:15" x14ac:dyDescent="0.25">
      <c r="A1269" t="s">
        <v>564</v>
      </c>
      <c r="B1269" t="s">
        <v>28</v>
      </c>
      <c r="C1269" t="s">
        <v>149</v>
      </c>
      <c r="D1269" t="s">
        <v>76</v>
      </c>
      <c r="E1269" t="s">
        <v>1060</v>
      </c>
      <c r="F1269" t="s">
        <v>78</v>
      </c>
      <c r="G1269" t="s">
        <v>1061</v>
      </c>
      <c r="H1269" t="s">
        <v>9584</v>
      </c>
      <c r="J1269">
        <v>193348</v>
      </c>
      <c r="L1269">
        <v>65627</v>
      </c>
      <c r="O1269">
        <v>146</v>
      </c>
    </row>
    <row r="1270" spans="1:15" x14ac:dyDescent="0.25">
      <c r="A1270" t="s">
        <v>564</v>
      </c>
      <c r="B1270" t="s">
        <v>28</v>
      </c>
      <c r="C1270" t="s">
        <v>149</v>
      </c>
      <c r="D1270" t="s">
        <v>76</v>
      </c>
      <c r="E1270" t="s">
        <v>1066</v>
      </c>
      <c r="F1270" t="s">
        <v>78</v>
      </c>
      <c r="G1270" t="s">
        <v>1067</v>
      </c>
      <c r="H1270" t="s">
        <v>9581</v>
      </c>
      <c r="J1270">
        <v>193348</v>
      </c>
      <c r="L1270">
        <v>65627</v>
      </c>
      <c r="O1270">
        <v>147</v>
      </c>
    </row>
    <row r="1271" spans="1:15" x14ac:dyDescent="0.25">
      <c r="A1271" t="s">
        <v>564</v>
      </c>
      <c r="B1271" t="s">
        <v>28</v>
      </c>
      <c r="C1271" t="s">
        <v>149</v>
      </c>
      <c r="D1271" t="s">
        <v>76</v>
      </c>
      <c r="E1271" t="s">
        <v>1072</v>
      </c>
      <c r="F1271" t="s">
        <v>78</v>
      </c>
      <c r="G1271" t="s">
        <v>1073</v>
      </c>
      <c r="H1271" t="s">
        <v>9580</v>
      </c>
      <c r="J1271">
        <v>193348</v>
      </c>
      <c r="L1271">
        <v>65627</v>
      </c>
      <c r="O1271">
        <v>148</v>
      </c>
    </row>
    <row r="1272" spans="1:15" x14ac:dyDescent="0.25">
      <c r="A1272" t="s">
        <v>564</v>
      </c>
      <c r="B1272" t="s">
        <v>28</v>
      </c>
      <c r="C1272" t="s">
        <v>149</v>
      </c>
      <c r="D1272" t="s">
        <v>76</v>
      </c>
      <c r="E1272" t="s">
        <v>1075</v>
      </c>
      <c r="F1272" t="s">
        <v>78</v>
      </c>
      <c r="G1272" t="s">
        <v>1076</v>
      </c>
      <c r="H1272" t="s">
        <v>9579</v>
      </c>
      <c r="J1272">
        <v>193348</v>
      </c>
      <c r="L1272">
        <v>65627</v>
      </c>
      <c r="O1272">
        <v>149</v>
      </c>
    </row>
    <row r="1273" spans="1:15" x14ac:dyDescent="0.25">
      <c r="A1273" t="s">
        <v>564</v>
      </c>
      <c r="B1273" t="s">
        <v>28</v>
      </c>
      <c r="C1273" t="s">
        <v>149</v>
      </c>
      <c r="D1273" t="s">
        <v>76</v>
      </c>
      <c r="E1273" t="s">
        <v>1078</v>
      </c>
      <c r="F1273" t="s">
        <v>78</v>
      </c>
      <c r="G1273" t="s">
        <v>1079</v>
      </c>
      <c r="H1273" t="s">
        <v>9563</v>
      </c>
      <c r="J1273">
        <v>193348</v>
      </c>
      <c r="L1273">
        <v>65627</v>
      </c>
      <c r="O1273">
        <v>150</v>
      </c>
    </row>
    <row r="1274" spans="1:15" x14ac:dyDescent="0.25">
      <c r="A1274" t="s">
        <v>564</v>
      </c>
      <c r="B1274" t="s">
        <v>28</v>
      </c>
      <c r="C1274" t="s">
        <v>149</v>
      </c>
      <c r="D1274" t="s">
        <v>76</v>
      </c>
      <c r="E1274" t="s">
        <v>1081</v>
      </c>
      <c r="F1274" t="s">
        <v>78</v>
      </c>
      <c r="G1274" t="s">
        <v>1082</v>
      </c>
      <c r="H1274" t="s">
        <v>9553</v>
      </c>
      <c r="J1274">
        <v>193348</v>
      </c>
      <c r="L1274">
        <v>65627</v>
      </c>
      <c r="O1274">
        <v>151</v>
      </c>
    </row>
    <row r="1275" spans="1:15" x14ac:dyDescent="0.25">
      <c r="A1275" t="s">
        <v>564</v>
      </c>
      <c r="B1275" t="s">
        <v>28</v>
      </c>
      <c r="C1275" t="s">
        <v>149</v>
      </c>
      <c r="D1275" t="s">
        <v>76</v>
      </c>
      <c r="E1275" t="s">
        <v>1093</v>
      </c>
      <c r="F1275" t="s">
        <v>78</v>
      </c>
      <c r="G1275" t="s">
        <v>1094</v>
      </c>
      <c r="H1275" t="s">
        <v>9554</v>
      </c>
      <c r="J1275">
        <v>193348</v>
      </c>
      <c r="L1275">
        <v>65627</v>
      </c>
      <c r="O1275">
        <v>152</v>
      </c>
    </row>
    <row r="1276" spans="1:15" x14ac:dyDescent="0.25">
      <c r="A1276" t="s">
        <v>564</v>
      </c>
      <c r="B1276" t="s">
        <v>28</v>
      </c>
      <c r="C1276" t="s">
        <v>149</v>
      </c>
      <c r="D1276" t="s">
        <v>76</v>
      </c>
      <c r="E1276" t="s">
        <v>1096</v>
      </c>
      <c r="F1276" t="s">
        <v>78</v>
      </c>
      <c r="G1276" t="s">
        <v>1097</v>
      </c>
      <c r="H1276" t="s">
        <v>9577</v>
      </c>
      <c r="J1276">
        <v>193348</v>
      </c>
      <c r="L1276">
        <v>65627</v>
      </c>
      <c r="O1276">
        <v>153</v>
      </c>
    </row>
    <row r="1277" spans="1:15" x14ac:dyDescent="0.25">
      <c r="A1277" t="s">
        <v>564</v>
      </c>
      <c r="B1277" t="s">
        <v>28</v>
      </c>
      <c r="C1277" t="s">
        <v>149</v>
      </c>
      <c r="D1277" t="s">
        <v>76</v>
      </c>
      <c r="E1277" t="s">
        <v>8468</v>
      </c>
      <c r="F1277" t="s">
        <v>78</v>
      </c>
      <c r="G1277" t="s">
        <v>8469</v>
      </c>
      <c r="H1277" t="s">
        <v>9644</v>
      </c>
      <c r="J1277">
        <v>193348</v>
      </c>
      <c r="L1277">
        <v>65627</v>
      </c>
      <c r="O1277">
        <v>154</v>
      </c>
    </row>
    <row r="1278" spans="1:15" x14ac:dyDescent="0.25">
      <c r="A1278" t="s">
        <v>564</v>
      </c>
      <c r="B1278" t="s">
        <v>28</v>
      </c>
      <c r="C1278" t="s">
        <v>149</v>
      </c>
      <c r="D1278" t="s">
        <v>76</v>
      </c>
      <c r="E1278" t="s">
        <v>688</v>
      </c>
      <c r="F1278" t="s">
        <v>78</v>
      </c>
      <c r="G1278" t="s">
        <v>689</v>
      </c>
      <c r="H1278" t="s">
        <v>9572</v>
      </c>
      <c r="J1278">
        <v>193348</v>
      </c>
      <c r="L1278">
        <v>65627</v>
      </c>
      <c r="O1278">
        <v>155</v>
      </c>
    </row>
    <row r="1279" spans="1:15" x14ac:dyDescent="0.25">
      <c r="A1279" t="s">
        <v>564</v>
      </c>
      <c r="B1279" t="s">
        <v>28</v>
      </c>
      <c r="C1279" t="s">
        <v>149</v>
      </c>
      <c r="D1279" t="s">
        <v>76</v>
      </c>
      <c r="E1279" t="s">
        <v>858</v>
      </c>
      <c r="F1279" t="s">
        <v>78</v>
      </c>
      <c r="G1279" t="s">
        <v>859</v>
      </c>
      <c r="H1279" t="s">
        <v>9575</v>
      </c>
      <c r="J1279">
        <v>193348</v>
      </c>
      <c r="L1279">
        <v>65627</v>
      </c>
      <c r="O1279">
        <v>156</v>
      </c>
    </row>
    <row r="1280" spans="1:15" x14ac:dyDescent="0.25">
      <c r="A1280" t="s">
        <v>564</v>
      </c>
      <c r="B1280" t="s">
        <v>28</v>
      </c>
      <c r="C1280" t="s">
        <v>149</v>
      </c>
      <c r="D1280" t="s">
        <v>76</v>
      </c>
      <c r="E1280" t="s">
        <v>8399</v>
      </c>
      <c r="F1280" t="s">
        <v>78</v>
      </c>
      <c r="G1280" t="s">
        <v>8400</v>
      </c>
      <c r="H1280" t="s">
        <v>9545</v>
      </c>
      <c r="J1280">
        <v>193348</v>
      </c>
      <c r="L1280">
        <v>65627</v>
      </c>
      <c r="O1280">
        <v>157</v>
      </c>
    </row>
    <row r="1281" spans="1:17" x14ac:dyDescent="0.25">
      <c r="A1281" t="s">
        <v>564</v>
      </c>
      <c r="B1281" t="s">
        <v>28</v>
      </c>
      <c r="C1281" t="s">
        <v>149</v>
      </c>
      <c r="D1281" t="s">
        <v>76</v>
      </c>
      <c r="E1281" t="s">
        <v>596</v>
      </c>
      <c r="F1281" t="s">
        <v>78</v>
      </c>
      <c r="G1281" t="s">
        <v>597</v>
      </c>
      <c r="H1281" t="s">
        <v>9564</v>
      </c>
      <c r="J1281">
        <v>193348</v>
      </c>
      <c r="L1281">
        <v>65627</v>
      </c>
      <c r="O1281">
        <v>158</v>
      </c>
    </row>
    <row r="1282" spans="1:17" x14ac:dyDescent="0.25">
      <c r="A1282" t="s">
        <v>564</v>
      </c>
      <c r="B1282" t="s">
        <v>28</v>
      </c>
      <c r="C1282" t="s">
        <v>149</v>
      </c>
      <c r="D1282" t="s">
        <v>76</v>
      </c>
      <c r="E1282" t="s">
        <v>861</v>
      </c>
      <c r="F1282" t="s">
        <v>78</v>
      </c>
      <c r="G1282" t="s">
        <v>862</v>
      </c>
      <c r="H1282" t="s">
        <v>9570</v>
      </c>
      <c r="J1282">
        <v>193348</v>
      </c>
      <c r="L1282">
        <v>65627</v>
      </c>
      <c r="O1282">
        <v>159</v>
      </c>
    </row>
    <row r="1283" spans="1:17" x14ac:dyDescent="0.25">
      <c r="A1283" t="s">
        <v>564</v>
      </c>
      <c r="B1283" t="s">
        <v>28</v>
      </c>
      <c r="C1283" t="s">
        <v>149</v>
      </c>
      <c r="D1283" t="s">
        <v>76</v>
      </c>
      <c r="E1283" t="s">
        <v>674</v>
      </c>
      <c r="F1283" t="s">
        <v>78</v>
      </c>
      <c r="G1283" t="s">
        <v>675</v>
      </c>
      <c r="H1283" t="s">
        <v>9541</v>
      </c>
      <c r="J1283">
        <v>193348</v>
      </c>
      <c r="L1283">
        <v>65627</v>
      </c>
      <c r="O1283">
        <v>160</v>
      </c>
    </row>
    <row r="1284" spans="1:17" x14ac:dyDescent="0.25">
      <c r="A1284" t="s">
        <v>564</v>
      </c>
      <c r="B1284" t="s">
        <v>28</v>
      </c>
      <c r="C1284" t="s">
        <v>149</v>
      </c>
      <c r="D1284" t="s">
        <v>76</v>
      </c>
      <c r="E1284" t="s">
        <v>873</v>
      </c>
      <c r="F1284" t="s">
        <v>78</v>
      </c>
      <c r="G1284" t="s">
        <v>874</v>
      </c>
      <c r="H1284" t="s">
        <v>9551</v>
      </c>
      <c r="J1284">
        <v>193348</v>
      </c>
      <c r="L1284">
        <v>65627</v>
      </c>
      <c r="O1284">
        <v>161</v>
      </c>
    </row>
    <row r="1285" spans="1:17" x14ac:dyDescent="0.25">
      <c r="A1285" t="s">
        <v>564</v>
      </c>
      <c r="B1285" t="s">
        <v>28</v>
      </c>
      <c r="C1285" t="s">
        <v>149</v>
      </c>
      <c r="D1285" t="s">
        <v>76</v>
      </c>
      <c r="E1285" t="s">
        <v>694</v>
      </c>
      <c r="F1285" t="s">
        <v>78</v>
      </c>
      <c r="G1285" t="s">
        <v>695</v>
      </c>
      <c r="H1285" t="s">
        <v>9558</v>
      </c>
      <c r="J1285">
        <v>193348</v>
      </c>
      <c r="L1285">
        <v>65627</v>
      </c>
      <c r="O1285">
        <v>162</v>
      </c>
    </row>
    <row r="1286" spans="1:17" x14ac:dyDescent="0.25">
      <c r="A1286" t="s">
        <v>564</v>
      </c>
      <c r="B1286" t="s">
        <v>28</v>
      </c>
      <c r="C1286" t="s">
        <v>149</v>
      </c>
      <c r="D1286" t="s">
        <v>76</v>
      </c>
      <c r="E1286" t="s">
        <v>886</v>
      </c>
      <c r="F1286" t="s">
        <v>78</v>
      </c>
      <c r="G1286" t="s">
        <v>887</v>
      </c>
      <c r="H1286" t="s">
        <v>9535</v>
      </c>
      <c r="J1286">
        <v>193348</v>
      </c>
      <c r="L1286">
        <v>65627</v>
      </c>
      <c r="O1286">
        <v>163</v>
      </c>
    </row>
    <row r="1287" spans="1:17" x14ac:dyDescent="0.25">
      <c r="A1287" t="s">
        <v>564</v>
      </c>
      <c r="B1287" t="s">
        <v>28</v>
      </c>
      <c r="C1287" t="s">
        <v>149</v>
      </c>
      <c r="D1287" t="s">
        <v>76</v>
      </c>
      <c r="E1287" t="s">
        <v>684</v>
      </c>
      <c r="F1287" t="s">
        <v>78</v>
      </c>
      <c r="G1287" t="s">
        <v>685</v>
      </c>
      <c r="H1287" t="s">
        <v>9549</v>
      </c>
      <c r="J1287">
        <v>193348</v>
      </c>
      <c r="L1287">
        <v>65627</v>
      </c>
      <c r="O1287">
        <v>164</v>
      </c>
    </row>
    <row r="1288" spans="1:17" x14ac:dyDescent="0.25">
      <c r="A1288" t="s">
        <v>564</v>
      </c>
      <c r="B1288" t="s">
        <v>28</v>
      </c>
      <c r="C1288" t="s">
        <v>149</v>
      </c>
      <c r="D1288" t="s">
        <v>76</v>
      </c>
      <c r="E1288" t="s">
        <v>890</v>
      </c>
      <c r="F1288" t="s">
        <v>78</v>
      </c>
      <c r="G1288" t="s">
        <v>891</v>
      </c>
      <c r="H1288" t="s">
        <v>9552</v>
      </c>
      <c r="J1288">
        <v>193348</v>
      </c>
      <c r="L1288">
        <v>65627</v>
      </c>
      <c r="O1288">
        <v>165</v>
      </c>
    </row>
    <row r="1289" spans="1:17" x14ac:dyDescent="0.25">
      <c r="A1289" t="s">
        <v>564</v>
      </c>
      <c r="B1289" t="s">
        <v>28</v>
      </c>
      <c r="C1289" t="s">
        <v>149</v>
      </c>
      <c r="D1289" t="s">
        <v>76</v>
      </c>
      <c r="E1289" t="s">
        <v>686</v>
      </c>
      <c r="F1289" t="s">
        <v>78</v>
      </c>
      <c r="G1289" t="s">
        <v>687</v>
      </c>
      <c r="H1289" t="s">
        <v>9620</v>
      </c>
      <c r="J1289">
        <v>193348</v>
      </c>
      <c r="L1289">
        <v>65627</v>
      </c>
      <c r="O1289">
        <v>166</v>
      </c>
    </row>
    <row r="1290" spans="1:17" x14ac:dyDescent="0.25">
      <c r="A1290" t="s">
        <v>564</v>
      </c>
      <c r="B1290" t="s">
        <v>28</v>
      </c>
      <c r="C1290" t="s">
        <v>149</v>
      </c>
      <c r="D1290" t="s">
        <v>59</v>
      </c>
      <c r="E1290" t="s">
        <v>78</v>
      </c>
      <c r="F1290" t="s">
        <v>78</v>
      </c>
      <c r="G1290" t="s">
        <v>696</v>
      </c>
      <c r="H1290" t="s">
        <v>9645</v>
      </c>
      <c r="I1290">
        <v>0.66057574942590558</v>
      </c>
      <c r="J1290">
        <v>193348</v>
      </c>
      <c r="K1290">
        <v>1</v>
      </c>
      <c r="L1290">
        <v>127721</v>
      </c>
      <c r="M1290">
        <v>127721</v>
      </c>
      <c r="N1290">
        <v>2.3999999999999998E-3</v>
      </c>
      <c r="O1290">
        <v>1</v>
      </c>
    </row>
    <row r="1291" spans="1:17" x14ac:dyDescent="0.25">
      <c r="A1291" t="s">
        <v>564</v>
      </c>
      <c r="B1291" t="s">
        <v>28</v>
      </c>
      <c r="C1291" t="s">
        <v>149</v>
      </c>
      <c r="D1291" t="s">
        <v>59</v>
      </c>
      <c r="E1291" t="s">
        <v>72</v>
      </c>
      <c r="F1291" t="s">
        <v>78</v>
      </c>
      <c r="G1291" t="s">
        <v>705</v>
      </c>
      <c r="H1291" t="s">
        <v>9647</v>
      </c>
      <c r="I1291">
        <v>0.34848046010302669</v>
      </c>
      <c r="J1291">
        <v>193348</v>
      </c>
      <c r="K1291">
        <v>0.52754049843017203</v>
      </c>
      <c r="L1291">
        <v>127721</v>
      </c>
      <c r="M1291">
        <v>67378</v>
      </c>
      <c r="N1291">
        <v>8.9999999999999998E-4</v>
      </c>
      <c r="O1291">
        <v>2</v>
      </c>
    </row>
    <row r="1292" spans="1:17" x14ac:dyDescent="0.25">
      <c r="A1292" t="s">
        <v>564</v>
      </c>
      <c r="B1292" t="s">
        <v>28</v>
      </c>
      <c r="C1292" t="s">
        <v>149</v>
      </c>
      <c r="D1292" t="s">
        <v>59</v>
      </c>
      <c r="E1292" t="s">
        <v>72</v>
      </c>
      <c r="F1292" t="s">
        <v>73</v>
      </c>
      <c r="G1292" t="s">
        <v>706</v>
      </c>
      <c r="H1292" t="s">
        <v>9648</v>
      </c>
      <c r="I1292">
        <v>0.34836667563150381</v>
      </c>
      <c r="J1292">
        <v>193348</v>
      </c>
      <c r="K1292">
        <v>0.52736824797801463</v>
      </c>
      <c r="L1292">
        <v>127721</v>
      </c>
      <c r="M1292">
        <v>67356</v>
      </c>
      <c r="N1292">
        <v>8.9999999999999998E-4</v>
      </c>
      <c r="O1292">
        <v>3</v>
      </c>
      <c r="Q1292">
        <v>6</v>
      </c>
    </row>
    <row r="1293" spans="1:17" x14ac:dyDescent="0.25">
      <c r="A1293" t="s">
        <v>564</v>
      </c>
      <c r="B1293" t="s">
        <v>28</v>
      </c>
      <c r="C1293" t="s">
        <v>149</v>
      </c>
      <c r="D1293" t="s">
        <v>59</v>
      </c>
      <c r="E1293" t="s">
        <v>60</v>
      </c>
      <c r="F1293" t="s">
        <v>78</v>
      </c>
      <c r="G1293" t="s">
        <v>697</v>
      </c>
      <c r="H1293" t="s">
        <v>9646</v>
      </c>
      <c r="I1293">
        <v>0.31831205908517279</v>
      </c>
      <c r="J1293">
        <v>193348</v>
      </c>
      <c r="K1293">
        <v>0.48187063991042978</v>
      </c>
      <c r="L1293">
        <v>127721</v>
      </c>
      <c r="M1293">
        <v>61545</v>
      </c>
      <c r="N1293">
        <v>3.3999999999999998E-3</v>
      </c>
      <c r="O1293">
        <v>4</v>
      </c>
    </row>
    <row r="1294" spans="1:17" x14ac:dyDescent="0.25">
      <c r="A1294" t="s">
        <v>564</v>
      </c>
      <c r="B1294" t="s">
        <v>28</v>
      </c>
      <c r="C1294" t="s">
        <v>149</v>
      </c>
      <c r="D1294" t="s">
        <v>59</v>
      </c>
      <c r="E1294" t="s">
        <v>60</v>
      </c>
      <c r="F1294" t="s">
        <v>61</v>
      </c>
      <c r="G1294" t="s">
        <v>698</v>
      </c>
      <c r="H1294" t="s">
        <v>9649</v>
      </c>
      <c r="I1294">
        <v>0.1365620539131514</v>
      </c>
      <c r="J1294">
        <v>193348</v>
      </c>
      <c r="K1294">
        <v>0.20673186085295289</v>
      </c>
      <c r="L1294">
        <v>127721</v>
      </c>
      <c r="M1294">
        <v>26404</v>
      </c>
      <c r="N1294">
        <v>5.7999999999999996E-3</v>
      </c>
      <c r="O1294">
        <v>5</v>
      </c>
      <c r="Q1294">
        <v>1</v>
      </c>
    </row>
    <row r="1295" spans="1:17" x14ac:dyDescent="0.25">
      <c r="A1295" t="s">
        <v>564</v>
      </c>
      <c r="B1295" t="s">
        <v>28</v>
      </c>
      <c r="C1295" t="s">
        <v>149</v>
      </c>
      <c r="D1295" t="s">
        <v>59</v>
      </c>
      <c r="E1295" t="s">
        <v>60</v>
      </c>
      <c r="F1295" t="s">
        <v>62</v>
      </c>
      <c r="G1295" t="s">
        <v>699</v>
      </c>
      <c r="H1295" t="s">
        <v>9650</v>
      </c>
      <c r="I1295">
        <v>0.13354159339636301</v>
      </c>
      <c r="J1295">
        <v>193348</v>
      </c>
      <c r="K1295">
        <v>0.2021593943047737</v>
      </c>
      <c r="L1295">
        <v>127721</v>
      </c>
      <c r="M1295">
        <v>25820</v>
      </c>
      <c r="N1295">
        <v>4.0000000000000002E-4</v>
      </c>
      <c r="O1295">
        <v>6</v>
      </c>
      <c r="Q1295">
        <v>2</v>
      </c>
    </row>
    <row r="1296" spans="1:17" x14ac:dyDescent="0.25">
      <c r="A1296" t="s">
        <v>564</v>
      </c>
      <c r="B1296" t="s">
        <v>28</v>
      </c>
      <c r="C1296" t="s">
        <v>149</v>
      </c>
      <c r="D1296" t="s">
        <v>59</v>
      </c>
      <c r="E1296" t="s">
        <v>60</v>
      </c>
      <c r="F1296" t="s">
        <v>63</v>
      </c>
      <c r="G1296" t="s">
        <v>702</v>
      </c>
      <c r="H1296" t="s">
        <v>9651</v>
      </c>
      <c r="I1296">
        <v>6.8606864306845691E-2</v>
      </c>
      <c r="J1296">
        <v>193348</v>
      </c>
      <c r="K1296">
        <v>0.1038591930849273</v>
      </c>
      <c r="L1296">
        <v>127721</v>
      </c>
      <c r="M1296">
        <v>13265</v>
      </c>
      <c r="N1296">
        <v>4.5999999999999999E-3</v>
      </c>
      <c r="O1296">
        <v>7</v>
      </c>
      <c r="Q1296">
        <v>3</v>
      </c>
    </row>
    <row r="1297" spans="1:17" x14ac:dyDescent="0.25">
      <c r="A1297" t="s">
        <v>564</v>
      </c>
      <c r="B1297" t="s">
        <v>28</v>
      </c>
      <c r="C1297" t="s">
        <v>149</v>
      </c>
      <c r="D1297" t="s">
        <v>59</v>
      </c>
      <c r="E1297" t="s">
        <v>64</v>
      </c>
      <c r="F1297" t="s">
        <v>78</v>
      </c>
      <c r="G1297" t="s">
        <v>703</v>
      </c>
      <c r="H1297" t="s">
        <v>9652</v>
      </c>
      <c r="I1297">
        <v>1.272834474626063E-2</v>
      </c>
      <c r="J1297">
        <v>193348</v>
      </c>
      <c r="K1297">
        <v>1.926856194361147E-2</v>
      </c>
      <c r="L1297">
        <v>127721</v>
      </c>
      <c r="M1297">
        <v>2461</v>
      </c>
      <c r="N1297">
        <v>1.83E-2</v>
      </c>
      <c r="O1297">
        <v>8</v>
      </c>
    </row>
    <row r="1298" spans="1:17" x14ac:dyDescent="0.25">
      <c r="A1298" t="s">
        <v>564</v>
      </c>
      <c r="B1298" t="s">
        <v>28</v>
      </c>
      <c r="C1298" t="s">
        <v>149</v>
      </c>
      <c r="D1298" t="s">
        <v>59</v>
      </c>
      <c r="E1298" t="s">
        <v>64</v>
      </c>
      <c r="F1298" t="s">
        <v>65</v>
      </c>
      <c r="G1298" t="s">
        <v>704</v>
      </c>
      <c r="H1298" t="s">
        <v>9653</v>
      </c>
      <c r="I1298">
        <v>1.272834474626063E-2</v>
      </c>
      <c r="J1298">
        <v>193348</v>
      </c>
      <c r="K1298">
        <v>1.926856194361147E-2</v>
      </c>
      <c r="L1298">
        <v>127721</v>
      </c>
      <c r="M1298">
        <v>2461</v>
      </c>
      <c r="N1298">
        <v>1.83E-2</v>
      </c>
      <c r="O1298">
        <v>9</v>
      </c>
      <c r="Q1298">
        <v>4</v>
      </c>
    </row>
    <row r="1299" spans="1:17" x14ac:dyDescent="0.25">
      <c r="A1299" t="s">
        <v>564</v>
      </c>
      <c r="B1299" t="s">
        <v>28</v>
      </c>
      <c r="C1299" t="s">
        <v>149</v>
      </c>
      <c r="D1299" t="s">
        <v>59</v>
      </c>
      <c r="E1299" t="s">
        <v>72</v>
      </c>
      <c r="F1299" t="s">
        <v>75</v>
      </c>
      <c r="G1299" t="s">
        <v>710</v>
      </c>
      <c r="H1299" t="s">
        <v>9655</v>
      </c>
      <c r="I1299">
        <v>1.3964457868713409E-4</v>
      </c>
      <c r="J1299">
        <v>193348</v>
      </c>
      <c r="K1299">
        <v>2.11398282193218E-4</v>
      </c>
      <c r="L1299">
        <v>127721</v>
      </c>
      <c r="M1299">
        <v>27</v>
      </c>
      <c r="O1299">
        <v>10</v>
      </c>
      <c r="Q1299">
        <v>7</v>
      </c>
    </row>
    <row r="1300" spans="1:17" x14ac:dyDescent="0.25">
      <c r="A1300" t="s">
        <v>564</v>
      </c>
      <c r="B1300" t="s">
        <v>28</v>
      </c>
      <c r="C1300" t="s">
        <v>149</v>
      </c>
      <c r="D1300" t="s">
        <v>59</v>
      </c>
      <c r="E1300" t="s">
        <v>72</v>
      </c>
      <c r="F1300" t="s">
        <v>74</v>
      </c>
      <c r="G1300" t="s">
        <v>708</v>
      </c>
      <c r="H1300" t="s">
        <v>9658</v>
      </c>
      <c r="I1300">
        <v>1.5516064298570451E-5</v>
      </c>
      <c r="J1300">
        <v>193348</v>
      </c>
      <c r="K1300">
        <v>2.3488698021468669E-5</v>
      </c>
      <c r="L1300">
        <v>127721</v>
      </c>
      <c r="M1300">
        <v>3</v>
      </c>
      <c r="O1300">
        <v>11</v>
      </c>
      <c r="Q1300">
        <v>9</v>
      </c>
    </row>
    <row r="1301" spans="1:17" x14ac:dyDescent="0.25">
      <c r="A1301" t="s">
        <v>564</v>
      </c>
      <c r="B1301" t="s">
        <v>28</v>
      </c>
      <c r="C1301" t="s">
        <v>149</v>
      </c>
      <c r="D1301" t="s">
        <v>59</v>
      </c>
      <c r="E1301" t="s">
        <v>68</v>
      </c>
      <c r="F1301" t="s">
        <v>78</v>
      </c>
      <c r="G1301" t="s">
        <v>700</v>
      </c>
      <c r="H1301" t="s">
        <v>9654</v>
      </c>
      <c r="I1301">
        <v>1.034404286571363E-5</v>
      </c>
      <c r="J1301">
        <v>193348</v>
      </c>
      <c r="K1301">
        <v>1.5659132014312449E-5</v>
      </c>
      <c r="L1301">
        <v>127721</v>
      </c>
      <c r="M1301">
        <v>2</v>
      </c>
      <c r="O1301">
        <v>12</v>
      </c>
    </row>
    <row r="1302" spans="1:17" x14ac:dyDescent="0.25">
      <c r="A1302" t="s">
        <v>564</v>
      </c>
      <c r="B1302" t="s">
        <v>28</v>
      </c>
      <c r="C1302" t="s">
        <v>149</v>
      </c>
      <c r="D1302" t="s">
        <v>59</v>
      </c>
      <c r="E1302" t="s">
        <v>68</v>
      </c>
      <c r="F1302" t="s">
        <v>69</v>
      </c>
      <c r="G1302" t="s">
        <v>701</v>
      </c>
      <c r="H1302" t="s">
        <v>9657</v>
      </c>
      <c r="I1302">
        <v>1.034404286571363E-5</v>
      </c>
      <c r="J1302">
        <v>193348</v>
      </c>
      <c r="K1302">
        <v>1.5659132014312449E-5</v>
      </c>
      <c r="L1302">
        <v>127721</v>
      </c>
      <c r="M1302">
        <v>2</v>
      </c>
      <c r="O1302">
        <v>13</v>
      </c>
      <c r="Q1302">
        <v>11</v>
      </c>
    </row>
    <row r="1303" spans="1:17" x14ac:dyDescent="0.25">
      <c r="A1303" t="s">
        <v>564</v>
      </c>
      <c r="B1303" t="s">
        <v>28</v>
      </c>
      <c r="C1303" t="s">
        <v>149</v>
      </c>
      <c r="D1303" t="s">
        <v>59</v>
      </c>
      <c r="E1303" t="s">
        <v>64</v>
      </c>
      <c r="F1303" t="s">
        <v>8535</v>
      </c>
      <c r="G1303" t="s">
        <v>8536</v>
      </c>
      <c r="H1303" t="s">
        <v>9660</v>
      </c>
      <c r="J1303">
        <v>193348</v>
      </c>
      <c r="L1303">
        <v>127721</v>
      </c>
      <c r="O1303">
        <v>14</v>
      </c>
    </row>
    <row r="1304" spans="1:17" x14ac:dyDescent="0.25">
      <c r="A1304" t="s">
        <v>564</v>
      </c>
      <c r="B1304" t="s">
        <v>28</v>
      </c>
      <c r="C1304" t="s">
        <v>149</v>
      </c>
      <c r="D1304" t="s">
        <v>59</v>
      </c>
      <c r="E1304" t="s">
        <v>64</v>
      </c>
      <c r="F1304" t="s">
        <v>8543</v>
      </c>
      <c r="G1304" t="s">
        <v>8544</v>
      </c>
      <c r="H1304" t="s">
        <v>9664</v>
      </c>
      <c r="J1304">
        <v>193348</v>
      </c>
      <c r="L1304">
        <v>127721</v>
      </c>
      <c r="O1304">
        <v>15</v>
      </c>
    </row>
    <row r="1305" spans="1:17" x14ac:dyDescent="0.25">
      <c r="A1305" t="s">
        <v>564</v>
      </c>
      <c r="B1305" t="s">
        <v>28</v>
      </c>
      <c r="C1305" t="s">
        <v>149</v>
      </c>
      <c r="D1305" t="s">
        <v>59</v>
      </c>
      <c r="E1305" t="s">
        <v>68</v>
      </c>
      <c r="F1305" t="s">
        <v>71</v>
      </c>
      <c r="G1305" t="s">
        <v>8538</v>
      </c>
      <c r="H1305" t="s">
        <v>9661</v>
      </c>
      <c r="J1305">
        <v>193348</v>
      </c>
      <c r="L1305">
        <v>127721</v>
      </c>
      <c r="O1305">
        <v>16</v>
      </c>
    </row>
    <row r="1306" spans="1:17" x14ac:dyDescent="0.25">
      <c r="A1306" t="s">
        <v>564</v>
      </c>
      <c r="B1306" t="s">
        <v>28</v>
      </c>
      <c r="C1306" t="s">
        <v>149</v>
      </c>
      <c r="D1306" t="s">
        <v>59</v>
      </c>
      <c r="E1306" t="s">
        <v>68</v>
      </c>
      <c r="F1306" t="s">
        <v>70</v>
      </c>
      <c r="G1306" t="s">
        <v>707</v>
      </c>
      <c r="H1306" t="s">
        <v>9656</v>
      </c>
      <c r="J1306">
        <v>193348</v>
      </c>
      <c r="L1306">
        <v>127721</v>
      </c>
      <c r="O1306">
        <v>17</v>
      </c>
      <c r="Q1306">
        <v>10</v>
      </c>
    </row>
    <row r="1307" spans="1:17" x14ac:dyDescent="0.25">
      <c r="A1307" t="s">
        <v>564</v>
      </c>
      <c r="B1307" t="s">
        <v>28</v>
      </c>
      <c r="C1307" t="s">
        <v>149</v>
      </c>
      <c r="D1307" t="s">
        <v>59</v>
      </c>
      <c r="E1307" t="s">
        <v>72</v>
      </c>
      <c r="F1307" t="s">
        <v>352</v>
      </c>
      <c r="G1307" t="s">
        <v>1117</v>
      </c>
      <c r="H1307" t="s">
        <v>9662</v>
      </c>
      <c r="J1307">
        <v>193348</v>
      </c>
      <c r="L1307">
        <v>127721</v>
      </c>
      <c r="O1307">
        <v>18</v>
      </c>
      <c r="Q1307">
        <v>8</v>
      </c>
    </row>
    <row r="1308" spans="1:17" x14ac:dyDescent="0.25">
      <c r="A1308" t="s">
        <v>564</v>
      </c>
      <c r="B1308" t="s">
        <v>28</v>
      </c>
      <c r="C1308" t="s">
        <v>149</v>
      </c>
      <c r="D1308" t="s">
        <v>59</v>
      </c>
      <c r="E1308" t="s">
        <v>64</v>
      </c>
      <c r="F1308" t="s">
        <v>67</v>
      </c>
      <c r="G1308" t="s">
        <v>709</v>
      </c>
      <c r="H1308" t="s">
        <v>9663</v>
      </c>
      <c r="J1308">
        <v>193348</v>
      </c>
      <c r="L1308">
        <v>127721</v>
      </c>
      <c r="O1308">
        <v>19</v>
      </c>
      <c r="Q1308">
        <v>5</v>
      </c>
    </row>
    <row r="1309" spans="1:17" x14ac:dyDescent="0.25">
      <c r="A1309" t="s">
        <v>564</v>
      </c>
      <c r="B1309" t="s">
        <v>28</v>
      </c>
      <c r="C1309" t="s">
        <v>149</v>
      </c>
      <c r="D1309" t="s">
        <v>59</v>
      </c>
      <c r="E1309" t="s">
        <v>64</v>
      </c>
      <c r="F1309" t="s">
        <v>470</v>
      </c>
      <c r="G1309" t="s">
        <v>8540</v>
      </c>
      <c r="H1309" t="s">
        <v>9665</v>
      </c>
      <c r="J1309">
        <v>193348</v>
      </c>
      <c r="L1309">
        <v>127721</v>
      </c>
      <c r="O1309">
        <v>20</v>
      </c>
    </row>
    <row r="1310" spans="1:17" x14ac:dyDescent="0.25">
      <c r="A1310" t="s">
        <v>564</v>
      </c>
      <c r="B1310" t="s">
        <v>28</v>
      </c>
      <c r="C1310" t="s">
        <v>149</v>
      </c>
      <c r="D1310" t="s">
        <v>59</v>
      </c>
      <c r="E1310" t="s">
        <v>64</v>
      </c>
      <c r="F1310" t="s">
        <v>8547</v>
      </c>
      <c r="G1310" t="s">
        <v>8548</v>
      </c>
      <c r="H1310" t="s">
        <v>9659</v>
      </c>
      <c r="J1310">
        <v>193348</v>
      </c>
      <c r="L1310">
        <v>127721</v>
      </c>
      <c r="O1310">
        <v>21</v>
      </c>
    </row>
    <row r="1311" spans="1:17" x14ac:dyDescent="0.25">
      <c r="A1311" t="s">
        <v>564</v>
      </c>
      <c r="B1311" t="s">
        <v>30</v>
      </c>
      <c r="C1311" t="s">
        <v>349</v>
      </c>
      <c r="D1311" t="s">
        <v>76</v>
      </c>
      <c r="E1311" t="s">
        <v>78</v>
      </c>
      <c r="F1311" t="s">
        <v>78</v>
      </c>
      <c r="G1311" t="s">
        <v>575</v>
      </c>
      <c r="H1311" t="s">
        <v>9666</v>
      </c>
      <c r="I1311">
        <v>0.38332998235149568</v>
      </c>
      <c r="J1311">
        <v>44763</v>
      </c>
      <c r="K1311">
        <v>1</v>
      </c>
      <c r="L1311">
        <v>17159</v>
      </c>
      <c r="M1311">
        <v>17159</v>
      </c>
      <c r="N1311">
        <v>0.17660000000000001</v>
      </c>
      <c r="O1311">
        <v>1</v>
      </c>
    </row>
    <row r="1312" spans="1:17" x14ac:dyDescent="0.25">
      <c r="A1312" t="s">
        <v>564</v>
      </c>
      <c r="B1312" t="s">
        <v>30</v>
      </c>
      <c r="C1312" t="s">
        <v>349</v>
      </c>
      <c r="D1312" t="s">
        <v>76</v>
      </c>
      <c r="E1312" t="s">
        <v>80</v>
      </c>
      <c r="F1312" t="s">
        <v>78</v>
      </c>
      <c r="G1312" t="s">
        <v>576</v>
      </c>
      <c r="H1312" t="s">
        <v>9669</v>
      </c>
      <c r="I1312">
        <v>0.1356477447892232</v>
      </c>
      <c r="J1312">
        <v>44763</v>
      </c>
      <c r="K1312">
        <v>0.35386677545311501</v>
      </c>
      <c r="L1312">
        <v>17159</v>
      </c>
      <c r="M1312">
        <v>6072</v>
      </c>
      <c r="N1312">
        <v>7.6600000000000001E-2</v>
      </c>
      <c r="O1312">
        <v>2</v>
      </c>
      <c r="P1312">
        <v>1</v>
      </c>
    </row>
    <row r="1313" spans="1:16" x14ac:dyDescent="0.25">
      <c r="A1313" t="s">
        <v>564</v>
      </c>
      <c r="B1313" t="s">
        <v>30</v>
      </c>
      <c r="C1313" t="s">
        <v>349</v>
      </c>
      <c r="D1313" t="s">
        <v>76</v>
      </c>
      <c r="E1313" t="s">
        <v>80</v>
      </c>
      <c r="F1313" t="s">
        <v>8326</v>
      </c>
      <c r="G1313" t="s">
        <v>8327</v>
      </c>
      <c r="H1313" t="s">
        <v>9670</v>
      </c>
      <c r="I1313">
        <v>0.13176060585751631</v>
      </c>
      <c r="J1313">
        <v>44763</v>
      </c>
      <c r="K1313">
        <v>0.34372632437787748</v>
      </c>
      <c r="L1313">
        <v>17159</v>
      </c>
      <c r="M1313">
        <v>5898</v>
      </c>
      <c r="N1313">
        <v>7.6799999999999993E-2</v>
      </c>
      <c r="O1313">
        <v>3</v>
      </c>
    </row>
    <row r="1314" spans="1:16" x14ac:dyDescent="0.25">
      <c r="A1314" t="s">
        <v>564</v>
      </c>
      <c r="B1314" t="s">
        <v>30</v>
      </c>
      <c r="C1314" t="s">
        <v>349</v>
      </c>
      <c r="D1314" t="s">
        <v>76</v>
      </c>
      <c r="E1314" t="s">
        <v>83</v>
      </c>
      <c r="F1314" t="s">
        <v>78</v>
      </c>
      <c r="G1314" t="s">
        <v>580</v>
      </c>
      <c r="H1314" t="s">
        <v>9667</v>
      </c>
      <c r="I1314">
        <v>0.1122802314411456</v>
      </c>
      <c r="J1314">
        <v>44763</v>
      </c>
      <c r="K1314">
        <v>0.29290751209277932</v>
      </c>
      <c r="L1314">
        <v>17159</v>
      </c>
      <c r="M1314">
        <v>5026</v>
      </c>
      <c r="N1314">
        <v>0.38080000000000003</v>
      </c>
      <c r="O1314">
        <v>4</v>
      </c>
      <c r="P1314">
        <v>2</v>
      </c>
    </row>
    <row r="1315" spans="1:16" x14ac:dyDescent="0.25">
      <c r="A1315" t="s">
        <v>564</v>
      </c>
      <c r="B1315" t="s">
        <v>30</v>
      </c>
      <c r="C1315" t="s">
        <v>349</v>
      </c>
      <c r="D1315" t="s">
        <v>76</v>
      </c>
      <c r="E1315" t="s">
        <v>82</v>
      </c>
      <c r="F1315" t="s">
        <v>78</v>
      </c>
      <c r="G1315" t="s">
        <v>579</v>
      </c>
      <c r="H1315" t="s">
        <v>9668</v>
      </c>
      <c r="I1315">
        <v>0.1074771574738065</v>
      </c>
      <c r="J1315">
        <v>44763</v>
      </c>
      <c r="K1315">
        <v>0.28037764438487089</v>
      </c>
      <c r="L1315">
        <v>17159</v>
      </c>
      <c r="M1315">
        <v>4811</v>
      </c>
      <c r="N1315">
        <v>0.21149999999999999</v>
      </c>
      <c r="O1315">
        <v>5</v>
      </c>
      <c r="P1315">
        <v>3</v>
      </c>
    </row>
    <row r="1316" spans="1:16" x14ac:dyDescent="0.25">
      <c r="A1316" t="s">
        <v>564</v>
      </c>
      <c r="B1316" t="s">
        <v>30</v>
      </c>
      <c r="C1316" t="s">
        <v>349</v>
      </c>
      <c r="D1316" t="s">
        <v>76</v>
      </c>
      <c r="E1316" t="s">
        <v>77</v>
      </c>
      <c r="F1316" t="s">
        <v>78</v>
      </c>
      <c r="G1316" t="s">
        <v>581</v>
      </c>
      <c r="H1316" t="s">
        <v>9671</v>
      </c>
      <c r="I1316">
        <v>5.4866742622254987E-2</v>
      </c>
      <c r="J1316">
        <v>44763</v>
      </c>
      <c r="K1316">
        <v>0.14313188414243261</v>
      </c>
      <c r="L1316">
        <v>17159</v>
      </c>
      <c r="M1316">
        <v>2456</v>
      </c>
      <c r="N1316">
        <v>0.19700000000000001</v>
      </c>
      <c r="O1316">
        <v>6</v>
      </c>
      <c r="P1316">
        <v>4</v>
      </c>
    </row>
    <row r="1317" spans="1:16" x14ac:dyDescent="0.25">
      <c r="A1317" t="s">
        <v>564</v>
      </c>
      <c r="B1317" t="s">
        <v>30</v>
      </c>
      <c r="C1317" t="s">
        <v>349</v>
      </c>
      <c r="D1317" t="s">
        <v>76</v>
      </c>
      <c r="E1317" t="s">
        <v>81</v>
      </c>
      <c r="F1317" t="s">
        <v>78</v>
      </c>
      <c r="G1317" t="s">
        <v>578</v>
      </c>
      <c r="H1317" t="s">
        <v>9673</v>
      </c>
      <c r="I1317">
        <v>3.5944865178830727E-2</v>
      </c>
      <c r="J1317">
        <v>44763</v>
      </c>
      <c r="K1317">
        <v>9.3770033218719046E-2</v>
      </c>
      <c r="L1317">
        <v>17159</v>
      </c>
      <c r="M1317">
        <v>1609</v>
      </c>
      <c r="N1317">
        <v>4.7800000000000002E-2</v>
      </c>
      <c r="O1317">
        <v>7</v>
      </c>
      <c r="P1317">
        <v>6</v>
      </c>
    </row>
    <row r="1318" spans="1:16" x14ac:dyDescent="0.25">
      <c r="A1318" t="s">
        <v>564</v>
      </c>
      <c r="B1318" t="s">
        <v>30</v>
      </c>
      <c r="C1318" t="s">
        <v>349</v>
      </c>
      <c r="D1318" t="s">
        <v>76</v>
      </c>
      <c r="E1318" t="s">
        <v>84</v>
      </c>
      <c r="F1318" t="s">
        <v>78</v>
      </c>
      <c r="G1318" t="s">
        <v>589</v>
      </c>
      <c r="H1318" t="s">
        <v>9672</v>
      </c>
      <c r="I1318">
        <v>3.0672653754216649E-2</v>
      </c>
      <c r="J1318">
        <v>44763</v>
      </c>
      <c r="K1318">
        <v>8.0016317967247508E-2</v>
      </c>
      <c r="L1318">
        <v>17159</v>
      </c>
      <c r="M1318">
        <v>1373</v>
      </c>
      <c r="N1318">
        <v>0.21909999999999999</v>
      </c>
      <c r="O1318">
        <v>8</v>
      </c>
      <c r="P1318">
        <v>7</v>
      </c>
    </row>
    <row r="1319" spans="1:16" x14ac:dyDescent="0.25">
      <c r="A1319" t="s">
        <v>564</v>
      </c>
      <c r="B1319" t="s">
        <v>30</v>
      </c>
      <c r="C1319" t="s">
        <v>349</v>
      </c>
      <c r="D1319" t="s">
        <v>76</v>
      </c>
      <c r="E1319" t="s">
        <v>81</v>
      </c>
      <c r="F1319" t="s">
        <v>585</v>
      </c>
      <c r="G1319" t="s">
        <v>586</v>
      </c>
      <c r="H1319" t="s">
        <v>9680</v>
      </c>
      <c r="I1319">
        <v>1.9323995263945671E-2</v>
      </c>
      <c r="J1319">
        <v>44763</v>
      </c>
      <c r="K1319">
        <v>5.0410863103910478E-2</v>
      </c>
      <c r="L1319">
        <v>17159</v>
      </c>
      <c r="M1319">
        <v>865</v>
      </c>
      <c r="N1319">
        <v>5.7999999999999996E-3</v>
      </c>
      <c r="O1319">
        <v>9</v>
      </c>
    </row>
    <row r="1320" spans="1:16" x14ac:dyDescent="0.25">
      <c r="A1320" t="s">
        <v>564</v>
      </c>
      <c r="B1320" t="s">
        <v>30</v>
      </c>
      <c r="C1320" t="s">
        <v>349</v>
      </c>
      <c r="D1320" t="s">
        <v>76</v>
      </c>
      <c r="E1320" t="s">
        <v>79</v>
      </c>
      <c r="F1320" t="s">
        <v>78</v>
      </c>
      <c r="G1320" t="s">
        <v>577</v>
      </c>
      <c r="H1320" t="s">
        <v>9674</v>
      </c>
      <c r="I1320">
        <v>1.9011236959095679E-2</v>
      </c>
      <c r="J1320">
        <v>44763</v>
      </c>
      <c r="K1320">
        <v>4.9594964741535047E-2</v>
      </c>
      <c r="L1320">
        <v>17159</v>
      </c>
      <c r="M1320">
        <v>851</v>
      </c>
      <c r="N1320">
        <v>0.1361</v>
      </c>
      <c r="O1320">
        <v>10</v>
      </c>
      <c r="P1320">
        <v>5</v>
      </c>
    </row>
    <row r="1321" spans="1:16" x14ac:dyDescent="0.25">
      <c r="A1321" t="s">
        <v>564</v>
      </c>
      <c r="B1321" t="s">
        <v>30</v>
      </c>
      <c r="C1321" t="s">
        <v>349</v>
      </c>
      <c r="D1321" t="s">
        <v>76</v>
      </c>
      <c r="E1321" t="s">
        <v>608</v>
      </c>
      <c r="F1321" t="s">
        <v>78</v>
      </c>
      <c r="G1321" t="s">
        <v>609</v>
      </c>
      <c r="H1321" t="s">
        <v>9676</v>
      </c>
      <c r="I1321">
        <v>1.237629292049237E-2</v>
      </c>
      <c r="J1321">
        <v>44763</v>
      </c>
      <c r="K1321">
        <v>3.2286263768284862E-2</v>
      </c>
      <c r="L1321">
        <v>17159</v>
      </c>
      <c r="M1321">
        <v>554</v>
      </c>
      <c r="N1321">
        <v>0.35680000000000001</v>
      </c>
      <c r="O1321">
        <v>11</v>
      </c>
    </row>
    <row r="1322" spans="1:16" x14ac:dyDescent="0.25">
      <c r="A1322" t="s">
        <v>564</v>
      </c>
      <c r="B1322" t="s">
        <v>30</v>
      </c>
      <c r="C1322" t="s">
        <v>349</v>
      </c>
      <c r="D1322" t="s">
        <v>76</v>
      </c>
      <c r="E1322" t="s">
        <v>600</v>
      </c>
      <c r="F1322" t="s">
        <v>78</v>
      </c>
      <c r="G1322" t="s">
        <v>601</v>
      </c>
      <c r="H1322" t="s">
        <v>9679</v>
      </c>
      <c r="I1322">
        <v>1.163907691620311E-2</v>
      </c>
      <c r="J1322">
        <v>44763</v>
      </c>
      <c r="K1322">
        <v>3.0363074771257069E-2</v>
      </c>
      <c r="L1322">
        <v>17159</v>
      </c>
      <c r="M1322">
        <v>521</v>
      </c>
      <c r="N1322">
        <v>8.8099999999999998E-2</v>
      </c>
      <c r="O1322">
        <v>12</v>
      </c>
    </row>
    <row r="1323" spans="1:16" x14ac:dyDescent="0.25">
      <c r="A1323" t="s">
        <v>564</v>
      </c>
      <c r="B1323" t="s">
        <v>30</v>
      </c>
      <c r="C1323" t="s">
        <v>349</v>
      </c>
      <c r="D1323" t="s">
        <v>76</v>
      </c>
      <c r="E1323" t="s">
        <v>346</v>
      </c>
      <c r="F1323" t="s">
        <v>78</v>
      </c>
      <c r="G1323" t="s">
        <v>584</v>
      </c>
      <c r="H1323" t="s">
        <v>9675</v>
      </c>
      <c r="I1323">
        <v>1.152737752161383E-2</v>
      </c>
      <c r="J1323">
        <v>44763</v>
      </c>
      <c r="K1323">
        <v>3.007168249898013E-2</v>
      </c>
      <c r="L1323">
        <v>17159</v>
      </c>
      <c r="M1323">
        <v>516</v>
      </c>
      <c r="N1323">
        <v>3.4799999999999998E-2</v>
      </c>
      <c r="O1323">
        <v>13</v>
      </c>
    </row>
    <row r="1324" spans="1:16" x14ac:dyDescent="0.25">
      <c r="A1324" t="s">
        <v>564</v>
      </c>
      <c r="B1324" t="s">
        <v>30</v>
      </c>
      <c r="C1324" t="s">
        <v>349</v>
      </c>
      <c r="D1324" t="s">
        <v>76</v>
      </c>
      <c r="E1324" t="s">
        <v>81</v>
      </c>
      <c r="F1324" t="s">
        <v>590</v>
      </c>
      <c r="G1324" t="s">
        <v>591</v>
      </c>
      <c r="H1324" t="s">
        <v>9677</v>
      </c>
      <c r="I1324">
        <v>1.0164644907624599E-2</v>
      </c>
      <c r="J1324">
        <v>44763</v>
      </c>
      <c r="K1324">
        <v>2.6516696777201469E-2</v>
      </c>
      <c r="L1324">
        <v>17159</v>
      </c>
      <c r="M1324">
        <v>455</v>
      </c>
      <c r="N1324">
        <v>0.1053</v>
      </c>
      <c r="O1324">
        <v>14</v>
      </c>
    </row>
    <row r="1325" spans="1:16" x14ac:dyDescent="0.25">
      <c r="A1325" t="s">
        <v>564</v>
      </c>
      <c r="B1325" t="s">
        <v>30</v>
      </c>
      <c r="C1325" t="s">
        <v>349</v>
      </c>
      <c r="D1325" t="s">
        <v>76</v>
      </c>
      <c r="E1325" t="s">
        <v>594</v>
      </c>
      <c r="F1325" t="s">
        <v>78</v>
      </c>
      <c r="G1325" t="s">
        <v>595</v>
      </c>
      <c r="H1325" t="s">
        <v>9683</v>
      </c>
      <c r="I1325">
        <v>7.7519379844961239E-3</v>
      </c>
      <c r="J1325">
        <v>44763</v>
      </c>
      <c r="K1325">
        <v>2.0222623696019581E-2</v>
      </c>
      <c r="L1325">
        <v>17159</v>
      </c>
      <c r="M1325">
        <v>347</v>
      </c>
      <c r="N1325">
        <v>0.13789999999999999</v>
      </c>
      <c r="O1325">
        <v>15</v>
      </c>
    </row>
    <row r="1326" spans="1:16" x14ac:dyDescent="0.25">
      <c r="A1326" t="s">
        <v>564</v>
      </c>
      <c r="B1326" t="s">
        <v>30</v>
      </c>
      <c r="C1326" t="s">
        <v>349</v>
      </c>
      <c r="D1326" t="s">
        <v>76</v>
      </c>
      <c r="E1326" t="s">
        <v>592</v>
      </c>
      <c r="F1326" t="s">
        <v>78</v>
      </c>
      <c r="G1326" t="s">
        <v>593</v>
      </c>
      <c r="H1326" t="s">
        <v>9681</v>
      </c>
      <c r="I1326">
        <v>6.813663069946161E-3</v>
      </c>
      <c r="J1326">
        <v>44763</v>
      </c>
      <c r="K1326">
        <v>1.7774928608893289E-2</v>
      </c>
      <c r="L1326">
        <v>17159</v>
      </c>
      <c r="M1326">
        <v>305</v>
      </c>
      <c r="N1326">
        <v>2.6100000000000002E-2</v>
      </c>
      <c r="O1326">
        <v>16</v>
      </c>
    </row>
    <row r="1327" spans="1:16" x14ac:dyDescent="0.25">
      <c r="A1327" t="s">
        <v>564</v>
      </c>
      <c r="B1327" t="s">
        <v>30</v>
      </c>
      <c r="C1327" t="s">
        <v>349</v>
      </c>
      <c r="D1327" t="s">
        <v>76</v>
      </c>
      <c r="E1327" t="s">
        <v>602</v>
      </c>
      <c r="F1327" t="s">
        <v>78</v>
      </c>
      <c r="G1327" t="s">
        <v>603</v>
      </c>
      <c r="H1327" t="s">
        <v>9682</v>
      </c>
      <c r="I1327">
        <v>6.6349440386033109E-3</v>
      </c>
      <c r="J1327">
        <v>44763</v>
      </c>
      <c r="K1327">
        <v>1.7308700973250189E-2</v>
      </c>
      <c r="L1327">
        <v>17159</v>
      </c>
      <c r="M1327">
        <v>297</v>
      </c>
      <c r="N1327">
        <v>0.1275</v>
      </c>
      <c r="O1327">
        <v>17</v>
      </c>
    </row>
    <row r="1328" spans="1:16" x14ac:dyDescent="0.25">
      <c r="A1328" t="s">
        <v>564</v>
      </c>
      <c r="B1328" t="s">
        <v>30</v>
      </c>
      <c r="C1328" t="s">
        <v>349</v>
      </c>
      <c r="D1328" t="s">
        <v>76</v>
      </c>
      <c r="E1328" t="s">
        <v>600</v>
      </c>
      <c r="F1328" t="s">
        <v>614</v>
      </c>
      <c r="G1328" t="s">
        <v>615</v>
      </c>
      <c r="H1328" t="s">
        <v>9686</v>
      </c>
      <c r="I1328">
        <v>6.5455845229318854E-3</v>
      </c>
      <c r="J1328">
        <v>44763</v>
      </c>
      <c r="K1328">
        <v>1.7075587155428638E-2</v>
      </c>
      <c r="L1328">
        <v>17159</v>
      </c>
      <c r="M1328">
        <v>293</v>
      </c>
      <c r="N1328">
        <v>3.4000000000000002E-2</v>
      </c>
      <c r="O1328">
        <v>18</v>
      </c>
    </row>
    <row r="1329" spans="1:15" x14ac:dyDescent="0.25">
      <c r="A1329" t="s">
        <v>564</v>
      </c>
      <c r="B1329" t="s">
        <v>30</v>
      </c>
      <c r="C1329" t="s">
        <v>349</v>
      </c>
      <c r="D1329" t="s">
        <v>76</v>
      </c>
      <c r="E1329" t="s">
        <v>81</v>
      </c>
      <c r="F1329" t="s">
        <v>582</v>
      </c>
      <c r="G1329" t="s">
        <v>583</v>
      </c>
      <c r="H1329" t="s">
        <v>9688</v>
      </c>
      <c r="I1329">
        <v>5.20519178786051E-3</v>
      </c>
      <c r="J1329">
        <v>44763</v>
      </c>
      <c r="K1329">
        <v>1.3578879888105371E-2</v>
      </c>
      <c r="L1329">
        <v>17159</v>
      </c>
      <c r="M1329">
        <v>233</v>
      </c>
      <c r="N1329">
        <v>0.1026</v>
      </c>
      <c r="O1329">
        <v>19</v>
      </c>
    </row>
    <row r="1330" spans="1:15" x14ac:dyDescent="0.25">
      <c r="A1330" t="s">
        <v>564</v>
      </c>
      <c r="B1330" t="s">
        <v>30</v>
      </c>
      <c r="C1330" t="s">
        <v>349</v>
      </c>
      <c r="D1330" t="s">
        <v>76</v>
      </c>
      <c r="E1330" t="s">
        <v>600</v>
      </c>
      <c r="F1330" t="s">
        <v>612</v>
      </c>
      <c r="G1330" t="s">
        <v>613</v>
      </c>
      <c r="H1330" t="s">
        <v>9690</v>
      </c>
      <c r="I1330">
        <v>5.1828519089426534E-3</v>
      </c>
      <c r="J1330">
        <v>44763</v>
      </c>
      <c r="K1330">
        <v>1.3520601433649981E-2</v>
      </c>
      <c r="L1330">
        <v>17159</v>
      </c>
      <c r="M1330">
        <v>232</v>
      </c>
      <c r="N1330">
        <v>0.1545</v>
      </c>
      <c r="O1330">
        <v>20</v>
      </c>
    </row>
    <row r="1331" spans="1:15" x14ac:dyDescent="0.25">
      <c r="A1331" t="s">
        <v>564</v>
      </c>
      <c r="B1331" t="s">
        <v>30</v>
      </c>
      <c r="C1331" t="s">
        <v>349</v>
      </c>
      <c r="D1331" t="s">
        <v>76</v>
      </c>
      <c r="E1331" t="s">
        <v>80</v>
      </c>
      <c r="F1331" t="s">
        <v>8354</v>
      </c>
      <c r="G1331" t="s">
        <v>8355</v>
      </c>
      <c r="H1331" t="s">
        <v>9687</v>
      </c>
      <c r="I1331">
        <v>4.9147733619283786E-3</v>
      </c>
      <c r="J1331">
        <v>44763</v>
      </c>
      <c r="K1331">
        <v>1.282125998018533E-2</v>
      </c>
      <c r="L1331">
        <v>17159</v>
      </c>
      <c r="M1331">
        <v>220</v>
      </c>
      <c r="N1331">
        <v>5.8799999999999998E-2</v>
      </c>
      <c r="O1331">
        <v>21</v>
      </c>
    </row>
    <row r="1332" spans="1:15" x14ac:dyDescent="0.25">
      <c r="A1332" t="s">
        <v>564</v>
      </c>
      <c r="B1332" t="s">
        <v>30</v>
      </c>
      <c r="C1332" t="s">
        <v>349</v>
      </c>
      <c r="D1332" t="s">
        <v>76</v>
      </c>
      <c r="E1332" t="s">
        <v>606</v>
      </c>
      <c r="F1332" t="s">
        <v>78</v>
      </c>
      <c r="G1332" t="s">
        <v>607</v>
      </c>
      <c r="H1332" t="s">
        <v>9678</v>
      </c>
      <c r="I1332">
        <v>4.8924334830105221E-3</v>
      </c>
      <c r="J1332">
        <v>44763</v>
      </c>
      <c r="K1332">
        <v>1.276298152572994E-2</v>
      </c>
      <c r="L1332">
        <v>17159</v>
      </c>
      <c r="M1332">
        <v>219</v>
      </c>
      <c r="N1332">
        <v>4.0899999999999999E-2</v>
      </c>
      <c r="O1332">
        <v>22</v>
      </c>
    </row>
    <row r="1333" spans="1:15" x14ac:dyDescent="0.25">
      <c r="A1333" t="s">
        <v>564</v>
      </c>
      <c r="B1333" t="s">
        <v>30</v>
      </c>
      <c r="C1333" t="s">
        <v>349</v>
      </c>
      <c r="D1333" t="s">
        <v>76</v>
      </c>
      <c r="E1333" t="s">
        <v>610</v>
      </c>
      <c r="F1333" t="s">
        <v>78</v>
      </c>
      <c r="G1333" t="s">
        <v>611</v>
      </c>
      <c r="H1333" t="s">
        <v>9684</v>
      </c>
      <c r="I1333">
        <v>4.8700936040926646E-3</v>
      </c>
      <c r="J1333">
        <v>44763</v>
      </c>
      <c r="K1333">
        <v>1.270470307127455E-2</v>
      </c>
      <c r="L1333">
        <v>17159</v>
      </c>
      <c r="M1333">
        <v>218</v>
      </c>
      <c r="N1333">
        <v>0.2374</v>
      </c>
      <c r="O1333">
        <v>23</v>
      </c>
    </row>
    <row r="1334" spans="1:15" x14ac:dyDescent="0.25">
      <c r="A1334" t="s">
        <v>564</v>
      </c>
      <c r="B1334" t="s">
        <v>30</v>
      </c>
      <c r="C1334" t="s">
        <v>349</v>
      </c>
      <c r="D1334" t="s">
        <v>76</v>
      </c>
      <c r="E1334" t="s">
        <v>602</v>
      </c>
      <c r="F1334" t="s">
        <v>616</v>
      </c>
      <c r="G1334" t="s">
        <v>617</v>
      </c>
      <c r="H1334" t="s">
        <v>9692</v>
      </c>
      <c r="I1334">
        <v>3.686080021446284E-3</v>
      </c>
      <c r="J1334">
        <v>44763</v>
      </c>
      <c r="K1334">
        <v>9.6159449851389942E-3</v>
      </c>
      <c r="L1334">
        <v>17159</v>
      </c>
      <c r="M1334">
        <v>165</v>
      </c>
      <c r="N1334">
        <v>0.1205</v>
      </c>
      <c r="O1334">
        <v>24</v>
      </c>
    </row>
    <row r="1335" spans="1:15" x14ac:dyDescent="0.25">
      <c r="A1335" t="s">
        <v>564</v>
      </c>
      <c r="B1335" t="s">
        <v>30</v>
      </c>
      <c r="C1335" t="s">
        <v>349</v>
      </c>
      <c r="D1335" t="s">
        <v>76</v>
      </c>
      <c r="E1335" t="s">
        <v>620</v>
      </c>
      <c r="F1335" t="s">
        <v>78</v>
      </c>
      <c r="G1335" t="s">
        <v>621</v>
      </c>
      <c r="H1335" t="s">
        <v>9689</v>
      </c>
      <c r="I1335">
        <v>2.8371646225677461E-3</v>
      </c>
      <c r="J1335">
        <v>44763</v>
      </c>
      <c r="K1335">
        <v>7.4013637158342558E-3</v>
      </c>
      <c r="L1335">
        <v>17159</v>
      </c>
      <c r="M1335">
        <v>127</v>
      </c>
      <c r="N1335">
        <v>0.1797</v>
      </c>
      <c r="O1335">
        <v>25</v>
      </c>
    </row>
    <row r="1336" spans="1:15" x14ac:dyDescent="0.25">
      <c r="A1336" t="s">
        <v>564</v>
      </c>
      <c r="B1336" t="s">
        <v>30</v>
      </c>
      <c r="C1336" t="s">
        <v>349</v>
      </c>
      <c r="D1336" t="s">
        <v>76</v>
      </c>
      <c r="E1336" t="s">
        <v>592</v>
      </c>
      <c r="F1336" t="s">
        <v>624</v>
      </c>
      <c r="G1336" t="s">
        <v>625</v>
      </c>
      <c r="H1336" t="s">
        <v>9694</v>
      </c>
      <c r="I1336">
        <v>2.4350468020463332E-3</v>
      </c>
      <c r="J1336">
        <v>44763</v>
      </c>
      <c r="K1336">
        <v>6.352351535637275E-3</v>
      </c>
      <c r="L1336">
        <v>17159</v>
      </c>
      <c r="M1336">
        <v>109</v>
      </c>
      <c r="N1336">
        <v>9.1000000000000004E-3</v>
      </c>
      <c r="O1336">
        <v>26</v>
      </c>
    </row>
    <row r="1337" spans="1:15" x14ac:dyDescent="0.25">
      <c r="A1337" t="s">
        <v>564</v>
      </c>
      <c r="B1337" t="s">
        <v>30</v>
      </c>
      <c r="C1337" t="s">
        <v>349</v>
      </c>
      <c r="D1337" t="s">
        <v>76</v>
      </c>
      <c r="E1337" t="s">
        <v>598</v>
      </c>
      <c r="F1337" t="s">
        <v>78</v>
      </c>
      <c r="G1337" t="s">
        <v>599</v>
      </c>
      <c r="H1337" t="s">
        <v>9699</v>
      </c>
      <c r="I1337">
        <v>2.2786676496213392E-3</v>
      </c>
      <c r="J1337">
        <v>44763</v>
      </c>
      <c r="K1337">
        <v>5.9444023544495597E-3</v>
      </c>
      <c r="L1337">
        <v>17159</v>
      </c>
      <c r="M1337">
        <v>102</v>
      </c>
      <c r="N1337">
        <v>3.8800000000000001E-2</v>
      </c>
      <c r="O1337">
        <v>27</v>
      </c>
    </row>
    <row r="1338" spans="1:15" x14ac:dyDescent="0.25">
      <c r="A1338" t="s">
        <v>564</v>
      </c>
      <c r="B1338" t="s">
        <v>30</v>
      </c>
      <c r="C1338" t="s">
        <v>349</v>
      </c>
      <c r="D1338" t="s">
        <v>76</v>
      </c>
      <c r="E1338" t="s">
        <v>592</v>
      </c>
      <c r="F1338" t="s">
        <v>803</v>
      </c>
      <c r="G1338" t="s">
        <v>804</v>
      </c>
      <c r="H1338" t="s">
        <v>9695</v>
      </c>
      <c r="I1338">
        <v>2.2786676496213392E-3</v>
      </c>
      <c r="J1338">
        <v>44763</v>
      </c>
      <c r="K1338">
        <v>5.9444023544495597E-3</v>
      </c>
      <c r="L1338">
        <v>17159</v>
      </c>
      <c r="M1338">
        <v>102</v>
      </c>
      <c r="N1338">
        <v>1.9400000000000001E-2</v>
      </c>
      <c r="O1338">
        <v>28</v>
      </c>
    </row>
    <row r="1339" spans="1:15" x14ac:dyDescent="0.25">
      <c r="A1339" t="s">
        <v>564</v>
      </c>
      <c r="B1339" t="s">
        <v>30</v>
      </c>
      <c r="C1339" t="s">
        <v>349</v>
      </c>
      <c r="D1339" t="s">
        <v>76</v>
      </c>
      <c r="E1339" t="s">
        <v>81</v>
      </c>
      <c r="F1339" t="s">
        <v>622</v>
      </c>
      <c r="G1339" t="s">
        <v>623</v>
      </c>
      <c r="H1339" t="s">
        <v>9704</v>
      </c>
      <c r="I1339">
        <v>2.0999486182784891E-3</v>
      </c>
      <c r="J1339">
        <v>44763</v>
      </c>
      <c r="K1339">
        <v>5.4781747188064576E-3</v>
      </c>
      <c r="L1339">
        <v>17159</v>
      </c>
      <c r="M1339">
        <v>94</v>
      </c>
      <c r="O1339">
        <v>29</v>
      </c>
    </row>
    <row r="1340" spans="1:15" x14ac:dyDescent="0.25">
      <c r="A1340" t="s">
        <v>564</v>
      </c>
      <c r="B1340" t="s">
        <v>30</v>
      </c>
      <c r="C1340" t="s">
        <v>349</v>
      </c>
      <c r="D1340" t="s">
        <v>76</v>
      </c>
      <c r="E1340" t="s">
        <v>592</v>
      </c>
      <c r="F1340" t="s">
        <v>811</v>
      </c>
      <c r="G1340" t="s">
        <v>812</v>
      </c>
      <c r="H1340" t="s">
        <v>9693</v>
      </c>
      <c r="I1340">
        <v>2.0552688604427759E-3</v>
      </c>
      <c r="J1340">
        <v>44763</v>
      </c>
      <c r="K1340">
        <v>5.3616178098956817E-3</v>
      </c>
      <c r="L1340">
        <v>17159</v>
      </c>
      <c r="M1340">
        <v>92</v>
      </c>
      <c r="N1340">
        <v>5.3800000000000001E-2</v>
      </c>
      <c r="O1340">
        <v>30</v>
      </c>
    </row>
    <row r="1341" spans="1:15" x14ac:dyDescent="0.25">
      <c r="A1341" t="s">
        <v>564</v>
      </c>
      <c r="B1341" t="s">
        <v>30</v>
      </c>
      <c r="C1341" t="s">
        <v>349</v>
      </c>
      <c r="D1341" t="s">
        <v>76</v>
      </c>
      <c r="E1341" t="s">
        <v>634</v>
      </c>
      <c r="F1341" t="s">
        <v>78</v>
      </c>
      <c r="G1341" t="s">
        <v>635</v>
      </c>
      <c r="H1341" t="s">
        <v>9685</v>
      </c>
      <c r="I1341">
        <v>1.988249223689207E-3</v>
      </c>
      <c r="J1341">
        <v>44763</v>
      </c>
      <c r="K1341">
        <v>5.1867824465295182E-3</v>
      </c>
      <c r="L1341">
        <v>17159</v>
      </c>
      <c r="M1341">
        <v>89</v>
      </c>
      <c r="N1341">
        <v>6.6699999999999995E-2</v>
      </c>
      <c r="O1341">
        <v>31</v>
      </c>
    </row>
    <row r="1342" spans="1:15" x14ac:dyDescent="0.25">
      <c r="A1342" t="s">
        <v>564</v>
      </c>
      <c r="B1342" t="s">
        <v>30</v>
      </c>
      <c r="C1342" t="s">
        <v>349</v>
      </c>
      <c r="D1342" t="s">
        <v>76</v>
      </c>
      <c r="E1342" t="s">
        <v>626</v>
      </c>
      <c r="F1342" t="s">
        <v>78</v>
      </c>
      <c r="G1342" t="s">
        <v>627</v>
      </c>
      <c r="H1342" t="s">
        <v>9698</v>
      </c>
      <c r="I1342">
        <v>1.988249223689207E-3</v>
      </c>
      <c r="J1342">
        <v>44763</v>
      </c>
      <c r="K1342">
        <v>5.1867824465295182E-3</v>
      </c>
      <c r="L1342">
        <v>17159</v>
      </c>
      <c r="M1342">
        <v>89</v>
      </c>
      <c r="N1342">
        <v>0.1555</v>
      </c>
      <c r="O1342">
        <v>32</v>
      </c>
    </row>
    <row r="1343" spans="1:15" x14ac:dyDescent="0.25">
      <c r="A1343" t="s">
        <v>564</v>
      </c>
      <c r="B1343" t="s">
        <v>30</v>
      </c>
      <c r="C1343" t="s">
        <v>349</v>
      </c>
      <c r="D1343" t="s">
        <v>76</v>
      </c>
      <c r="E1343" t="s">
        <v>618</v>
      </c>
      <c r="F1343" t="s">
        <v>78</v>
      </c>
      <c r="G1343" t="s">
        <v>619</v>
      </c>
      <c r="H1343" t="s">
        <v>9697</v>
      </c>
      <c r="I1343">
        <v>1.809530192346358E-3</v>
      </c>
      <c r="J1343">
        <v>44763</v>
      </c>
      <c r="K1343">
        <v>4.7205548108864154E-3</v>
      </c>
      <c r="L1343">
        <v>17159</v>
      </c>
      <c r="M1343">
        <v>81</v>
      </c>
      <c r="N1343">
        <v>0.1341</v>
      </c>
      <c r="O1343">
        <v>33</v>
      </c>
    </row>
    <row r="1344" spans="1:15" x14ac:dyDescent="0.25">
      <c r="A1344" t="s">
        <v>564</v>
      </c>
      <c r="B1344" t="s">
        <v>30</v>
      </c>
      <c r="C1344" t="s">
        <v>349</v>
      </c>
      <c r="D1344" t="s">
        <v>76</v>
      </c>
      <c r="E1344" t="s">
        <v>602</v>
      </c>
      <c r="F1344" t="s">
        <v>640</v>
      </c>
      <c r="G1344" t="s">
        <v>641</v>
      </c>
      <c r="H1344" t="s">
        <v>9705</v>
      </c>
      <c r="I1344">
        <v>1.6084712820856511E-3</v>
      </c>
      <c r="J1344">
        <v>44763</v>
      </c>
      <c r="K1344">
        <v>4.196048720787925E-3</v>
      </c>
      <c r="L1344">
        <v>17159</v>
      </c>
      <c r="M1344">
        <v>72</v>
      </c>
      <c r="O1344">
        <v>34</v>
      </c>
    </row>
    <row r="1345" spans="1:15" x14ac:dyDescent="0.25">
      <c r="A1345" t="s">
        <v>564</v>
      </c>
      <c r="B1345" t="s">
        <v>30</v>
      </c>
      <c r="C1345" t="s">
        <v>349</v>
      </c>
      <c r="D1345" t="s">
        <v>76</v>
      </c>
      <c r="E1345" t="s">
        <v>602</v>
      </c>
      <c r="F1345" t="s">
        <v>628</v>
      </c>
      <c r="G1345" t="s">
        <v>629</v>
      </c>
      <c r="H1345" t="s">
        <v>9701</v>
      </c>
      <c r="I1345">
        <v>1.5861314031677949E-3</v>
      </c>
      <c r="J1345">
        <v>44763</v>
      </c>
      <c r="K1345">
        <v>4.1377702663325366E-3</v>
      </c>
      <c r="L1345">
        <v>17159</v>
      </c>
      <c r="M1345">
        <v>71</v>
      </c>
      <c r="N1345">
        <v>0.26390000000000002</v>
      </c>
      <c r="O1345">
        <v>35</v>
      </c>
    </row>
    <row r="1346" spans="1:15" x14ac:dyDescent="0.25">
      <c r="A1346" t="s">
        <v>564</v>
      </c>
      <c r="B1346" t="s">
        <v>30</v>
      </c>
      <c r="C1346" t="s">
        <v>349</v>
      </c>
      <c r="D1346" t="s">
        <v>76</v>
      </c>
      <c r="E1346" t="s">
        <v>634</v>
      </c>
      <c r="F1346" t="s">
        <v>658</v>
      </c>
      <c r="G1346" t="s">
        <v>659</v>
      </c>
      <c r="H1346" t="s">
        <v>9691</v>
      </c>
      <c r="I1346">
        <v>1.4967718874963701E-3</v>
      </c>
      <c r="J1346">
        <v>44763</v>
      </c>
      <c r="K1346">
        <v>3.904656448510986E-3</v>
      </c>
      <c r="L1346">
        <v>17159</v>
      </c>
      <c r="M1346">
        <v>67</v>
      </c>
      <c r="N1346">
        <v>7.3599999999999999E-2</v>
      </c>
      <c r="O1346">
        <v>36</v>
      </c>
    </row>
    <row r="1347" spans="1:15" x14ac:dyDescent="0.25">
      <c r="A1347" t="s">
        <v>564</v>
      </c>
      <c r="B1347" t="s">
        <v>30</v>
      </c>
      <c r="C1347" t="s">
        <v>349</v>
      </c>
      <c r="D1347" t="s">
        <v>76</v>
      </c>
      <c r="E1347" t="s">
        <v>644</v>
      </c>
      <c r="F1347" t="s">
        <v>78</v>
      </c>
      <c r="G1347" t="s">
        <v>645</v>
      </c>
      <c r="H1347" t="s">
        <v>9702</v>
      </c>
      <c r="I1347">
        <v>1.2957129772356629E-3</v>
      </c>
      <c r="J1347">
        <v>44763</v>
      </c>
      <c r="K1347">
        <v>3.3801503584124952E-3</v>
      </c>
      <c r="L1347">
        <v>17159</v>
      </c>
      <c r="M1347">
        <v>58</v>
      </c>
      <c r="O1347">
        <v>37</v>
      </c>
    </row>
    <row r="1348" spans="1:15" x14ac:dyDescent="0.25">
      <c r="A1348" t="s">
        <v>564</v>
      </c>
      <c r="B1348" t="s">
        <v>30</v>
      </c>
      <c r="C1348" t="s">
        <v>349</v>
      </c>
      <c r="D1348" t="s">
        <v>76</v>
      </c>
      <c r="E1348" t="s">
        <v>632</v>
      </c>
      <c r="F1348" t="s">
        <v>78</v>
      </c>
      <c r="G1348" t="s">
        <v>633</v>
      </c>
      <c r="H1348" t="s">
        <v>9696</v>
      </c>
      <c r="I1348">
        <v>1.027634430221388E-3</v>
      </c>
      <c r="J1348">
        <v>44763</v>
      </c>
      <c r="K1348">
        <v>2.6808089049478409E-3</v>
      </c>
      <c r="L1348">
        <v>17159</v>
      </c>
      <c r="M1348">
        <v>46</v>
      </c>
      <c r="N1348">
        <v>2.1299999999999999E-2</v>
      </c>
      <c r="O1348">
        <v>38</v>
      </c>
    </row>
    <row r="1349" spans="1:15" x14ac:dyDescent="0.25">
      <c r="A1349" t="s">
        <v>564</v>
      </c>
      <c r="B1349" t="s">
        <v>30</v>
      </c>
      <c r="C1349" t="s">
        <v>349</v>
      </c>
      <c r="D1349" t="s">
        <v>76</v>
      </c>
      <c r="E1349" t="s">
        <v>80</v>
      </c>
      <c r="F1349" t="s">
        <v>8371</v>
      </c>
      <c r="G1349" t="s">
        <v>8372</v>
      </c>
      <c r="H1349" t="s">
        <v>9707</v>
      </c>
      <c r="I1349">
        <v>5.3615709402855035E-4</v>
      </c>
      <c r="J1349">
        <v>44763</v>
      </c>
      <c r="K1349">
        <v>1.398682906929308E-3</v>
      </c>
      <c r="L1349">
        <v>17159</v>
      </c>
      <c r="M1349">
        <v>24</v>
      </c>
      <c r="N1349">
        <v>0.12</v>
      </c>
      <c r="O1349">
        <v>39</v>
      </c>
    </row>
    <row r="1350" spans="1:15" x14ac:dyDescent="0.25">
      <c r="A1350" t="s">
        <v>564</v>
      </c>
      <c r="B1350" t="s">
        <v>30</v>
      </c>
      <c r="C1350" t="s">
        <v>349</v>
      </c>
      <c r="D1350" t="s">
        <v>76</v>
      </c>
      <c r="E1350" t="s">
        <v>602</v>
      </c>
      <c r="F1350" t="s">
        <v>650</v>
      </c>
      <c r="G1350" t="s">
        <v>651</v>
      </c>
      <c r="H1350" t="s">
        <v>9700</v>
      </c>
      <c r="I1350">
        <v>5.1381721511069409E-4</v>
      </c>
      <c r="J1350">
        <v>44763</v>
      </c>
      <c r="K1350">
        <v>1.34040445247392E-3</v>
      </c>
      <c r="L1350">
        <v>17159</v>
      </c>
      <c r="M1350">
        <v>23</v>
      </c>
      <c r="N1350">
        <v>0.21740000000000001</v>
      </c>
      <c r="O1350">
        <v>40</v>
      </c>
    </row>
    <row r="1351" spans="1:15" x14ac:dyDescent="0.25">
      <c r="A1351" t="s">
        <v>564</v>
      </c>
      <c r="B1351" t="s">
        <v>30</v>
      </c>
      <c r="C1351" t="s">
        <v>349</v>
      </c>
      <c r="D1351" t="s">
        <v>76</v>
      </c>
      <c r="E1351" t="s">
        <v>634</v>
      </c>
      <c r="F1351" t="s">
        <v>638</v>
      </c>
      <c r="G1351" t="s">
        <v>639</v>
      </c>
      <c r="H1351" t="s">
        <v>9703</v>
      </c>
      <c r="I1351">
        <v>5.1381721511069409E-4</v>
      </c>
      <c r="J1351">
        <v>44763</v>
      </c>
      <c r="K1351">
        <v>1.34040445247392E-3</v>
      </c>
      <c r="L1351">
        <v>17159</v>
      </c>
      <c r="M1351">
        <v>23</v>
      </c>
      <c r="N1351">
        <v>4.3499999999999997E-2</v>
      </c>
      <c r="O1351">
        <v>41</v>
      </c>
    </row>
    <row r="1352" spans="1:15" x14ac:dyDescent="0.25">
      <c r="A1352" t="s">
        <v>564</v>
      </c>
      <c r="B1352" t="s">
        <v>30</v>
      </c>
      <c r="C1352" t="s">
        <v>349</v>
      </c>
      <c r="D1352" t="s">
        <v>76</v>
      </c>
      <c r="E1352" t="s">
        <v>602</v>
      </c>
      <c r="F1352" t="s">
        <v>648</v>
      </c>
      <c r="G1352" t="s">
        <v>649</v>
      </c>
      <c r="H1352" t="s">
        <v>9706</v>
      </c>
      <c r="I1352">
        <v>4.6913745727498161E-4</v>
      </c>
      <c r="J1352">
        <v>44763</v>
      </c>
      <c r="K1352">
        <v>1.2238475435631449E-3</v>
      </c>
      <c r="L1352">
        <v>17159</v>
      </c>
      <c r="M1352">
        <v>21</v>
      </c>
      <c r="N1352">
        <v>4.5499999999999999E-2</v>
      </c>
      <c r="O1352">
        <v>42</v>
      </c>
    </row>
    <row r="1353" spans="1:15" x14ac:dyDescent="0.25">
      <c r="A1353" t="s">
        <v>564</v>
      </c>
      <c r="B1353" t="s">
        <v>30</v>
      </c>
      <c r="C1353" t="s">
        <v>349</v>
      </c>
      <c r="D1353" t="s">
        <v>76</v>
      </c>
      <c r="E1353" t="s">
        <v>630</v>
      </c>
      <c r="F1353" t="s">
        <v>78</v>
      </c>
      <c r="G1353" t="s">
        <v>631</v>
      </c>
      <c r="H1353" t="s">
        <v>9709</v>
      </c>
      <c r="I1353">
        <v>4.0211782052141282E-4</v>
      </c>
      <c r="J1353">
        <v>44763</v>
      </c>
      <c r="K1353">
        <v>1.049012180196981E-3</v>
      </c>
      <c r="L1353">
        <v>17159</v>
      </c>
      <c r="M1353">
        <v>18</v>
      </c>
      <c r="N1353">
        <v>5.5599999999999997E-2</v>
      </c>
      <c r="O1353">
        <v>43</v>
      </c>
    </row>
    <row r="1354" spans="1:15" x14ac:dyDescent="0.25">
      <c r="A1354" t="s">
        <v>564</v>
      </c>
      <c r="B1354" t="s">
        <v>30</v>
      </c>
      <c r="C1354" t="s">
        <v>349</v>
      </c>
      <c r="D1354" t="s">
        <v>76</v>
      </c>
      <c r="E1354" t="s">
        <v>642</v>
      </c>
      <c r="F1354" t="s">
        <v>78</v>
      </c>
      <c r="G1354" t="s">
        <v>643</v>
      </c>
      <c r="H1354" t="s">
        <v>9713</v>
      </c>
      <c r="I1354">
        <v>3.5743806268570018E-4</v>
      </c>
      <c r="J1354">
        <v>44763</v>
      </c>
      <c r="K1354">
        <v>9.3245527128620553E-4</v>
      </c>
      <c r="L1354">
        <v>17159</v>
      </c>
      <c r="M1354">
        <v>16</v>
      </c>
      <c r="O1354">
        <v>44</v>
      </c>
    </row>
    <row r="1355" spans="1:15" x14ac:dyDescent="0.25">
      <c r="A1355" t="s">
        <v>564</v>
      </c>
      <c r="B1355" t="s">
        <v>30</v>
      </c>
      <c r="C1355" t="s">
        <v>349</v>
      </c>
      <c r="D1355" t="s">
        <v>76</v>
      </c>
      <c r="E1355" t="s">
        <v>81</v>
      </c>
      <c r="F1355" t="s">
        <v>646</v>
      </c>
      <c r="G1355" t="s">
        <v>647</v>
      </c>
      <c r="H1355" t="s">
        <v>9712</v>
      </c>
      <c r="I1355">
        <v>3.5743806268570018E-4</v>
      </c>
      <c r="J1355">
        <v>44763</v>
      </c>
      <c r="K1355">
        <v>9.3245527128620553E-4</v>
      </c>
      <c r="L1355">
        <v>17159</v>
      </c>
      <c r="M1355">
        <v>16</v>
      </c>
      <c r="O1355">
        <v>45</v>
      </c>
    </row>
    <row r="1356" spans="1:15" x14ac:dyDescent="0.25">
      <c r="A1356" t="s">
        <v>564</v>
      </c>
      <c r="B1356" t="s">
        <v>30</v>
      </c>
      <c r="C1356" t="s">
        <v>349</v>
      </c>
      <c r="D1356" t="s">
        <v>76</v>
      </c>
      <c r="E1356" t="s">
        <v>587</v>
      </c>
      <c r="F1356" t="s">
        <v>78</v>
      </c>
      <c r="G1356" t="s">
        <v>588</v>
      </c>
      <c r="H1356" t="s">
        <v>9711</v>
      </c>
      <c r="I1356">
        <v>3.3509818376784402E-4</v>
      </c>
      <c r="J1356">
        <v>44763</v>
      </c>
      <c r="K1356">
        <v>8.7417681683081767E-4</v>
      </c>
      <c r="L1356">
        <v>17159</v>
      </c>
      <c r="M1356">
        <v>15</v>
      </c>
      <c r="O1356">
        <v>46</v>
      </c>
    </row>
    <row r="1357" spans="1:15" x14ac:dyDescent="0.25">
      <c r="A1357" t="s">
        <v>564</v>
      </c>
      <c r="B1357" t="s">
        <v>30</v>
      </c>
      <c r="C1357" t="s">
        <v>349</v>
      </c>
      <c r="D1357" t="s">
        <v>76</v>
      </c>
      <c r="E1357" t="s">
        <v>654</v>
      </c>
      <c r="F1357" t="s">
        <v>78</v>
      </c>
      <c r="G1357" t="s">
        <v>655</v>
      </c>
      <c r="H1357" t="s">
        <v>9716</v>
      </c>
      <c r="I1357">
        <v>3.127583048499877E-4</v>
      </c>
      <c r="J1357">
        <v>44763</v>
      </c>
      <c r="K1357">
        <v>8.1589836237542981E-4</v>
      </c>
      <c r="L1357">
        <v>17159</v>
      </c>
      <c r="M1357">
        <v>14</v>
      </c>
      <c r="O1357">
        <v>47</v>
      </c>
    </row>
    <row r="1358" spans="1:15" x14ac:dyDescent="0.25">
      <c r="A1358" t="s">
        <v>564</v>
      </c>
      <c r="B1358" t="s">
        <v>30</v>
      </c>
      <c r="C1358" t="s">
        <v>349</v>
      </c>
      <c r="D1358" t="s">
        <v>76</v>
      </c>
      <c r="E1358" t="s">
        <v>8368</v>
      </c>
      <c r="F1358" t="s">
        <v>78</v>
      </c>
      <c r="G1358" t="s">
        <v>8369</v>
      </c>
      <c r="H1358" t="s">
        <v>9708</v>
      </c>
      <c r="I1358">
        <v>2.2339878917856259E-4</v>
      </c>
      <c r="J1358">
        <v>44763</v>
      </c>
      <c r="K1358">
        <v>5.8278454455387848E-4</v>
      </c>
      <c r="L1358">
        <v>17159</v>
      </c>
      <c r="M1358">
        <v>10</v>
      </c>
      <c r="O1358">
        <v>48</v>
      </c>
    </row>
    <row r="1359" spans="1:15" x14ac:dyDescent="0.25">
      <c r="A1359" t="s">
        <v>564</v>
      </c>
      <c r="B1359" t="s">
        <v>30</v>
      </c>
      <c r="C1359" t="s">
        <v>349</v>
      </c>
      <c r="D1359" t="s">
        <v>76</v>
      </c>
      <c r="E1359" t="s">
        <v>596</v>
      </c>
      <c r="F1359" t="s">
        <v>78</v>
      </c>
      <c r="G1359" t="s">
        <v>597</v>
      </c>
      <c r="H1359" t="s">
        <v>9721</v>
      </c>
      <c r="I1359">
        <v>1.5637915242499391E-4</v>
      </c>
      <c r="J1359">
        <v>44763</v>
      </c>
      <c r="K1359">
        <v>4.079491811877149E-4</v>
      </c>
      <c r="L1359">
        <v>17159</v>
      </c>
      <c r="M1359">
        <v>7</v>
      </c>
      <c r="N1359">
        <v>0.14280000000000001</v>
      </c>
      <c r="O1359">
        <v>49</v>
      </c>
    </row>
    <row r="1360" spans="1:15" x14ac:dyDescent="0.25">
      <c r="A1360" t="s">
        <v>564</v>
      </c>
      <c r="B1360" t="s">
        <v>30</v>
      </c>
      <c r="C1360" t="s">
        <v>349</v>
      </c>
      <c r="D1360" t="s">
        <v>76</v>
      </c>
      <c r="E1360" t="s">
        <v>602</v>
      </c>
      <c r="F1360" t="s">
        <v>670</v>
      </c>
      <c r="G1360" t="s">
        <v>671</v>
      </c>
      <c r="H1360" t="s">
        <v>9714</v>
      </c>
      <c r="I1360">
        <v>1.3403927350713759E-4</v>
      </c>
      <c r="J1360">
        <v>44763</v>
      </c>
      <c r="K1360">
        <v>3.4967072673232699E-4</v>
      </c>
      <c r="L1360">
        <v>17159</v>
      </c>
      <c r="M1360">
        <v>6</v>
      </c>
      <c r="O1360">
        <v>50</v>
      </c>
    </row>
    <row r="1361" spans="1:15" x14ac:dyDescent="0.25">
      <c r="A1361" t="s">
        <v>564</v>
      </c>
      <c r="B1361" t="s">
        <v>30</v>
      </c>
      <c r="C1361" t="s">
        <v>349</v>
      </c>
      <c r="D1361" t="s">
        <v>76</v>
      </c>
      <c r="E1361" t="s">
        <v>654</v>
      </c>
      <c r="F1361" t="s">
        <v>8392</v>
      </c>
      <c r="G1361" t="s">
        <v>8393</v>
      </c>
      <c r="H1361" t="s">
        <v>9733</v>
      </c>
      <c r="I1361">
        <v>1.3403927350713759E-4</v>
      </c>
      <c r="J1361">
        <v>44763</v>
      </c>
      <c r="K1361">
        <v>3.4967072673232699E-4</v>
      </c>
      <c r="L1361">
        <v>17159</v>
      </c>
      <c r="M1361">
        <v>6</v>
      </c>
      <c r="O1361">
        <v>51</v>
      </c>
    </row>
    <row r="1362" spans="1:15" x14ac:dyDescent="0.25">
      <c r="A1362" t="s">
        <v>564</v>
      </c>
      <c r="B1362" t="s">
        <v>30</v>
      </c>
      <c r="C1362" t="s">
        <v>349</v>
      </c>
      <c r="D1362" t="s">
        <v>76</v>
      </c>
      <c r="E1362" t="s">
        <v>676</v>
      </c>
      <c r="F1362" t="s">
        <v>78</v>
      </c>
      <c r="G1362" t="s">
        <v>677</v>
      </c>
      <c r="H1362" t="s">
        <v>9724</v>
      </c>
      <c r="I1362">
        <v>1.3403927350713759E-4</v>
      </c>
      <c r="J1362">
        <v>44763</v>
      </c>
      <c r="K1362">
        <v>3.4967072673232699E-4</v>
      </c>
      <c r="L1362">
        <v>17159</v>
      </c>
      <c r="M1362">
        <v>6</v>
      </c>
      <c r="N1362">
        <v>0.1666</v>
      </c>
      <c r="O1362">
        <v>52</v>
      </c>
    </row>
    <row r="1363" spans="1:15" x14ac:dyDescent="0.25">
      <c r="A1363" t="s">
        <v>564</v>
      </c>
      <c r="B1363" t="s">
        <v>30</v>
      </c>
      <c r="C1363" t="s">
        <v>349</v>
      </c>
      <c r="D1363" t="s">
        <v>76</v>
      </c>
      <c r="E1363" t="s">
        <v>654</v>
      </c>
      <c r="F1363" t="s">
        <v>8395</v>
      </c>
      <c r="G1363" t="s">
        <v>8396</v>
      </c>
      <c r="H1363" t="s">
        <v>9722</v>
      </c>
      <c r="I1363">
        <v>8.9359515671425058E-5</v>
      </c>
      <c r="J1363">
        <v>44763</v>
      </c>
      <c r="K1363">
        <v>2.3311381782155141E-4</v>
      </c>
      <c r="L1363">
        <v>17159</v>
      </c>
      <c r="M1363">
        <v>4</v>
      </c>
      <c r="O1363">
        <v>53</v>
      </c>
    </row>
    <row r="1364" spans="1:15" x14ac:dyDescent="0.25">
      <c r="A1364" t="s">
        <v>564</v>
      </c>
      <c r="B1364" t="s">
        <v>30</v>
      </c>
      <c r="C1364" t="s">
        <v>349</v>
      </c>
      <c r="D1364" t="s">
        <v>76</v>
      </c>
      <c r="E1364" t="s">
        <v>674</v>
      </c>
      <c r="F1364" t="s">
        <v>78</v>
      </c>
      <c r="G1364" t="s">
        <v>675</v>
      </c>
      <c r="H1364" t="s">
        <v>9719</v>
      </c>
      <c r="I1364">
        <v>8.9359515671425058E-5</v>
      </c>
      <c r="J1364">
        <v>44763</v>
      </c>
      <c r="K1364">
        <v>2.3311381782155141E-4</v>
      </c>
      <c r="L1364">
        <v>17159</v>
      </c>
      <c r="M1364">
        <v>4</v>
      </c>
      <c r="N1364">
        <v>0.2</v>
      </c>
      <c r="O1364">
        <v>54</v>
      </c>
    </row>
    <row r="1365" spans="1:15" x14ac:dyDescent="0.25">
      <c r="A1365" t="s">
        <v>564</v>
      </c>
      <c r="B1365" t="s">
        <v>30</v>
      </c>
      <c r="C1365" t="s">
        <v>349</v>
      </c>
      <c r="D1365" t="s">
        <v>76</v>
      </c>
      <c r="E1365" t="s">
        <v>694</v>
      </c>
      <c r="F1365" t="s">
        <v>78</v>
      </c>
      <c r="G1365" t="s">
        <v>695</v>
      </c>
      <c r="H1365" t="s">
        <v>9710</v>
      </c>
      <c r="I1365">
        <v>8.9359515671425058E-5</v>
      </c>
      <c r="J1365">
        <v>44763</v>
      </c>
      <c r="K1365">
        <v>2.3311381782155141E-4</v>
      </c>
      <c r="L1365">
        <v>17159</v>
      </c>
      <c r="M1365">
        <v>4</v>
      </c>
      <c r="N1365">
        <v>0.4</v>
      </c>
      <c r="O1365">
        <v>55</v>
      </c>
    </row>
    <row r="1366" spans="1:15" x14ac:dyDescent="0.25">
      <c r="A1366" t="s">
        <v>564</v>
      </c>
      <c r="B1366" t="s">
        <v>30</v>
      </c>
      <c r="C1366" t="s">
        <v>349</v>
      </c>
      <c r="D1366" t="s">
        <v>76</v>
      </c>
      <c r="E1366" t="s">
        <v>654</v>
      </c>
      <c r="F1366" t="s">
        <v>8388</v>
      </c>
      <c r="G1366" t="s">
        <v>8389</v>
      </c>
      <c r="H1366" t="s">
        <v>9732</v>
      </c>
      <c r="I1366">
        <v>8.9359515671425058E-5</v>
      </c>
      <c r="J1366">
        <v>44763</v>
      </c>
      <c r="K1366">
        <v>2.3311381782155141E-4</v>
      </c>
      <c r="L1366">
        <v>17159</v>
      </c>
      <c r="M1366">
        <v>4</v>
      </c>
      <c r="O1366">
        <v>56</v>
      </c>
    </row>
    <row r="1367" spans="1:15" x14ac:dyDescent="0.25">
      <c r="A1367" t="s">
        <v>564</v>
      </c>
      <c r="B1367" t="s">
        <v>30</v>
      </c>
      <c r="C1367" t="s">
        <v>349</v>
      </c>
      <c r="D1367" t="s">
        <v>76</v>
      </c>
      <c r="E1367" t="s">
        <v>654</v>
      </c>
      <c r="F1367" t="s">
        <v>8507</v>
      </c>
      <c r="G1367" t="s">
        <v>8508</v>
      </c>
      <c r="H1367" t="s">
        <v>9726</v>
      </c>
      <c r="I1367">
        <v>8.9359515671425058E-5</v>
      </c>
      <c r="J1367">
        <v>44763</v>
      </c>
      <c r="K1367">
        <v>2.3311381782155141E-4</v>
      </c>
      <c r="L1367">
        <v>17159</v>
      </c>
      <c r="M1367">
        <v>4</v>
      </c>
      <c r="O1367">
        <v>57</v>
      </c>
    </row>
    <row r="1368" spans="1:15" x14ac:dyDescent="0.25">
      <c r="A1368" t="s">
        <v>564</v>
      </c>
      <c r="B1368" t="s">
        <v>30</v>
      </c>
      <c r="C1368" t="s">
        <v>349</v>
      </c>
      <c r="D1368" t="s">
        <v>76</v>
      </c>
      <c r="E1368" t="s">
        <v>668</v>
      </c>
      <c r="F1368" t="s">
        <v>78</v>
      </c>
      <c r="G1368" t="s">
        <v>669</v>
      </c>
      <c r="H1368" t="s">
        <v>9723</v>
      </c>
      <c r="I1368">
        <v>8.9359515671425058E-5</v>
      </c>
      <c r="J1368">
        <v>44763</v>
      </c>
      <c r="K1368">
        <v>2.3311381782155141E-4</v>
      </c>
      <c r="L1368">
        <v>17159</v>
      </c>
      <c r="M1368">
        <v>4</v>
      </c>
      <c r="O1368">
        <v>58</v>
      </c>
    </row>
    <row r="1369" spans="1:15" x14ac:dyDescent="0.25">
      <c r="A1369" t="s">
        <v>564</v>
      </c>
      <c r="B1369" t="s">
        <v>30</v>
      </c>
      <c r="C1369" t="s">
        <v>349</v>
      </c>
      <c r="D1369" t="s">
        <v>76</v>
      </c>
      <c r="E1369" t="s">
        <v>660</v>
      </c>
      <c r="F1369" t="s">
        <v>78</v>
      </c>
      <c r="G1369" t="s">
        <v>661</v>
      </c>
      <c r="H1369" t="s">
        <v>9725</v>
      </c>
      <c r="I1369">
        <v>4.4679757835712529E-5</v>
      </c>
      <c r="J1369">
        <v>44763</v>
      </c>
      <c r="K1369">
        <v>1.165569089107757E-4</v>
      </c>
      <c r="L1369">
        <v>17159</v>
      </c>
      <c r="M1369">
        <v>2</v>
      </c>
      <c r="O1369">
        <v>59</v>
      </c>
    </row>
    <row r="1370" spans="1:15" x14ac:dyDescent="0.25">
      <c r="A1370" t="s">
        <v>564</v>
      </c>
      <c r="B1370" t="s">
        <v>30</v>
      </c>
      <c r="C1370" t="s">
        <v>349</v>
      </c>
      <c r="D1370" t="s">
        <v>76</v>
      </c>
      <c r="E1370" t="s">
        <v>656</v>
      </c>
      <c r="F1370" t="s">
        <v>78</v>
      </c>
      <c r="G1370" t="s">
        <v>657</v>
      </c>
      <c r="H1370" t="s">
        <v>9720</v>
      </c>
      <c r="I1370">
        <v>4.4679757835712529E-5</v>
      </c>
      <c r="J1370">
        <v>44763</v>
      </c>
      <c r="K1370">
        <v>1.165569089107757E-4</v>
      </c>
      <c r="L1370">
        <v>17159</v>
      </c>
      <c r="M1370">
        <v>2</v>
      </c>
      <c r="O1370">
        <v>60</v>
      </c>
    </row>
    <row r="1371" spans="1:15" x14ac:dyDescent="0.25">
      <c r="A1371" t="s">
        <v>564</v>
      </c>
      <c r="B1371" t="s">
        <v>30</v>
      </c>
      <c r="C1371" t="s">
        <v>349</v>
      </c>
      <c r="D1371" t="s">
        <v>76</v>
      </c>
      <c r="E1371" t="s">
        <v>672</v>
      </c>
      <c r="F1371" t="s">
        <v>78</v>
      </c>
      <c r="G1371" t="s">
        <v>673</v>
      </c>
      <c r="H1371" t="s">
        <v>9730</v>
      </c>
      <c r="I1371">
        <v>4.4679757835712529E-5</v>
      </c>
      <c r="J1371">
        <v>44763</v>
      </c>
      <c r="K1371">
        <v>1.165569089107757E-4</v>
      </c>
      <c r="L1371">
        <v>17159</v>
      </c>
      <c r="M1371">
        <v>2</v>
      </c>
      <c r="O1371">
        <v>61</v>
      </c>
    </row>
    <row r="1372" spans="1:15" x14ac:dyDescent="0.25">
      <c r="A1372" t="s">
        <v>564</v>
      </c>
      <c r="B1372" t="s">
        <v>30</v>
      </c>
      <c r="C1372" t="s">
        <v>349</v>
      </c>
      <c r="D1372" t="s">
        <v>76</v>
      </c>
      <c r="E1372" t="s">
        <v>602</v>
      </c>
      <c r="F1372" t="s">
        <v>652</v>
      </c>
      <c r="G1372" t="s">
        <v>653</v>
      </c>
      <c r="H1372" t="s">
        <v>9715</v>
      </c>
      <c r="I1372">
        <v>4.4679757835712529E-5</v>
      </c>
      <c r="J1372">
        <v>44763</v>
      </c>
      <c r="K1372">
        <v>1.165569089107757E-4</v>
      </c>
      <c r="L1372">
        <v>17159</v>
      </c>
      <c r="M1372">
        <v>2</v>
      </c>
      <c r="O1372">
        <v>62</v>
      </c>
    </row>
    <row r="1373" spans="1:15" x14ac:dyDescent="0.25">
      <c r="A1373" t="s">
        <v>564</v>
      </c>
      <c r="B1373" t="s">
        <v>30</v>
      </c>
      <c r="C1373" t="s">
        <v>349</v>
      </c>
      <c r="D1373" t="s">
        <v>76</v>
      </c>
      <c r="E1373" t="s">
        <v>602</v>
      </c>
      <c r="F1373" t="s">
        <v>666</v>
      </c>
      <c r="G1373" t="s">
        <v>667</v>
      </c>
      <c r="H1373" t="s">
        <v>9768</v>
      </c>
      <c r="I1373">
        <v>2.2339878917856261E-5</v>
      </c>
      <c r="J1373">
        <v>44763</v>
      </c>
      <c r="K1373">
        <v>5.8278454455387852E-5</v>
      </c>
      <c r="L1373">
        <v>17159</v>
      </c>
      <c r="M1373">
        <v>1</v>
      </c>
      <c r="O1373">
        <v>63</v>
      </c>
    </row>
    <row r="1374" spans="1:15" x14ac:dyDescent="0.25">
      <c r="A1374" t="s">
        <v>564</v>
      </c>
      <c r="B1374" t="s">
        <v>30</v>
      </c>
      <c r="C1374" t="s">
        <v>349</v>
      </c>
      <c r="D1374" t="s">
        <v>76</v>
      </c>
      <c r="E1374" t="s">
        <v>678</v>
      </c>
      <c r="F1374" t="s">
        <v>78</v>
      </c>
      <c r="G1374" t="s">
        <v>679</v>
      </c>
      <c r="H1374" t="s">
        <v>9727</v>
      </c>
      <c r="I1374">
        <v>2.2339878917856261E-5</v>
      </c>
      <c r="J1374">
        <v>44763</v>
      </c>
      <c r="K1374">
        <v>5.8278454455387852E-5</v>
      </c>
      <c r="L1374">
        <v>17159</v>
      </c>
      <c r="M1374">
        <v>1</v>
      </c>
      <c r="O1374">
        <v>64</v>
      </c>
    </row>
    <row r="1375" spans="1:15" x14ac:dyDescent="0.25">
      <c r="A1375" t="s">
        <v>564</v>
      </c>
      <c r="B1375" t="s">
        <v>30</v>
      </c>
      <c r="C1375" t="s">
        <v>349</v>
      </c>
      <c r="D1375" t="s">
        <v>76</v>
      </c>
      <c r="E1375" t="s">
        <v>81</v>
      </c>
      <c r="F1375" t="s">
        <v>604</v>
      </c>
      <c r="G1375" t="s">
        <v>605</v>
      </c>
      <c r="H1375" t="s">
        <v>9729</v>
      </c>
      <c r="I1375">
        <v>2.2339878917856261E-5</v>
      </c>
      <c r="J1375">
        <v>44763</v>
      </c>
      <c r="K1375">
        <v>5.8278454455387852E-5</v>
      </c>
      <c r="L1375">
        <v>17159</v>
      </c>
      <c r="M1375">
        <v>1</v>
      </c>
      <c r="O1375">
        <v>65</v>
      </c>
    </row>
    <row r="1376" spans="1:15" x14ac:dyDescent="0.25">
      <c r="A1376" t="s">
        <v>564</v>
      </c>
      <c r="B1376" t="s">
        <v>30</v>
      </c>
      <c r="C1376" t="s">
        <v>349</v>
      </c>
      <c r="D1376" t="s">
        <v>76</v>
      </c>
      <c r="E1376" t="s">
        <v>988</v>
      </c>
      <c r="F1376" t="s">
        <v>78</v>
      </c>
      <c r="G1376" t="s">
        <v>989</v>
      </c>
      <c r="H1376" t="s">
        <v>9818</v>
      </c>
      <c r="J1376">
        <v>44763</v>
      </c>
      <c r="L1376">
        <v>17159</v>
      </c>
      <c r="O1376">
        <v>66</v>
      </c>
    </row>
    <row r="1377" spans="1:15" x14ac:dyDescent="0.25">
      <c r="A1377" t="s">
        <v>564</v>
      </c>
      <c r="B1377" t="s">
        <v>30</v>
      </c>
      <c r="C1377" t="s">
        <v>349</v>
      </c>
      <c r="D1377" t="s">
        <v>76</v>
      </c>
      <c r="E1377" t="s">
        <v>634</v>
      </c>
      <c r="F1377" t="s">
        <v>883</v>
      </c>
      <c r="G1377" t="s">
        <v>884</v>
      </c>
      <c r="H1377" t="s">
        <v>9750</v>
      </c>
      <c r="J1377">
        <v>44763</v>
      </c>
      <c r="L1377">
        <v>17159</v>
      </c>
      <c r="O1377">
        <v>67</v>
      </c>
    </row>
    <row r="1378" spans="1:15" x14ac:dyDescent="0.25">
      <c r="A1378" t="s">
        <v>564</v>
      </c>
      <c r="B1378" t="s">
        <v>30</v>
      </c>
      <c r="C1378" t="s">
        <v>349</v>
      </c>
      <c r="D1378" t="s">
        <v>76</v>
      </c>
      <c r="E1378" t="s">
        <v>634</v>
      </c>
      <c r="F1378" t="s">
        <v>880</v>
      </c>
      <c r="G1378" t="s">
        <v>881</v>
      </c>
      <c r="H1378" t="s">
        <v>9717</v>
      </c>
      <c r="J1378">
        <v>44763</v>
      </c>
      <c r="L1378">
        <v>17159</v>
      </c>
      <c r="O1378">
        <v>68</v>
      </c>
    </row>
    <row r="1379" spans="1:15" x14ac:dyDescent="0.25">
      <c r="A1379" t="s">
        <v>564</v>
      </c>
      <c r="B1379" t="s">
        <v>30</v>
      </c>
      <c r="C1379" t="s">
        <v>349</v>
      </c>
      <c r="D1379" t="s">
        <v>76</v>
      </c>
      <c r="E1379" t="s">
        <v>602</v>
      </c>
      <c r="F1379" t="s">
        <v>876</v>
      </c>
      <c r="G1379" t="s">
        <v>877</v>
      </c>
      <c r="H1379" t="s">
        <v>9766</v>
      </c>
      <c r="J1379">
        <v>44763</v>
      </c>
      <c r="L1379">
        <v>17159</v>
      </c>
      <c r="O1379">
        <v>69</v>
      </c>
    </row>
    <row r="1380" spans="1:15" x14ac:dyDescent="0.25">
      <c r="A1380" t="s">
        <v>564</v>
      </c>
      <c r="B1380" t="s">
        <v>30</v>
      </c>
      <c r="C1380" t="s">
        <v>349</v>
      </c>
      <c r="D1380" t="s">
        <v>76</v>
      </c>
      <c r="E1380" t="s">
        <v>602</v>
      </c>
      <c r="F1380" t="s">
        <v>870</v>
      </c>
      <c r="G1380" t="s">
        <v>871</v>
      </c>
      <c r="H1380" t="s">
        <v>9744</v>
      </c>
      <c r="J1380">
        <v>44763</v>
      </c>
      <c r="L1380">
        <v>17159</v>
      </c>
      <c r="O1380">
        <v>70</v>
      </c>
    </row>
    <row r="1381" spans="1:15" x14ac:dyDescent="0.25">
      <c r="A1381" t="s">
        <v>564</v>
      </c>
      <c r="B1381" t="s">
        <v>30</v>
      </c>
      <c r="C1381" t="s">
        <v>349</v>
      </c>
      <c r="D1381" t="s">
        <v>76</v>
      </c>
      <c r="E1381" t="s">
        <v>602</v>
      </c>
      <c r="F1381" t="s">
        <v>867</v>
      </c>
      <c r="G1381" t="s">
        <v>868</v>
      </c>
      <c r="H1381" t="s">
        <v>9746</v>
      </c>
      <c r="J1381">
        <v>44763</v>
      </c>
      <c r="L1381">
        <v>17159</v>
      </c>
      <c r="O1381">
        <v>71</v>
      </c>
    </row>
    <row r="1382" spans="1:15" x14ac:dyDescent="0.25">
      <c r="A1382" t="s">
        <v>564</v>
      </c>
      <c r="B1382" t="s">
        <v>30</v>
      </c>
      <c r="C1382" t="s">
        <v>349</v>
      </c>
      <c r="D1382" t="s">
        <v>76</v>
      </c>
      <c r="E1382" t="s">
        <v>602</v>
      </c>
      <c r="F1382" t="s">
        <v>864</v>
      </c>
      <c r="G1382" t="s">
        <v>865</v>
      </c>
      <c r="H1382" t="s">
        <v>9742</v>
      </c>
      <c r="J1382">
        <v>44763</v>
      </c>
      <c r="L1382">
        <v>17159</v>
      </c>
      <c r="O1382">
        <v>72</v>
      </c>
    </row>
    <row r="1383" spans="1:15" x14ac:dyDescent="0.25">
      <c r="A1383" t="s">
        <v>564</v>
      </c>
      <c r="B1383" t="s">
        <v>30</v>
      </c>
      <c r="C1383" t="s">
        <v>349</v>
      </c>
      <c r="D1383" t="s">
        <v>76</v>
      </c>
      <c r="E1383" t="s">
        <v>602</v>
      </c>
      <c r="F1383" t="s">
        <v>854</v>
      </c>
      <c r="G1383" t="s">
        <v>855</v>
      </c>
      <c r="H1383" t="s">
        <v>9761</v>
      </c>
      <c r="J1383">
        <v>44763</v>
      </c>
      <c r="L1383">
        <v>17159</v>
      </c>
      <c r="O1383">
        <v>73</v>
      </c>
    </row>
    <row r="1384" spans="1:15" x14ac:dyDescent="0.25">
      <c r="A1384" t="s">
        <v>564</v>
      </c>
      <c r="B1384" t="s">
        <v>30</v>
      </c>
      <c r="C1384" t="s">
        <v>349</v>
      </c>
      <c r="D1384" t="s">
        <v>76</v>
      </c>
      <c r="E1384" t="s">
        <v>602</v>
      </c>
      <c r="F1384" t="s">
        <v>1099</v>
      </c>
      <c r="G1384" t="s">
        <v>1100</v>
      </c>
      <c r="H1384" t="s">
        <v>9740</v>
      </c>
      <c r="J1384">
        <v>44763</v>
      </c>
      <c r="L1384">
        <v>17159</v>
      </c>
      <c r="O1384">
        <v>74</v>
      </c>
    </row>
    <row r="1385" spans="1:15" x14ac:dyDescent="0.25">
      <c r="A1385" t="s">
        <v>564</v>
      </c>
      <c r="B1385" t="s">
        <v>30</v>
      </c>
      <c r="C1385" t="s">
        <v>349</v>
      </c>
      <c r="D1385" t="s">
        <v>76</v>
      </c>
      <c r="E1385" t="s">
        <v>602</v>
      </c>
      <c r="F1385" t="s">
        <v>1090</v>
      </c>
      <c r="G1385" t="s">
        <v>1091</v>
      </c>
      <c r="H1385" t="s">
        <v>9738</v>
      </c>
      <c r="J1385">
        <v>44763</v>
      </c>
      <c r="L1385">
        <v>17159</v>
      </c>
      <c r="O1385">
        <v>75</v>
      </c>
    </row>
    <row r="1386" spans="1:15" x14ac:dyDescent="0.25">
      <c r="A1386" t="s">
        <v>564</v>
      </c>
      <c r="B1386" t="s">
        <v>30</v>
      </c>
      <c r="C1386" t="s">
        <v>349</v>
      </c>
      <c r="D1386" t="s">
        <v>76</v>
      </c>
      <c r="E1386" t="s">
        <v>602</v>
      </c>
      <c r="F1386" t="s">
        <v>1087</v>
      </c>
      <c r="G1386" t="s">
        <v>1088</v>
      </c>
      <c r="H1386" t="s">
        <v>9745</v>
      </c>
      <c r="J1386">
        <v>44763</v>
      </c>
      <c r="L1386">
        <v>17159</v>
      </c>
      <c r="O1386">
        <v>76</v>
      </c>
    </row>
    <row r="1387" spans="1:15" x14ac:dyDescent="0.25">
      <c r="A1387" t="s">
        <v>564</v>
      </c>
      <c r="B1387" t="s">
        <v>30</v>
      </c>
      <c r="C1387" t="s">
        <v>349</v>
      </c>
      <c r="D1387" t="s">
        <v>76</v>
      </c>
      <c r="E1387" t="s">
        <v>81</v>
      </c>
      <c r="F1387" t="s">
        <v>851</v>
      </c>
      <c r="G1387" t="s">
        <v>852</v>
      </c>
      <c r="H1387" t="s">
        <v>9817</v>
      </c>
      <c r="J1387">
        <v>44763</v>
      </c>
      <c r="L1387">
        <v>17159</v>
      </c>
      <c r="O1387">
        <v>77</v>
      </c>
    </row>
    <row r="1388" spans="1:15" x14ac:dyDescent="0.25">
      <c r="A1388" t="s">
        <v>564</v>
      </c>
      <c r="B1388" t="s">
        <v>30</v>
      </c>
      <c r="C1388" t="s">
        <v>349</v>
      </c>
      <c r="D1388" t="s">
        <v>76</v>
      </c>
      <c r="E1388" t="s">
        <v>654</v>
      </c>
      <c r="F1388" t="s">
        <v>8518</v>
      </c>
      <c r="G1388" t="s">
        <v>8519</v>
      </c>
      <c r="H1388" t="s">
        <v>9747</v>
      </c>
      <c r="J1388">
        <v>44763</v>
      </c>
      <c r="L1388">
        <v>17159</v>
      </c>
      <c r="O1388">
        <v>78</v>
      </c>
    </row>
    <row r="1389" spans="1:15" x14ac:dyDescent="0.25">
      <c r="A1389" t="s">
        <v>564</v>
      </c>
      <c r="B1389" t="s">
        <v>30</v>
      </c>
      <c r="C1389" t="s">
        <v>349</v>
      </c>
      <c r="D1389" t="s">
        <v>76</v>
      </c>
      <c r="E1389" t="s">
        <v>654</v>
      </c>
      <c r="F1389" t="s">
        <v>8471</v>
      </c>
      <c r="G1389" t="s">
        <v>8472</v>
      </c>
      <c r="H1389" t="s">
        <v>9731</v>
      </c>
      <c r="J1389">
        <v>44763</v>
      </c>
      <c r="L1389">
        <v>17159</v>
      </c>
      <c r="O1389">
        <v>79</v>
      </c>
    </row>
    <row r="1390" spans="1:15" x14ac:dyDescent="0.25">
      <c r="A1390" t="s">
        <v>564</v>
      </c>
      <c r="B1390" t="s">
        <v>30</v>
      </c>
      <c r="C1390" t="s">
        <v>349</v>
      </c>
      <c r="D1390" t="s">
        <v>76</v>
      </c>
      <c r="E1390" t="s">
        <v>654</v>
      </c>
      <c r="F1390" t="s">
        <v>8465</v>
      </c>
      <c r="G1390" t="s">
        <v>8466</v>
      </c>
      <c r="H1390" t="s">
        <v>9749</v>
      </c>
      <c r="J1390">
        <v>44763</v>
      </c>
      <c r="L1390">
        <v>17159</v>
      </c>
      <c r="O1390">
        <v>80</v>
      </c>
    </row>
    <row r="1391" spans="1:15" x14ac:dyDescent="0.25">
      <c r="A1391" t="s">
        <v>564</v>
      </c>
      <c r="B1391" t="s">
        <v>30</v>
      </c>
      <c r="C1391" t="s">
        <v>349</v>
      </c>
      <c r="D1391" t="s">
        <v>76</v>
      </c>
      <c r="E1391" t="s">
        <v>886</v>
      </c>
      <c r="F1391" t="s">
        <v>8512</v>
      </c>
      <c r="G1391" t="s">
        <v>8513</v>
      </c>
      <c r="H1391" t="s">
        <v>9798</v>
      </c>
      <c r="J1391">
        <v>44763</v>
      </c>
      <c r="L1391">
        <v>17159</v>
      </c>
      <c r="O1391">
        <v>81</v>
      </c>
    </row>
    <row r="1392" spans="1:15" x14ac:dyDescent="0.25">
      <c r="A1392" t="s">
        <v>564</v>
      </c>
      <c r="B1392" t="s">
        <v>30</v>
      </c>
      <c r="C1392" t="s">
        <v>349</v>
      </c>
      <c r="D1392" t="s">
        <v>76</v>
      </c>
      <c r="E1392" t="s">
        <v>886</v>
      </c>
      <c r="F1392" t="s">
        <v>8495</v>
      </c>
      <c r="G1392" t="s">
        <v>8496</v>
      </c>
      <c r="H1392" t="s">
        <v>9792</v>
      </c>
      <c r="J1392">
        <v>44763</v>
      </c>
      <c r="L1392">
        <v>17159</v>
      </c>
      <c r="O1392">
        <v>82</v>
      </c>
    </row>
    <row r="1393" spans="1:15" x14ac:dyDescent="0.25">
      <c r="A1393" t="s">
        <v>564</v>
      </c>
      <c r="B1393" t="s">
        <v>30</v>
      </c>
      <c r="C1393" t="s">
        <v>349</v>
      </c>
      <c r="D1393" t="s">
        <v>76</v>
      </c>
      <c r="E1393" t="s">
        <v>886</v>
      </c>
      <c r="F1393" t="s">
        <v>8504</v>
      </c>
      <c r="G1393" t="s">
        <v>8505</v>
      </c>
      <c r="H1393" t="s">
        <v>9795</v>
      </c>
      <c r="J1393">
        <v>44763</v>
      </c>
      <c r="L1393">
        <v>17159</v>
      </c>
      <c r="O1393">
        <v>83</v>
      </c>
    </row>
    <row r="1394" spans="1:15" x14ac:dyDescent="0.25">
      <c r="A1394" t="s">
        <v>564</v>
      </c>
      <c r="B1394" t="s">
        <v>30</v>
      </c>
      <c r="C1394" t="s">
        <v>349</v>
      </c>
      <c r="D1394" t="s">
        <v>76</v>
      </c>
      <c r="E1394" t="s">
        <v>686</v>
      </c>
      <c r="F1394" t="s">
        <v>1084</v>
      </c>
      <c r="G1394" t="s">
        <v>1085</v>
      </c>
      <c r="H1394" t="s">
        <v>9756</v>
      </c>
      <c r="J1394">
        <v>44763</v>
      </c>
      <c r="L1394">
        <v>17159</v>
      </c>
      <c r="O1394">
        <v>84</v>
      </c>
    </row>
    <row r="1395" spans="1:15" x14ac:dyDescent="0.25">
      <c r="A1395" t="s">
        <v>564</v>
      </c>
      <c r="B1395" t="s">
        <v>30</v>
      </c>
      <c r="C1395" t="s">
        <v>349</v>
      </c>
      <c r="D1395" t="s">
        <v>76</v>
      </c>
      <c r="E1395" t="s">
        <v>686</v>
      </c>
      <c r="F1395" t="s">
        <v>1069</v>
      </c>
      <c r="G1395" t="s">
        <v>1070</v>
      </c>
      <c r="H1395" t="s">
        <v>9785</v>
      </c>
      <c r="J1395">
        <v>44763</v>
      </c>
      <c r="L1395">
        <v>17159</v>
      </c>
      <c r="O1395">
        <v>85</v>
      </c>
    </row>
    <row r="1396" spans="1:15" x14ac:dyDescent="0.25">
      <c r="A1396" t="s">
        <v>564</v>
      </c>
      <c r="B1396" t="s">
        <v>30</v>
      </c>
      <c r="C1396" t="s">
        <v>349</v>
      </c>
      <c r="D1396" t="s">
        <v>76</v>
      </c>
      <c r="E1396" t="s">
        <v>686</v>
      </c>
      <c r="F1396" t="s">
        <v>1063</v>
      </c>
      <c r="G1396" t="s">
        <v>1064</v>
      </c>
      <c r="H1396" t="s">
        <v>9774</v>
      </c>
      <c r="J1396">
        <v>44763</v>
      </c>
      <c r="L1396">
        <v>17159</v>
      </c>
      <c r="O1396">
        <v>86</v>
      </c>
    </row>
    <row r="1397" spans="1:15" x14ac:dyDescent="0.25">
      <c r="A1397" t="s">
        <v>564</v>
      </c>
      <c r="B1397" t="s">
        <v>30</v>
      </c>
      <c r="C1397" t="s">
        <v>349</v>
      </c>
      <c r="D1397" t="s">
        <v>76</v>
      </c>
      <c r="E1397" t="s">
        <v>686</v>
      </c>
      <c r="F1397" t="s">
        <v>1045</v>
      </c>
      <c r="G1397" t="s">
        <v>1046</v>
      </c>
      <c r="H1397" t="s">
        <v>9801</v>
      </c>
      <c r="J1397">
        <v>44763</v>
      </c>
      <c r="L1397">
        <v>17159</v>
      </c>
      <c r="O1397">
        <v>87</v>
      </c>
    </row>
    <row r="1398" spans="1:15" x14ac:dyDescent="0.25">
      <c r="A1398" t="s">
        <v>564</v>
      </c>
      <c r="B1398" t="s">
        <v>30</v>
      </c>
      <c r="C1398" t="s">
        <v>349</v>
      </c>
      <c r="D1398" t="s">
        <v>76</v>
      </c>
      <c r="E1398" t="s">
        <v>686</v>
      </c>
      <c r="F1398" t="s">
        <v>1039</v>
      </c>
      <c r="G1398" t="s">
        <v>1040</v>
      </c>
      <c r="H1398" t="s">
        <v>9751</v>
      </c>
      <c r="J1398">
        <v>44763</v>
      </c>
      <c r="L1398">
        <v>17159</v>
      </c>
      <c r="O1398">
        <v>88</v>
      </c>
    </row>
    <row r="1399" spans="1:15" x14ac:dyDescent="0.25">
      <c r="A1399" t="s">
        <v>564</v>
      </c>
      <c r="B1399" t="s">
        <v>30</v>
      </c>
      <c r="C1399" t="s">
        <v>349</v>
      </c>
      <c r="D1399" t="s">
        <v>76</v>
      </c>
      <c r="E1399" t="s">
        <v>686</v>
      </c>
      <c r="F1399" t="s">
        <v>1036</v>
      </c>
      <c r="G1399" t="s">
        <v>1037</v>
      </c>
      <c r="H1399" t="s">
        <v>9743</v>
      </c>
      <c r="J1399">
        <v>44763</v>
      </c>
      <c r="L1399">
        <v>17159</v>
      </c>
      <c r="O1399">
        <v>89</v>
      </c>
    </row>
    <row r="1400" spans="1:15" x14ac:dyDescent="0.25">
      <c r="A1400" t="s">
        <v>564</v>
      </c>
      <c r="B1400" t="s">
        <v>30</v>
      </c>
      <c r="C1400" t="s">
        <v>349</v>
      </c>
      <c r="D1400" t="s">
        <v>76</v>
      </c>
      <c r="E1400" t="s">
        <v>686</v>
      </c>
      <c r="F1400" t="s">
        <v>1024</v>
      </c>
      <c r="G1400" t="s">
        <v>1025</v>
      </c>
      <c r="H1400" t="s">
        <v>9802</v>
      </c>
      <c r="J1400">
        <v>44763</v>
      </c>
      <c r="L1400">
        <v>17159</v>
      </c>
      <c r="O1400">
        <v>90</v>
      </c>
    </row>
    <row r="1401" spans="1:15" x14ac:dyDescent="0.25">
      <c r="A1401" t="s">
        <v>564</v>
      </c>
      <c r="B1401" t="s">
        <v>30</v>
      </c>
      <c r="C1401" t="s">
        <v>349</v>
      </c>
      <c r="D1401" t="s">
        <v>76</v>
      </c>
      <c r="E1401" t="s">
        <v>686</v>
      </c>
      <c r="F1401" t="s">
        <v>1021</v>
      </c>
      <c r="G1401" t="s">
        <v>1022</v>
      </c>
      <c r="H1401" t="s">
        <v>9755</v>
      </c>
      <c r="J1401">
        <v>44763</v>
      </c>
      <c r="L1401">
        <v>17159</v>
      </c>
      <c r="O1401">
        <v>91</v>
      </c>
    </row>
    <row r="1402" spans="1:15" x14ac:dyDescent="0.25">
      <c r="A1402" t="s">
        <v>564</v>
      </c>
      <c r="B1402" t="s">
        <v>30</v>
      </c>
      <c r="C1402" t="s">
        <v>349</v>
      </c>
      <c r="D1402" t="s">
        <v>76</v>
      </c>
      <c r="E1402" t="s">
        <v>686</v>
      </c>
      <c r="F1402" t="s">
        <v>1012</v>
      </c>
      <c r="G1402" t="s">
        <v>1013</v>
      </c>
      <c r="H1402" t="s">
        <v>9748</v>
      </c>
      <c r="J1402">
        <v>44763</v>
      </c>
      <c r="L1402">
        <v>17159</v>
      </c>
      <c r="O1402">
        <v>92</v>
      </c>
    </row>
    <row r="1403" spans="1:15" x14ac:dyDescent="0.25">
      <c r="A1403" t="s">
        <v>564</v>
      </c>
      <c r="B1403" t="s">
        <v>30</v>
      </c>
      <c r="C1403" t="s">
        <v>349</v>
      </c>
      <c r="D1403" t="s">
        <v>76</v>
      </c>
      <c r="E1403" t="s">
        <v>686</v>
      </c>
      <c r="F1403" t="s">
        <v>1009</v>
      </c>
      <c r="G1403" t="s">
        <v>1010</v>
      </c>
      <c r="H1403" t="s">
        <v>9813</v>
      </c>
      <c r="J1403">
        <v>44763</v>
      </c>
      <c r="L1403">
        <v>17159</v>
      </c>
      <c r="O1403">
        <v>93</v>
      </c>
    </row>
    <row r="1404" spans="1:15" x14ac:dyDescent="0.25">
      <c r="A1404" t="s">
        <v>564</v>
      </c>
      <c r="B1404" t="s">
        <v>30</v>
      </c>
      <c r="C1404" t="s">
        <v>349</v>
      </c>
      <c r="D1404" t="s">
        <v>76</v>
      </c>
      <c r="E1404" t="s">
        <v>686</v>
      </c>
      <c r="F1404" t="s">
        <v>1006</v>
      </c>
      <c r="G1404" t="s">
        <v>1007</v>
      </c>
      <c r="H1404" t="s">
        <v>9811</v>
      </c>
      <c r="J1404">
        <v>44763</v>
      </c>
      <c r="L1404">
        <v>17159</v>
      </c>
      <c r="O1404">
        <v>94</v>
      </c>
    </row>
    <row r="1405" spans="1:15" x14ac:dyDescent="0.25">
      <c r="A1405" t="s">
        <v>564</v>
      </c>
      <c r="B1405" t="s">
        <v>30</v>
      </c>
      <c r="C1405" t="s">
        <v>349</v>
      </c>
      <c r="D1405" t="s">
        <v>76</v>
      </c>
      <c r="E1405" t="s">
        <v>686</v>
      </c>
      <c r="F1405" t="s">
        <v>991</v>
      </c>
      <c r="G1405" t="s">
        <v>992</v>
      </c>
      <c r="H1405" t="s">
        <v>9807</v>
      </c>
      <c r="J1405">
        <v>44763</v>
      </c>
      <c r="L1405">
        <v>17159</v>
      </c>
      <c r="O1405">
        <v>95</v>
      </c>
    </row>
    <row r="1406" spans="1:15" x14ac:dyDescent="0.25">
      <c r="A1406" t="s">
        <v>564</v>
      </c>
      <c r="B1406" t="s">
        <v>30</v>
      </c>
      <c r="C1406" t="s">
        <v>349</v>
      </c>
      <c r="D1406" t="s">
        <v>76</v>
      </c>
      <c r="E1406" t="s">
        <v>686</v>
      </c>
      <c r="F1406" t="s">
        <v>958</v>
      </c>
      <c r="G1406" t="s">
        <v>959</v>
      </c>
      <c r="H1406" t="s">
        <v>9752</v>
      </c>
      <c r="J1406">
        <v>44763</v>
      </c>
      <c r="L1406">
        <v>17159</v>
      </c>
      <c r="O1406">
        <v>96</v>
      </c>
    </row>
    <row r="1407" spans="1:15" x14ac:dyDescent="0.25">
      <c r="A1407" t="s">
        <v>564</v>
      </c>
      <c r="B1407" t="s">
        <v>30</v>
      </c>
      <c r="C1407" t="s">
        <v>349</v>
      </c>
      <c r="D1407" t="s">
        <v>76</v>
      </c>
      <c r="E1407" t="s">
        <v>686</v>
      </c>
      <c r="F1407" t="s">
        <v>952</v>
      </c>
      <c r="G1407" t="s">
        <v>953</v>
      </c>
      <c r="H1407" t="s">
        <v>9767</v>
      </c>
      <c r="J1407">
        <v>44763</v>
      </c>
      <c r="L1407">
        <v>17159</v>
      </c>
      <c r="O1407">
        <v>97</v>
      </c>
    </row>
    <row r="1408" spans="1:15" x14ac:dyDescent="0.25">
      <c r="A1408" t="s">
        <v>564</v>
      </c>
      <c r="B1408" t="s">
        <v>30</v>
      </c>
      <c r="C1408" t="s">
        <v>349</v>
      </c>
      <c r="D1408" t="s">
        <v>76</v>
      </c>
      <c r="E1408" t="s">
        <v>686</v>
      </c>
      <c r="F1408" t="s">
        <v>940</v>
      </c>
      <c r="G1408" t="s">
        <v>941</v>
      </c>
      <c r="H1408" t="s">
        <v>9819</v>
      </c>
      <c r="J1408">
        <v>44763</v>
      </c>
      <c r="L1408">
        <v>17159</v>
      </c>
      <c r="O1408">
        <v>98</v>
      </c>
    </row>
    <row r="1409" spans="1:15" x14ac:dyDescent="0.25">
      <c r="A1409" t="s">
        <v>564</v>
      </c>
      <c r="B1409" t="s">
        <v>30</v>
      </c>
      <c r="C1409" t="s">
        <v>349</v>
      </c>
      <c r="D1409" t="s">
        <v>76</v>
      </c>
      <c r="E1409" t="s">
        <v>686</v>
      </c>
      <c r="F1409" t="s">
        <v>937</v>
      </c>
      <c r="G1409" t="s">
        <v>938</v>
      </c>
      <c r="H1409" t="s">
        <v>9753</v>
      </c>
      <c r="J1409">
        <v>44763</v>
      </c>
      <c r="L1409">
        <v>17159</v>
      </c>
      <c r="O1409">
        <v>99</v>
      </c>
    </row>
    <row r="1410" spans="1:15" x14ac:dyDescent="0.25">
      <c r="A1410" t="s">
        <v>564</v>
      </c>
      <c r="B1410" t="s">
        <v>30</v>
      </c>
      <c r="C1410" t="s">
        <v>349</v>
      </c>
      <c r="D1410" t="s">
        <v>76</v>
      </c>
      <c r="E1410" t="s">
        <v>686</v>
      </c>
      <c r="F1410" t="s">
        <v>934</v>
      </c>
      <c r="G1410" t="s">
        <v>935</v>
      </c>
      <c r="H1410" t="s">
        <v>9735</v>
      </c>
      <c r="J1410">
        <v>44763</v>
      </c>
      <c r="L1410">
        <v>17159</v>
      </c>
      <c r="O1410">
        <v>100</v>
      </c>
    </row>
    <row r="1411" spans="1:15" x14ac:dyDescent="0.25">
      <c r="A1411" t="s">
        <v>564</v>
      </c>
      <c r="B1411" t="s">
        <v>30</v>
      </c>
      <c r="C1411" t="s">
        <v>349</v>
      </c>
      <c r="D1411" t="s">
        <v>76</v>
      </c>
      <c r="E1411" t="s">
        <v>686</v>
      </c>
      <c r="F1411" t="s">
        <v>924</v>
      </c>
      <c r="G1411" t="s">
        <v>925</v>
      </c>
      <c r="H1411" t="s">
        <v>9754</v>
      </c>
      <c r="J1411">
        <v>44763</v>
      </c>
      <c r="L1411">
        <v>17159</v>
      </c>
      <c r="O1411">
        <v>101</v>
      </c>
    </row>
    <row r="1412" spans="1:15" x14ac:dyDescent="0.25">
      <c r="A1412" t="s">
        <v>564</v>
      </c>
      <c r="B1412" t="s">
        <v>30</v>
      </c>
      <c r="C1412" t="s">
        <v>349</v>
      </c>
      <c r="D1412" t="s">
        <v>76</v>
      </c>
      <c r="E1412" t="s">
        <v>686</v>
      </c>
      <c r="F1412" t="s">
        <v>921</v>
      </c>
      <c r="G1412" t="s">
        <v>922</v>
      </c>
      <c r="H1412" t="s">
        <v>9764</v>
      </c>
      <c r="J1412">
        <v>44763</v>
      </c>
      <c r="L1412">
        <v>17159</v>
      </c>
      <c r="O1412">
        <v>102</v>
      </c>
    </row>
    <row r="1413" spans="1:15" x14ac:dyDescent="0.25">
      <c r="A1413" t="s">
        <v>564</v>
      </c>
      <c r="B1413" t="s">
        <v>30</v>
      </c>
      <c r="C1413" t="s">
        <v>349</v>
      </c>
      <c r="D1413" t="s">
        <v>76</v>
      </c>
      <c r="E1413" t="s">
        <v>686</v>
      </c>
      <c r="F1413" t="s">
        <v>915</v>
      </c>
      <c r="G1413" t="s">
        <v>916</v>
      </c>
      <c r="H1413" t="s">
        <v>9803</v>
      </c>
      <c r="J1413">
        <v>44763</v>
      </c>
      <c r="L1413">
        <v>17159</v>
      </c>
      <c r="O1413">
        <v>103</v>
      </c>
    </row>
    <row r="1414" spans="1:15" x14ac:dyDescent="0.25">
      <c r="A1414" t="s">
        <v>564</v>
      </c>
      <c r="B1414" t="s">
        <v>30</v>
      </c>
      <c r="C1414" t="s">
        <v>349</v>
      </c>
      <c r="D1414" t="s">
        <v>76</v>
      </c>
      <c r="E1414" t="s">
        <v>686</v>
      </c>
      <c r="F1414" t="s">
        <v>909</v>
      </c>
      <c r="G1414" t="s">
        <v>910</v>
      </c>
      <c r="H1414" t="s">
        <v>9757</v>
      </c>
      <c r="J1414">
        <v>44763</v>
      </c>
      <c r="L1414">
        <v>17159</v>
      </c>
      <c r="O1414">
        <v>104</v>
      </c>
    </row>
    <row r="1415" spans="1:15" x14ac:dyDescent="0.25">
      <c r="A1415" t="s">
        <v>564</v>
      </c>
      <c r="B1415" t="s">
        <v>30</v>
      </c>
      <c r="C1415" t="s">
        <v>349</v>
      </c>
      <c r="D1415" t="s">
        <v>76</v>
      </c>
      <c r="E1415" t="s">
        <v>686</v>
      </c>
      <c r="F1415" t="s">
        <v>894</v>
      </c>
      <c r="G1415" t="s">
        <v>895</v>
      </c>
      <c r="H1415" t="s">
        <v>9758</v>
      </c>
      <c r="J1415">
        <v>44763</v>
      </c>
      <c r="L1415">
        <v>17159</v>
      </c>
      <c r="O1415">
        <v>105</v>
      </c>
    </row>
    <row r="1416" spans="1:15" x14ac:dyDescent="0.25">
      <c r="A1416" t="s">
        <v>564</v>
      </c>
      <c r="B1416" t="s">
        <v>30</v>
      </c>
      <c r="C1416" t="s">
        <v>349</v>
      </c>
      <c r="D1416" t="s">
        <v>76</v>
      </c>
      <c r="E1416" t="s">
        <v>682</v>
      </c>
      <c r="F1416" t="s">
        <v>78</v>
      </c>
      <c r="G1416" t="s">
        <v>683</v>
      </c>
      <c r="H1416" t="s">
        <v>9718</v>
      </c>
      <c r="J1416">
        <v>44763</v>
      </c>
      <c r="L1416">
        <v>17159</v>
      </c>
      <c r="O1416">
        <v>106</v>
      </c>
    </row>
    <row r="1417" spans="1:15" x14ac:dyDescent="0.25">
      <c r="A1417" t="s">
        <v>564</v>
      </c>
      <c r="B1417" t="s">
        <v>30</v>
      </c>
      <c r="C1417" t="s">
        <v>349</v>
      </c>
      <c r="D1417" t="s">
        <v>76</v>
      </c>
      <c r="E1417" t="s">
        <v>897</v>
      </c>
      <c r="F1417" t="s">
        <v>78</v>
      </c>
      <c r="G1417" t="s">
        <v>898</v>
      </c>
      <c r="H1417" t="s">
        <v>9788</v>
      </c>
      <c r="J1417">
        <v>44763</v>
      </c>
      <c r="L1417">
        <v>17159</v>
      </c>
      <c r="O1417">
        <v>107</v>
      </c>
    </row>
    <row r="1418" spans="1:15" x14ac:dyDescent="0.25">
      <c r="A1418" t="s">
        <v>564</v>
      </c>
      <c r="B1418" t="s">
        <v>30</v>
      </c>
      <c r="C1418" t="s">
        <v>349</v>
      </c>
      <c r="D1418" t="s">
        <v>76</v>
      </c>
      <c r="E1418" t="s">
        <v>900</v>
      </c>
      <c r="F1418" t="s">
        <v>78</v>
      </c>
      <c r="G1418" t="s">
        <v>901</v>
      </c>
      <c r="H1418" t="s">
        <v>9784</v>
      </c>
      <c r="J1418">
        <v>44763</v>
      </c>
      <c r="L1418">
        <v>17159</v>
      </c>
      <c r="O1418">
        <v>108</v>
      </c>
    </row>
    <row r="1419" spans="1:15" x14ac:dyDescent="0.25">
      <c r="A1419" t="s">
        <v>564</v>
      </c>
      <c r="B1419" t="s">
        <v>30</v>
      </c>
      <c r="C1419" t="s">
        <v>349</v>
      </c>
      <c r="D1419" t="s">
        <v>76</v>
      </c>
      <c r="E1419" t="s">
        <v>903</v>
      </c>
      <c r="F1419" t="s">
        <v>78</v>
      </c>
      <c r="G1419" t="s">
        <v>904</v>
      </c>
      <c r="H1419" t="s">
        <v>9821</v>
      </c>
      <c r="J1419">
        <v>44763</v>
      </c>
      <c r="L1419">
        <v>17159</v>
      </c>
      <c r="O1419">
        <v>109</v>
      </c>
    </row>
    <row r="1420" spans="1:15" x14ac:dyDescent="0.25">
      <c r="A1420" t="s">
        <v>564</v>
      </c>
      <c r="B1420" t="s">
        <v>30</v>
      </c>
      <c r="C1420" t="s">
        <v>349</v>
      </c>
      <c r="D1420" t="s">
        <v>76</v>
      </c>
      <c r="E1420" t="s">
        <v>906</v>
      </c>
      <c r="F1420" t="s">
        <v>78</v>
      </c>
      <c r="G1420" t="s">
        <v>907</v>
      </c>
      <c r="H1420" t="s">
        <v>9804</v>
      </c>
      <c r="J1420">
        <v>44763</v>
      </c>
      <c r="L1420">
        <v>17159</v>
      </c>
      <c r="O1420">
        <v>110</v>
      </c>
    </row>
    <row r="1421" spans="1:15" x14ac:dyDescent="0.25">
      <c r="A1421" t="s">
        <v>564</v>
      </c>
      <c r="B1421" t="s">
        <v>30</v>
      </c>
      <c r="C1421" t="s">
        <v>349</v>
      </c>
      <c r="D1421" t="s">
        <v>76</v>
      </c>
      <c r="E1421" t="s">
        <v>912</v>
      </c>
      <c r="F1421" t="s">
        <v>78</v>
      </c>
      <c r="G1421" t="s">
        <v>913</v>
      </c>
      <c r="H1421" t="s">
        <v>9776</v>
      </c>
      <c r="J1421">
        <v>44763</v>
      </c>
      <c r="L1421">
        <v>17159</v>
      </c>
      <c r="O1421">
        <v>111</v>
      </c>
    </row>
    <row r="1422" spans="1:15" x14ac:dyDescent="0.25">
      <c r="A1422" t="s">
        <v>564</v>
      </c>
      <c r="B1422" t="s">
        <v>30</v>
      </c>
      <c r="C1422" t="s">
        <v>349</v>
      </c>
      <c r="D1422" t="s">
        <v>76</v>
      </c>
      <c r="E1422" t="s">
        <v>662</v>
      </c>
      <c r="F1422" t="s">
        <v>78</v>
      </c>
      <c r="G1422" t="s">
        <v>663</v>
      </c>
      <c r="H1422" t="s">
        <v>9830</v>
      </c>
      <c r="J1422">
        <v>44763</v>
      </c>
      <c r="L1422">
        <v>17159</v>
      </c>
      <c r="O1422">
        <v>112</v>
      </c>
    </row>
    <row r="1423" spans="1:15" x14ac:dyDescent="0.25">
      <c r="A1423" t="s">
        <v>564</v>
      </c>
      <c r="B1423" t="s">
        <v>30</v>
      </c>
      <c r="C1423" t="s">
        <v>349</v>
      </c>
      <c r="D1423" t="s">
        <v>76</v>
      </c>
      <c r="E1423" t="s">
        <v>918</v>
      </c>
      <c r="F1423" t="s">
        <v>78</v>
      </c>
      <c r="G1423" t="s">
        <v>919</v>
      </c>
      <c r="H1423" t="s">
        <v>9780</v>
      </c>
      <c r="J1423">
        <v>44763</v>
      </c>
      <c r="L1423">
        <v>17159</v>
      </c>
      <c r="O1423">
        <v>113</v>
      </c>
    </row>
    <row r="1424" spans="1:15" x14ac:dyDescent="0.25">
      <c r="A1424" t="s">
        <v>564</v>
      </c>
      <c r="B1424" t="s">
        <v>30</v>
      </c>
      <c r="C1424" t="s">
        <v>349</v>
      </c>
      <c r="D1424" t="s">
        <v>76</v>
      </c>
      <c r="E1424" t="s">
        <v>664</v>
      </c>
      <c r="F1424" t="s">
        <v>78</v>
      </c>
      <c r="G1424" t="s">
        <v>665</v>
      </c>
      <c r="H1424" t="s">
        <v>9741</v>
      </c>
      <c r="J1424">
        <v>44763</v>
      </c>
      <c r="L1424">
        <v>17159</v>
      </c>
      <c r="O1424">
        <v>114</v>
      </c>
    </row>
    <row r="1425" spans="1:15" x14ac:dyDescent="0.25">
      <c r="A1425" t="s">
        <v>564</v>
      </c>
      <c r="B1425" t="s">
        <v>30</v>
      </c>
      <c r="C1425" t="s">
        <v>349</v>
      </c>
      <c r="D1425" t="s">
        <v>76</v>
      </c>
      <c r="E1425" t="s">
        <v>927</v>
      </c>
      <c r="F1425" t="s">
        <v>78</v>
      </c>
      <c r="G1425" t="s">
        <v>928</v>
      </c>
      <c r="H1425" t="s">
        <v>9778</v>
      </c>
      <c r="J1425">
        <v>44763</v>
      </c>
      <c r="L1425">
        <v>17159</v>
      </c>
      <c r="O1425">
        <v>115</v>
      </c>
    </row>
    <row r="1426" spans="1:15" x14ac:dyDescent="0.25">
      <c r="A1426" t="s">
        <v>564</v>
      </c>
      <c r="B1426" t="s">
        <v>30</v>
      </c>
      <c r="C1426" t="s">
        <v>349</v>
      </c>
      <c r="D1426" t="s">
        <v>76</v>
      </c>
      <c r="E1426" t="s">
        <v>690</v>
      </c>
      <c r="F1426" t="s">
        <v>78</v>
      </c>
      <c r="G1426" t="s">
        <v>691</v>
      </c>
      <c r="H1426" t="s">
        <v>9770</v>
      </c>
      <c r="J1426">
        <v>44763</v>
      </c>
      <c r="L1426">
        <v>17159</v>
      </c>
      <c r="O1426">
        <v>116</v>
      </c>
    </row>
    <row r="1427" spans="1:15" x14ac:dyDescent="0.25">
      <c r="A1427" t="s">
        <v>564</v>
      </c>
      <c r="B1427" t="s">
        <v>30</v>
      </c>
      <c r="C1427" t="s">
        <v>349</v>
      </c>
      <c r="D1427" t="s">
        <v>76</v>
      </c>
      <c r="E1427" t="s">
        <v>931</v>
      </c>
      <c r="F1427" t="s">
        <v>78</v>
      </c>
      <c r="G1427" t="s">
        <v>932</v>
      </c>
      <c r="H1427" t="s">
        <v>9736</v>
      </c>
      <c r="J1427">
        <v>44763</v>
      </c>
      <c r="L1427">
        <v>17159</v>
      </c>
      <c r="O1427">
        <v>117</v>
      </c>
    </row>
    <row r="1428" spans="1:15" x14ac:dyDescent="0.25">
      <c r="A1428" t="s">
        <v>564</v>
      </c>
      <c r="B1428" t="s">
        <v>30</v>
      </c>
      <c r="C1428" t="s">
        <v>349</v>
      </c>
      <c r="D1428" t="s">
        <v>76</v>
      </c>
      <c r="E1428" t="s">
        <v>943</v>
      </c>
      <c r="F1428" t="s">
        <v>78</v>
      </c>
      <c r="G1428" t="s">
        <v>944</v>
      </c>
      <c r="H1428" t="s">
        <v>9737</v>
      </c>
      <c r="J1428">
        <v>44763</v>
      </c>
      <c r="L1428">
        <v>17159</v>
      </c>
      <c r="O1428">
        <v>118</v>
      </c>
    </row>
    <row r="1429" spans="1:15" x14ac:dyDescent="0.25">
      <c r="A1429" t="s">
        <v>564</v>
      </c>
      <c r="B1429" t="s">
        <v>30</v>
      </c>
      <c r="C1429" t="s">
        <v>349</v>
      </c>
      <c r="D1429" t="s">
        <v>76</v>
      </c>
      <c r="E1429" t="s">
        <v>946</v>
      </c>
      <c r="F1429" t="s">
        <v>78</v>
      </c>
      <c r="G1429" t="s">
        <v>947</v>
      </c>
      <c r="H1429" t="s">
        <v>9828</v>
      </c>
      <c r="J1429">
        <v>44763</v>
      </c>
      <c r="L1429">
        <v>17159</v>
      </c>
      <c r="O1429">
        <v>119</v>
      </c>
    </row>
    <row r="1430" spans="1:15" x14ac:dyDescent="0.25">
      <c r="A1430" t="s">
        <v>564</v>
      </c>
      <c r="B1430" t="s">
        <v>30</v>
      </c>
      <c r="C1430" t="s">
        <v>349</v>
      </c>
      <c r="D1430" t="s">
        <v>76</v>
      </c>
      <c r="E1430" t="s">
        <v>949</v>
      </c>
      <c r="F1430" t="s">
        <v>78</v>
      </c>
      <c r="G1430" t="s">
        <v>950</v>
      </c>
      <c r="H1430" t="s">
        <v>9829</v>
      </c>
      <c r="J1430">
        <v>44763</v>
      </c>
      <c r="L1430">
        <v>17159</v>
      </c>
      <c r="O1430">
        <v>120</v>
      </c>
    </row>
    <row r="1431" spans="1:15" x14ac:dyDescent="0.25">
      <c r="A1431" t="s">
        <v>564</v>
      </c>
      <c r="B1431" t="s">
        <v>30</v>
      </c>
      <c r="C1431" t="s">
        <v>349</v>
      </c>
      <c r="D1431" t="s">
        <v>76</v>
      </c>
      <c r="E1431" t="s">
        <v>680</v>
      </c>
      <c r="F1431" t="s">
        <v>78</v>
      </c>
      <c r="G1431" t="s">
        <v>681</v>
      </c>
      <c r="H1431" t="s">
        <v>9728</v>
      </c>
      <c r="J1431">
        <v>44763</v>
      </c>
      <c r="L1431">
        <v>17159</v>
      </c>
      <c r="O1431">
        <v>121</v>
      </c>
    </row>
    <row r="1432" spans="1:15" x14ac:dyDescent="0.25">
      <c r="A1432" t="s">
        <v>564</v>
      </c>
      <c r="B1432" t="s">
        <v>30</v>
      </c>
      <c r="C1432" t="s">
        <v>349</v>
      </c>
      <c r="D1432" t="s">
        <v>76</v>
      </c>
      <c r="E1432" t="s">
        <v>955</v>
      </c>
      <c r="F1432" t="s">
        <v>78</v>
      </c>
      <c r="G1432" t="s">
        <v>956</v>
      </c>
      <c r="H1432" t="s">
        <v>9773</v>
      </c>
      <c r="J1432">
        <v>44763</v>
      </c>
      <c r="L1432">
        <v>17159</v>
      </c>
      <c r="O1432">
        <v>122</v>
      </c>
    </row>
    <row r="1433" spans="1:15" x14ac:dyDescent="0.25">
      <c r="A1433" t="s">
        <v>564</v>
      </c>
      <c r="B1433" t="s">
        <v>30</v>
      </c>
      <c r="C1433" t="s">
        <v>349</v>
      </c>
      <c r="D1433" t="s">
        <v>76</v>
      </c>
      <c r="E1433" t="s">
        <v>961</v>
      </c>
      <c r="F1433" t="s">
        <v>78</v>
      </c>
      <c r="G1433" t="s">
        <v>962</v>
      </c>
      <c r="H1433" t="s">
        <v>9825</v>
      </c>
      <c r="J1433">
        <v>44763</v>
      </c>
      <c r="L1433">
        <v>17159</v>
      </c>
      <c r="O1433">
        <v>123</v>
      </c>
    </row>
    <row r="1434" spans="1:15" x14ac:dyDescent="0.25">
      <c r="A1434" t="s">
        <v>564</v>
      </c>
      <c r="B1434" t="s">
        <v>30</v>
      </c>
      <c r="C1434" t="s">
        <v>349</v>
      </c>
      <c r="D1434" t="s">
        <v>76</v>
      </c>
      <c r="E1434" t="s">
        <v>964</v>
      </c>
      <c r="F1434" t="s">
        <v>78</v>
      </c>
      <c r="G1434" t="s">
        <v>965</v>
      </c>
      <c r="H1434" t="s">
        <v>9783</v>
      </c>
      <c r="J1434">
        <v>44763</v>
      </c>
      <c r="L1434">
        <v>17159</v>
      </c>
      <c r="O1434">
        <v>124</v>
      </c>
    </row>
    <row r="1435" spans="1:15" x14ac:dyDescent="0.25">
      <c r="A1435" t="s">
        <v>564</v>
      </c>
      <c r="B1435" t="s">
        <v>30</v>
      </c>
      <c r="C1435" t="s">
        <v>349</v>
      </c>
      <c r="D1435" t="s">
        <v>76</v>
      </c>
      <c r="E1435" t="s">
        <v>967</v>
      </c>
      <c r="F1435" t="s">
        <v>78</v>
      </c>
      <c r="G1435" t="s">
        <v>968</v>
      </c>
      <c r="H1435" t="s">
        <v>9814</v>
      </c>
      <c r="J1435">
        <v>44763</v>
      </c>
      <c r="L1435">
        <v>17159</v>
      </c>
      <c r="O1435">
        <v>125</v>
      </c>
    </row>
    <row r="1436" spans="1:15" x14ac:dyDescent="0.25">
      <c r="A1436" t="s">
        <v>564</v>
      </c>
      <c r="B1436" t="s">
        <v>30</v>
      </c>
      <c r="C1436" t="s">
        <v>349</v>
      </c>
      <c r="D1436" t="s">
        <v>76</v>
      </c>
      <c r="E1436" t="s">
        <v>970</v>
      </c>
      <c r="F1436" t="s">
        <v>78</v>
      </c>
      <c r="G1436" t="s">
        <v>971</v>
      </c>
      <c r="H1436" t="s">
        <v>9823</v>
      </c>
      <c r="J1436">
        <v>44763</v>
      </c>
      <c r="L1436">
        <v>17159</v>
      </c>
      <c r="O1436">
        <v>126</v>
      </c>
    </row>
    <row r="1437" spans="1:15" x14ac:dyDescent="0.25">
      <c r="A1437" t="s">
        <v>564</v>
      </c>
      <c r="B1437" t="s">
        <v>30</v>
      </c>
      <c r="C1437" t="s">
        <v>349</v>
      </c>
      <c r="D1437" t="s">
        <v>76</v>
      </c>
      <c r="E1437" t="s">
        <v>973</v>
      </c>
      <c r="F1437" t="s">
        <v>78</v>
      </c>
      <c r="G1437" t="s">
        <v>974</v>
      </c>
      <c r="H1437" t="s">
        <v>9808</v>
      </c>
      <c r="J1437">
        <v>44763</v>
      </c>
      <c r="L1437">
        <v>17159</v>
      </c>
      <c r="O1437">
        <v>127</v>
      </c>
    </row>
    <row r="1438" spans="1:15" x14ac:dyDescent="0.25">
      <c r="A1438" t="s">
        <v>564</v>
      </c>
      <c r="B1438" t="s">
        <v>30</v>
      </c>
      <c r="C1438" t="s">
        <v>349</v>
      </c>
      <c r="D1438" t="s">
        <v>76</v>
      </c>
      <c r="E1438" t="s">
        <v>976</v>
      </c>
      <c r="F1438" t="s">
        <v>78</v>
      </c>
      <c r="G1438" t="s">
        <v>977</v>
      </c>
      <c r="H1438" t="s">
        <v>9824</v>
      </c>
      <c r="J1438">
        <v>44763</v>
      </c>
      <c r="L1438">
        <v>17159</v>
      </c>
      <c r="O1438">
        <v>128</v>
      </c>
    </row>
    <row r="1439" spans="1:15" x14ac:dyDescent="0.25">
      <c r="A1439" t="s">
        <v>564</v>
      </c>
      <c r="B1439" t="s">
        <v>30</v>
      </c>
      <c r="C1439" t="s">
        <v>349</v>
      </c>
      <c r="D1439" t="s">
        <v>76</v>
      </c>
      <c r="E1439" t="s">
        <v>979</v>
      </c>
      <c r="F1439" t="s">
        <v>78</v>
      </c>
      <c r="G1439" t="s">
        <v>980</v>
      </c>
      <c r="H1439" t="s">
        <v>9775</v>
      </c>
      <c r="J1439">
        <v>44763</v>
      </c>
      <c r="L1439">
        <v>17159</v>
      </c>
      <c r="O1439">
        <v>129</v>
      </c>
    </row>
    <row r="1440" spans="1:15" x14ac:dyDescent="0.25">
      <c r="A1440" t="s">
        <v>564</v>
      </c>
      <c r="B1440" t="s">
        <v>30</v>
      </c>
      <c r="C1440" t="s">
        <v>349</v>
      </c>
      <c r="D1440" t="s">
        <v>76</v>
      </c>
      <c r="E1440" t="s">
        <v>982</v>
      </c>
      <c r="F1440" t="s">
        <v>78</v>
      </c>
      <c r="G1440" t="s">
        <v>983</v>
      </c>
      <c r="H1440" t="s">
        <v>9781</v>
      </c>
      <c r="J1440">
        <v>44763</v>
      </c>
      <c r="L1440">
        <v>17159</v>
      </c>
      <c r="O1440">
        <v>130</v>
      </c>
    </row>
    <row r="1441" spans="1:15" x14ac:dyDescent="0.25">
      <c r="A1441" t="s">
        <v>564</v>
      </c>
      <c r="B1441" t="s">
        <v>30</v>
      </c>
      <c r="C1441" t="s">
        <v>349</v>
      </c>
      <c r="D1441" t="s">
        <v>76</v>
      </c>
      <c r="E1441" t="s">
        <v>985</v>
      </c>
      <c r="F1441" t="s">
        <v>78</v>
      </c>
      <c r="G1441" t="s">
        <v>986</v>
      </c>
      <c r="H1441" t="s">
        <v>9809</v>
      </c>
      <c r="J1441">
        <v>44763</v>
      </c>
      <c r="L1441">
        <v>17159</v>
      </c>
      <c r="O1441">
        <v>131</v>
      </c>
    </row>
    <row r="1442" spans="1:15" x14ac:dyDescent="0.25">
      <c r="A1442" t="s">
        <v>564</v>
      </c>
      <c r="B1442" t="s">
        <v>30</v>
      </c>
      <c r="C1442" t="s">
        <v>349</v>
      </c>
      <c r="D1442" t="s">
        <v>76</v>
      </c>
      <c r="E1442" t="s">
        <v>994</v>
      </c>
      <c r="F1442" t="s">
        <v>78</v>
      </c>
      <c r="G1442" t="s">
        <v>995</v>
      </c>
      <c r="H1442" t="s">
        <v>9787</v>
      </c>
      <c r="J1442">
        <v>44763</v>
      </c>
      <c r="L1442">
        <v>17159</v>
      </c>
      <c r="O1442">
        <v>132</v>
      </c>
    </row>
    <row r="1443" spans="1:15" x14ac:dyDescent="0.25">
      <c r="A1443" t="s">
        <v>564</v>
      </c>
      <c r="B1443" t="s">
        <v>30</v>
      </c>
      <c r="C1443" t="s">
        <v>349</v>
      </c>
      <c r="D1443" t="s">
        <v>76</v>
      </c>
      <c r="E1443" t="s">
        <v>997</v>
      </c>
      <c r="F1443" t="s">
        <v>78</v>
      </c>
      <c r="G1443" t="s">
        <v>998</v>
      </c>
      <c r="H1443" t="s">
        <v>9820</v>
      </c>
      <c r="J1443">
        <v>44763</v>
      </c>
      <c r="L1443">
        <v>17159</v>
      </c>
      <c r="O1443">
        <v>133</v>
      </c>
    </row>
    <row r="1444" spans="1:15" x14ac:dyDescent="0.25">
      <c r="A1444" t="s">
        <v>564</v>
      </c>
      <c r="B1444" t="s">
        <v>30</v>
      </c>
      <c r="C1444" t="s">
        <v>349</v>
      </c>
      <c r="D1444" t="s">
        <v>76</v>
      </c>
      <c r="E1444" t="s">
        <v>1000</v>
      </c>
      <c r="F1444" t="s">
        <v>78</v>
      </c>
      <c r="G1444" t="s">
        <v>1001</v>
      </c>
      <c r="H1444" t="s">
        <v>9826</v>
      </c>
      <c r="J1444">
        <v>44763</v>
      </c>
      <c r="L1444">
        <v>17159</v>
      </c>
      <c r="O1444">
        <v>134</v>
      </c>
    </row>
    <row r="1445" spans="1:15" x14ac:dyDescent="0.25">
      <c r="A1445" t="s">
        <v>564</v>
      </c>
      <c r="B1445" t="s">
        <v>30</v>
      </c>
      <c r="C1445" t="s">
        <v>349</v>
      </c>
      <c r="D1445" t="s">
        <v>76</v>
      </c>
      <c r="E1445" t="s">
        <v>1003</v>
      </c>
      <c r="F1445" t="s">
        <v>78</v>
      </c>
      <c r="G1445" t="s">
        <v>1004</v>
      </c>
      <c r="H1445" t="s">
        <v>9810</v>
      </c>
      <c r="J1445">
        <v>44763</v>
      </c>
      <c r="L1445">
        <v>17159</v>
      </c>
      <c r="O1445">
        <v>135</v>
      </c>
    </row>
    <row r="1446" spans="1:15" x14ac:dyDescent="0.25">
      <c r="A1446" t="s">
        <v>564</v>
      </c>
      <c r="B1446" t="s">
        <v>30</v>
      </c>
      <c r="C1446" t="s">
        <v>349</v>
      </c>
      <c r="D1446" t="s">
        <v>76</v>
      </c>
      <c r="E1446" t="s">
        <v>1015</v>
      </c>
      <c r="F1446" t="s">
        <v>78</v>
      </c>
      <c r="G1446" t="s">
        <v>1016</v>
      </c>
      <c r="H1446" t="s">
        <v>9739</v>
      </c>
      <c r="J1446">
        <v>44763</v>
      </c>
      <c r="L1446">
        <v>17159</v>
      </c>
      <c r="O1446">
        <v>136</v>
      </c>
    </row>
    <row r="1447" spans="1:15" x14ac:dyDescent="0.25">
      <c r="A1447" t="s">
        <v>564</v>
      </c>
      <c r="B1447" t="s">
        <v>30</v>
      </c>
      <c r="C1447" t="s">
        <v>349</v>
      </c>
      <c r="D1447" t="s">
        <v>76</v>
      </c>
      <c r="E1447" t="s">
        <v>1018</v>
      </c>
      <c r="F1447" t="s">
        <v>78</v>
      </c>
      <c r="G1447" t="s">
        <v>1019</v>
      </c>
      <c r="H1447" t="s">
        <v>9799</v>
      </c>
      <c r="J1447">
        <v>44763</v>
      </c>
      <c r="L1447">
        <v>17159</v>
      </c>
      <c r="O1447">
        <v>137</v>
      </c>
    </row>
    <row r="1448" spans="1:15" x14ac:dyDescent="0.25">
      <c r="A1448" t="s">
        <v>564</v>
      </c>
      <c r="B1448" t="s">
        <v>30</v>
      </c>
      <c r="C1448" t="s">
        <v>349</v>
      </c>
      <c r="D1448" t="s">
        <v>76</v>
      </c>
      <c r="E1448" t="s">
        <v>692</v>
      </c>
      <c r="F1448" t="s">
        <v>78</v>
      </c>
      <c r="G1448" t="s">
        <v>693</v>
      </c>
      <c r="H1448" t="s">
        <v>9827</v>
      </c>
      <c r="J1448">
        <v>44763</v>
      </c>
      <c r="L1448">
        <v>17159</v>
      </c>
      <c r="O1448">
        <v>138</v>
      </c>
    </row>
    <row r="1449" spans="1:15" x14ac:dyDescent="0.25">
      <c r="A1449" t="s">
        <v>564</v>
      </c>
      <c r="B1449" t="s">
        <v>30</v>
      </c>
      <c r="C1449" t="s">
        <v>349</v>
      </c>
      <c r="D1449" t="s">
        <v>76</v>
      </c>
      <c r="E1449" t="s">
        <v>1027</v>
      </c>
      <c r="F1449" t="s">
        <v>78</v>
      </c>
      <c r="G1449" t="s">
        <v>1028</v>
      </c>
      <c r="H1449" t="s">
        <v>9815</v>
      </c>
      <c r="J1449">
        <v>44763</v>
      </c>
      <c r="L1449">
        <v>17159</v>
      </c>
      <c r="O1449">
        <v>139</v>
      </c>
    </row>
    <row r="1450" spans="1:15" x14ac:dyDescent="0.25">
      <c r="A1450" t="s">
        <v>564</v>
      </c>
      <c r="B1450" t="s">
        <v>30</v>
      </c>
      <c r="C1450" t="s">
        <v>349</v>
      </c>
      <c r="D1450" t="s">
        <v>76</v>
      </c>
      <c r="E1450" t="s">
        <v>1030</v>
      </c>
      <c r="F1450" t="s">
        <v>78</v>
      </c>
      <c r="G1450" t="s">
        <v>1031</v>
      </c>
      <c r="H1450" t="s">
        <v>9779</v>
      </c>
      <c r="J1450">
        <v>44763</v>
      </c>
      <c r="L1450">
        <v>17159</v>
      </c>
      <c r="O1450">
        <v>140</v>
      </c>
    </row>
    <row r="1451" spans="1:15" x14ac:dyDescent="0.25">
      <c r="A1451" t="s">
        <v>564</v>
      </c>
      <c r="B1451" t="s">
        <v>30</v>
      </c>
      <c r="C1451" t="s">
        <v>349</v>
      </c>
      <c r="D1451" t="s">
        <v>76</v>
      </c>
      <c r="E1451" t="s">
        <v>1033</v>
      </c>
      <c r="F1451" t="s">
        <v>78</v>
      </c>
      <c r="G1451" t="s">
        <v>1034</v>
      </c>
      <c r="H1451" t="s">
        <v>9805</v>
      </c>
      <c r="J1451">
        <v>44763</v>
      </c>
      <c r="L1451">
        <v>17159</v>
      </c>
      <c r="O1451">
        <v>141</v>
      </c>
    </row>
    <row r="1452" spans="1:15" x14ac:dyDescent="0.25">
      <c r="A1452" t="s">
        <v>564</v>
      </c>
      <c r="B1452" t="s">
        <v>30</v>
      </c>
      <c r="C1452" t="s">
        <v>349</v>
      </c>
      <c r="D1452" t="s">
        <v>76</v>
      </c>
      <c r="E1452" t="s">
        <v>1042</v>
      </c>
      <c r="F1452" t="s">
        <v>78</v>
      </c>
      <c r="G1452" t="s">
        <v>1043</v>
      </c>
      <c r="H1452" t="s">
        <v>9796</v>
      </c>
      <c r="J1452">
        <v>44763</v>
      </c>
      <c r="L1452">
        <v>17159</v>
      </c>
      <c r="O1452">
        <v>142</v>
      </c>
    </row>
    <row r="1453" spans="1:15" x14ac:dyDescent="0.25">
      <c r="A1453" t="s">
        <v>564</v>
      </c>
      <c r="B1453" t="s">
        <v>30</v>
      </c>
      <c r="C1453" t="s">
        <v>349</v>
      </c>
      <c r="D1453" t="s">
        <v>76</v>
      </c>
      <c r="E1453" t="s">
        <v>10855</v>
      </c>
      <c r="F1453" t="s">
        <v>78</v>
      </c>
      <c r="G1453" t="s">
        <v>10856</v>
      </c>
      <c r="H1453" t="s">
        <v>10864</v>
      </c>
      <c r="J1453">
        <v>44763</v>
      </c>
      <c r="L1453">
        <v>17159</v>
      </c>
      <c r="O1453">
        <v>143</v>
      </c>
    </row>
    <row r="1454" spans="1:15" x14ac:dyDescent="0.25">
      <c r="A1454" t="s">
        <v>564</v>
      </c>
      <c r="B1454" t="s">
        <v>30</v>
      </c>
      <c r="C1454" t="s">
        <v>349</v>
      </c>
      <c r="D1454" t="s">
        <v>76</v>
      </c>
      <c r="E1454" t="s">
        <v>1048</v>
      </c>
      <c r="F1454" t="s">
        <v>78</v>
      </c>
      <c r="G1454" t="s">
        <v>1049</v>
      </c>
      <c r="H1454" t="s">
        <v>9812</v>
      </c>
      <c r="J1454">
        <v>44763</v>
      </c>
      <c r="L1454">
        <v>17159</v>
      </c>
      <c r="O1454">
        <v>144</v>
      </c>
    </row>
    <row r="1455" spans="1:15" x14ac:dyDescent="0.25">
      <c r="A1455" t="s">
        <v>564</v>
      </c>
      <c r="B1455" t="s">
        <v>30</v>
      </c>
      <c r="C1455" t="s">
        <v>349</v>
      </c>
      <c r="D1455" t="s">
        <v>76</v>
      </c>
      <c r="E1455" t="s">
        <v>1051</v>
      </c>
      <c r="F1455" t="s">
        <v>78</v>
      </c>
      <c r="G1455" t="s">
        <v>1052</v>
      </c>
      <c r="H1455" t="s">
        <v>9816</v>
      </c>
      <c r="J1455">
        <v>44763</v>
      </c>
      <c r="L1455">
        <v>17159</v>
      </c>
      <c r="O1455">
        <v>145</v>
      </c>
    </row>
    <row r="1456" spans="1:15" x14ac:dyDescent="0.25">
      <c r="A1456" t="s">
        <v>564</v>
      </c>
      <c r="B1456" t="s">
        <v>30</v>
      </c>
      <c r="C1456" t="s">
        <v>349</v>
      </c>
      <c r="D1456" t="s">
        <v>76</v>
      </c>
      <c r="E1456" t="s">
        <v>1054</v>
      </c>
      <c r="F1456" t="s">
        <v>78</v>
      </c>
      <c r="G1456" t="s">
        <v>1055</v>
      </c>
      <c r="H1456" t="s">
        <v>9790</v>
      </c>
      <c r="J1456">
        <v>44763</v>
      </c>
      <c r="L1456">
        <v>17159</v>
      </c>
      <c r="O1456">
        <v>146</v>
      </c>
    </row>
    <row r="1457" spans="1:15" x14ac:dyDescent="0.25">
      <c r="A1457" t="s">
        <v>564</v>
      </c>
      <c r="B1457" t="s">
        <v>30</v>
      </c>
      <c r="C1457" t="s">
        <v>349</v>
      </c>
      <c r="D1457" t="s">
        <v>76</v>
      </c>
      <c r="E1457" t="s">
        <v>1057</v>
      </c>
      <c r="F1457" t="s">
        <v>78</v>
      </c>
      <c r="G1457" t="s">
        <v>1058</v>
      </c>
      <c r="H1457" t="s">
        <v>9771</v>
      </c>
      <c r="J1457">
        <v>44763</v>
      </c>
      <c r="L1457">
        <v>17159</v>
      </c>
      <c r="O1457">
        <v>147</v>
      </c>
    </row>
    <row r="1458" spans="1:15" x14ac:dyDescent="0.25">
      <c r="A1458" t="s">
        <v>564</v>
      </c>
      <c r="B1458" t="s">
        <v>30</v>
      </c>
      <c r="C1458" t="s">
        <v>349</v>
      </c>
      <c r="D1458" t="s">
        <v>76</v>
      </c>
      <c r="E1458" t="s">
        <v>1060</v>
      </c>
      <c r="F1458" t="s">
        <v>78</v>
      </c>
      <c r="G1458" t="s">
        <v>1061</v>
      </c>
      <c r="H1458" t="s">
        <v>9794</v>
      </c>
      <c r="J1458">
        <v>44763</v>
      </c>
      <c r="L1458">
        <v>17159</v>
      </c>
      <c r="O1458">
        <v>148</v>
      </c>
    </row>
    <row r="1459" spans="1:15" x14ac:dyDescent="0.25">
      <c r="A1459" t="s">
        <v>564</v>
      </c>
      <c r="B1459" t="s">
        <v>30</v>
      </c>
      <c r="C1459" t="s">
        <v>349</v>
      </c>
      <c r="D1459" t="s">
        <v>76</v>
      </c>
      <c r="E1459" t="s">
        <v>1066</v>
      </c>
      <c r="F1459" t="s">
        <v>78</v>
      </c>
      <c r="G1459" t="s">
        <v>1067</v>
      </c>
      <c r="H1459" t="s">
        <v>9797</v>
      </c>
      <c r="J1459">
        <v>44763</v>
      </c>
      <c r="L1459">
        <v>17159</v>
      </c>
      <c r="O1459">
        <v>149</v>
      </c>
    </row>
    <row r="1460" spans="1:15" x14ac:dyDescent="0.25">
      <c r="A1460" t="s">
        <v>564</v>
      </c>
      <c r="B1460" t="s">
        <v>30</v>
      </c>
      <c r="C1460" t="s">
        <v>349</v>
      </c>
      <c r="D1460" t="s">
        <v>76</v>
      </c>
      <c r="E1460" t="s">
        <v>1072</v>
      </c>
      <c r="F1460" t="s">
        <v>78</v>
      </c>
      <c r="G1460" t="s">
        <v>1073</v>
      </c>
      <c r="H1460" t="s">
        <v>9793</v>
      </c>
      <c r="J1460">
        <v>44763</v>
      </c>
      <c r="L1460">
        <v>17159</v>
      </c>
      <c r="O1460">
        <v>150</v>
      </c>
    </row>
    <row r="1461" spans="1:15" x14ac:dyDescent="0.25">
      <c r="A1461" t="s">
        <v>564</v>
      </c>
      <c r="B1461" t="s">
        <v>30</v>
      </c>
      <c r="C1461" t="s">
        <v>349</v>
      </c>
      <c r="D1461" t="s">
        <v>76</v>
      </c>
      <c r="E1461" t="s">
        <v>1075</v>
      </c>
      <c r="F1461" t="s">
        <v>78</v>
      </c>
      <c r="G1461" t="s">
        <v>1076</v>
      </c>
      <c r="H1461" t="s">
        <v>9791</v>
      </c>
      <c r="J1461">
        <v>44763</v>
      </c>
      <c r="L1461">
        <v>17159</v>
      </c>
      <c r="O1461">
        <v>151</v>
      </c>
    </row>
    <row r="1462" spans="1:15" x14ac:dyDescent="0.25">
      <c r="A1462" t="s">
        <v>564</v>
      </c>
      <c r="B1462" t="s">
        <v>30</v>
      </c>
      <c r="C1462" t="s">
        <v>349</v>
      </c>
      <c r="D1462" t="s">
        <v>76</v>
      </c>
      <c r="E1462" t="s">
        <v>1078</v>
      </c>
      <c r="F1462" t="s">
        <v>78</v>
      </c>
      <c r="G1462" t="s">
        <v>1079</v>
      </c>
      <c r="H1462" t="s">
        <v>9806</v>
      </c>
      <c r="J1462">
        <v>44763</v>
      </c>
      <c r="L1462">
        <v>17159</v>
      </c>
      <c r="O1462">
        <v>152</v>
      </c>
    </row>
    <row r="1463" spans="1:15" x14ac:dyDescent="0.25">
      <c r="A1463" t="s">
        <v>564</v>
      </c>
      <c r="B1463" t="s">
        <v>30</v>
      </c>
      <c r="C1463" t="s">
        <v>349</v>
      </c>
      <c r="D1463" t="s">
        <v>76</v>
      </c>
      <c r="E1463" t="s">
        <v>1081</v>
      </c>
      <c r="F1463" t="s">
        <v>78</v>
      </c>
      <c r="G1463" t="s">
        <v>1082</v>
      </c>
      <c r="H1463" t="s">
        <v>9769</v>
      </c>
      <c r="J1463">
        <v>44763</v>
      </c>
      <c r="L1463">
        <v>17159</v>
      </c>
      <c r="O1463">
        <v>153</v>
      </c>
    </row>
    <row r="1464" spans="1:15" x14ac:dyDescent="0.25">
      <c r="A1464" t="s">
        <v>564</v>
      </c>
      <c r="B1464" t="s">
        <v>30</v>
      </c>
      <c r="C1464" t="s">
        <v>349</v>
      </c>
      <c r="D1464" t="s">
        <v>76</v>
      </c>
      <c r="E1464" t="s">
        <v>1093</v>
      </c>
      <c r="F1464" t="s">
        <v>78</v>
      </c>
      <c r="G1464" t="s">
        <v>1094</v>
      </c>
      <c r="H1464" t="s">
        <v>9734</v>
      </c>
      <c r="J1464">
        <v>44763</v>
      </c>
      <c r="L1464">
        <v>17159</v>
      </c>
      <c r="O1464">
        <v>154</v>
      </c>
    </row>
    <row r="1465" spans="1:15" x14ac:dyDescent="0.25">
      <c r="A1465" t="s">
        <v>564</v>
      </c>
      <c r="B1465" t="s">
        <v>30</v>
      </c>
      <c r="C1465" t="s">
        <v>349</v>
      </c>
      <c r="D1465" t="s">
        <v>76</v>
      </c>
      <c r="E1465" t="s">
        <v>1096</v>
      </c>
      <c r="F1465" t="s">
        <v>78</v>
      </c>
      <c r="G1465" t="s">
        <v>1097</v>
      </c>
      <c r="H1465" t="s">
        <v>9786</v>
      </c>
      <c r="J1465">
        <v>44763</v>
      </c>
      <c r="L1465">
        <v>17159</v>
      </c>
      <c r="O1465">
        <v>155</v>
      </c>
    </row>
    <row r="1466" spans="1:15" x14ac:dyDescent="0.25">
      <c r="A1466" t="s">
        <v>564</v>
      </c>
      <c r="B1466" t="s">
        <v>30</v>
      </c>
      <c r="C1466" t="s">
        <v>349</v>
      </c>
      <c r="D1466" t="s">
        <v>76</v>
      </c>
      <c r="E1466" t="s">
        <v>8468</v>
      </c>
      <c r="F1466" t="s">
        <v>78</v>
      </c>
      <c r="G1466" t="s">
        <v>8469</v>
      </c>
      <c r="H1466" t="s">
        <v>9800</v>
      </c>
      <c r="J1466">
        <v>44763</v>
      </c>
      <c r="L1466">
        <v>17159</v>
      </c>
      <c r="O1466">
        <v>156</v>
      </c>
    </row>
    <row r="1467" spans="1:15" x14ac:dyDescent="0.25">
      <c r="A1467" t="s">
        <v>564</v>
      </c>
      <c r="B1467" t="s">
        <v>30</v>
      </c>
      <c r="C1467" t="s">
        <v>349</v>
      </c>
      <c r="D1467" t="s">
        <v>76</v>
      </c>
      <c r="E1467" t="s">
        <v>688</v>
      </c>
      <c r="F1467" t="s">
        <v>78</v>
      </c>
      <c r="G1467" t="s">
        <v>689</v>
      </c>
      <c r="H1467" t="s">
        <v>9777</v>
      </c>
      <c r="J1467">
        <v>44763</v>
      </c>
      <c r="L1467">
        <v>17159</v>
      </c>
      <c r="O1467">
        <v>157</v>
      </c>
    </row>
    <row r="1468" spans="1:15" x14ac:dyDescent="0.25">
      <c r="A1468" t="s">
        <v>564</v>
      </c>
      <c r="B1468" t="s">
        <v>30</v>
      </c>
      <c r="C1468" t="s">
        <v>349</v>
      </c>
      <c r="D1468" t="s">
        <v>76</v>
      </c>
      <c r="E1468" t="s">
        <v>858</v>
      </c>
      <c r="F1468" t="s">
        <v>78</v>
      </c>
      <c r="G1468" t="s">
        <v>859</v>
      </c>
      <c r="H1468" t="s">
        <v>9782</v>
      </c>
      <c r="J1468">
        <v>44763</v>
      </c>
      <c r="L1468">
        <v>17159</v>
      </c>
      <c r="O1468">
        <v>158</v>
      </c>
    </row>
    <row r="1469" spans="1:15" x14ac:dyDescent="0.25">
      <c r="A1469" t="s">
        <v>564</v>
      </c>
      <c r="B1469" t="s">
        <v>30</v>
      </c>
      <c r="C1469" t="s">
        <v>349</v>
      </c>
      <c r="D1469" t="s">
        <v>76</v>
      </c>
      <c r="E1469" t="s">
        <v>8399</v>
      </c>
      <c r="F1469" t="s">
        <v>78</v>
      </c>
      <c r="G1469" t="s">
        <v>8400</v>
      </c>
      <c r="H1469" t="s">
        <v>9763</v>
      </c>
      <c r="J1469">
        <v>44763</v>
      </c>
      <c r="L1469">
        <v>17159</v>
      </c>
      <c r="O1469">
        <v>159</v>
      </c>
    </row>
    <row r="1470" spans="1:15" x14ac:dyDescent="0.25">
      <c r="A1470" t="s">
        <v>564</v>
      </c>
      <c r="B1470" t="s">
        <v>30</v>
      </c>
      <c r="C1470" t="s">
        <v>349</v>
      </c>
      <c r="D1470" t="s">
        <v>76</v>
      </c>
      <c r="E1470" t="s">
        <v>861</v>
      </c>
      <c r="F1470" t="s">
        <v>78</v>
      </c>
      <c r="G1470" t="s">
        <v>862</v>
      </c>
      <c r="H1470" t="s">
        <v>9772</v>
      </c>
      <c r="J1470">
        <v>44763</v>
      </c>
      <c r="L1470">
        <v>17159</v>
      </c>
      <c r="O1470">
        <v>160</v>
      </c>
    </row>
    <row r="1471" spans="1:15" x14ac:dyDescent="0.25">
      <c r="A1471" t="s">
        <v>564</v>
      </c>
      <c r="B1471" t="s">
        <v>30</v>
      </c>
      <c r="C1471" t="s">
        <v>349</v>
      </c>
      <c r="D1471" t="s">
        <v>76</v>
      </c>
      <c r="E1471" t="s">
        <v>873</v>
      </c>
      <c r="F1471" t="s">
        <v>78</v>
      </c>
      <c r="G1471" t="s">
        <v>874</v>
      </c>
      <c r="H1471" t="s">
        <v>9760</v>
      </c>
      <c r="J1471">
        <v>44763</v>
      </c>
      <c r="L1471">
        <v>17159</v>
      </c>
      <c r="O1471">
        <v>161</v>
      </c>
    </row>
    <row r="1472" spans="1:15" x14ac:dyDescent="0.25">
      <c r="A1472" t="s">
        <v>564</v>
      </c>
      <c r="B1472" t="s">
        <v>30</v>
      </c>
      <c r="C1472" t="s">
        <v>349</v>
      </c>
      <c r="D1472" t="s">
        <v>76</v>
      </c>
      <c r="E1472" t="s">
        <v>636</v>
      </c>
      <c r="F1472" t="s">
        <v>78</v>
      </c>
      <c r="G1472" t="s">
        <v>637</v>
      </c>
      <c r="H1472" t="s">
        <v>9762</v>
      </c>
      <c r="J1472">
        <v>44763</v>
      </c>
      <c r="L1472">
        <v>17159</v>
      </c>
      <c r="O1472">
        <v>162</v>
      </c>
    </row>
    <row r="1473" spans="1:17" x14ac:dyDescent="0.25">
      <c r="A1473" t="s">
        <v>564</v>
      </c>
      <c r="B1473" t="s">
        <v>30</v>
      </c>
      <c r="C1473" t="s">
        <v>349</v>
      </c>
      <c r="D1473" t="s">
        <v>76</v>
      </c>
      <c r="E1473" t="s">
        <v>886</v>
      </c>
      <c r="F1473" t="s">
        <v>78</v>
      </c>
      <c r="G1473" t="s">
        <v>887</v>
      </c>
      <c r="H1473" t="s">
        <v>9789</v>
      </c>
      <c r="J1473">
        <v>44763</v>
      </c>
      <c r="L1473">
        <v>17159</v>
      </c>
      <c r="O1473">
        <v>163</v>
      </c>
    </row>
    <row r="1474" spans="1:17" x14ac:dyDescent="0.25">
      <c r="A1474" t="s">
        <v>564</v>
      </c>
      <c r="B1474" t="s">
        <v>30</v>
      </c>
      <c r="C1474" t="s">
        <v>349</v>
      </c>
      <c r="D1474" t="s">
        <v>76</v>
      </c>
      <c r="E1474" t="s">
        <v>684</v>
      </c>
      <c r="F1474" t="s">
        <v>78</v>
      </c>
      <c r="G1474" t="s">
        <v>685</v>
      </c>
      <c r="H1474" t="s">
        <v>9822</v>
      </c>
      <c r="J1474">
        <v>44763</v>
      </c>
      <c r="L1474">
        <v>17159</v>
      </c>
      <c r="O1474">
        <v>164</v>
      </c>
    </row>
    <row r="1475" spans="1:17" x14ac:dyDescent="0.25">
      <c r="A1475" t="s">
        <v>564</v>
      </c>
      <c r="B1475" t="s">
        <v>30</v>
      </c>
      <c r="C1475" t="s">
        <v>349</v>
      </c>
      <c r="D1475" t="s">
        <v>76</v>
      </c>
      <c r="E1475" t="s">
        <v>890</v>
      </c>
      <c r="F1475" t="s">
        <v>78</v>
      </c>
      <c r="G1475" t="s">
        <v>891</v>
      </c>
      <c r="H1475" t="s">
        <v>9765</v>
      </c>
      <c r="J1475">
        <v>44763</v>
      </c>
      <c r="L1475">
        <v>17159</v>
      </c>
      <c r="O1475">
        <v>165</v>
      </c>
    </row>
    <row r="1476" spans="1:17" x14ac:dyDescent="0.25">
      <c r="A1476" t="s">
        <v>564</v>
      </c>
      <c r="B1476" t="s">
        <v>30</v>
      </c>
      <c r="C1476" t="s">
        <v>349</v>
      </c>
      <c r="D1476" t="s">
        <v>76</v>
      </c>
      <c r="E1476" t="s">
        <v>686</v>
      </c>
      <c r="F1476" t="s">
        <v>78</v>
      </c>
      <c r="G1476" t="s">
        <v>687</v>
      </c>
      <c r="H1476" t="s">
        <v>9759</v>
      </c>
      <c r="J1476">
        <v>44763</v>
      </c>
      <c r="L1476">
        <v>17159</v>
      </c>
      <c r="O1476">
        <v>166</v>
      </c>
    </row>
    <row r="1477" spans="1:17" x14ac:dyDescent="0.25">
      <c r="A1477" t="s">
        <v>564</v>
      </c>
      <c r="B1477" t="s">
        <v>30</v>
      </c>
      <c r="C1477" t="s">
        <v>349</v>
      </c>
      <c r="D1477" t="s">
        <v>59</v>
      </c>
      <c r="E1477" t="s">
        <v>78</v>
      </c>
      <c r="F1477" t="s">
        <v>78</v>
      </c>
      <c r="G1477" t="s">
        <v>696</v>
      </c>
      <c r="H1477" t="s">
        <v>9831</v>
      </c>
      <c r="I1477">
        <v>0.61667001764850438</v>
      </c>
      <c r="J1477">
        <v>44763</v>
      </c>
      <c r="K1477">
        <v>1</v>
      </c>
      <c r="L1477">
        <v>27604</v>
      </c>
      <c r="M1477">
        <v>27604</v>
      </c>
      <c r="N1477">
        <v>5.9900000000000002E-2</v>
      </c>
      <c r="O1477">
        <v>1</v>
      </c>
    </row>
    <row r="1478" spans="1:17" x14ac:dyDescent="0.25">
      <c r="A1478" t="s">
        <v>564</v>
      </c>
      <c r="B1478" t="s">
        <v>30</v>
      </c>
      <c r="C1478" t="s">
        <v>349</v>
      </c>
      <c r="D1478" t="s">
        <v>59</v>
      </c>
      <c r="E1478" t="s">
        <v>60</v>
      </c>
      <c r="F1478" t="s">
        <v>78</v>
      </c>
      <c r="G1478" t="s">
        <v>697</v>
      </c>
      <c r="H1478" t="s">
        <v>9832</v>
      </c>
      <c r="I1478">
        <v>0.53988785380783233</v>
      </c>
      <c r="J1478">
        <v>44763</v>
      </c>
      <c r="K1478">
        <v>0.87548905955658596</v>
      </c>
      <c r="L1478">
        <v>27604</v>
      </c>
      <c r="M1478">
        <v>24167</v>
      </c>
      <c r="N1478">
        <v>5.4600000000000003E-2</v>
      </c>
      <c r="O1478">
        <v>2</v>
      </c>
    </row>
    <row r="1479" spans="1:17" x14ac:dyDescent="0.25">
      <c r="A1479" t="s">
        <v>564</v>
      </c>
      <c r="B1479" t="s">
        <v>30</v>
      </c>
      <c r="C1479" t="s">
        <v>349</v>
      </c>
      <c r="D1479" t="s">
        <v>59</v>
      </c>
      <c r="E1479" t="s">
        <v>60</v>
      </c>
      <c r="F1479" t="s">
        <v>63</v>
      </c>
      <c r="G1479" t="s">
        <v>702</v>
      </c>
      <c r="H1479" t="s">
        <v>9833</v>
      </c>
      <c r="I1479">
        <v>0.32415164309809441</v>
      </c>
      <c r="J1479">
        <v>44763</v>
      </c>
      <c r="K1479">
        <v>0.52564845674539917</v>
      </c>
      <c r="L1479">
        <v>27604</v>
      </c>
      <c r="M1479">
        <v>14510</v>
      </c>
      <c r="N1479">
        <v>3.5799999999999998E-2</v>
      </c>
      <c r="O1479">
        <v>3</v>
      </c>
      <c r="Q1479">
        <v>3</v>
      </c>
    </row>
    <row r="1480" spans="1:17" x14ac:dyDescent="0.25">
      <c r="A1480" t="s">
        <v>564</v>
      </c>
      <c r="B1480" t="s">
        <v>30</v>
      </c>
      <c r="C1480" t="s">
        <v>349</v>
      </c>
      <c r="D1480" t="s">
        <v>59</v>
      </c>
      <c r="E1480" t="s">
        <v>60</v>
      </c>
      <c r="F1480" t="s">
        <v>61</v>
      </c>
      <c r="G1480" t="s">
        <v>698</v>
      </c>
      <c r="H1480" t="s">
        <v>9834</v>
      </c>
      <c r="I1480">
        <v>0.22523065924982691</v>
      </c>
      <c r="J1480">
        <v>44763</v>
      </c>
      <c r="K1480">
        <v>0.36523692218519049</v>
      </c>
      <c r="L1480">
        <v>27604</v>
      </c>
      <c r="M1480">
        <v>10082</v>
      </c>
      <c r="N1480">
        <v>8.2400000000000001E-2</v>
      </c>
      <c r="O1480">
        <v>4</v>
      </c>
      <c r="Q1480">
        <v>1</v>
      </c>
    </row>
    <row r="1481" spans="1:17" x14ac:dyDescent="0.25">
      <c r="A1481" t="s">
        <v>564</v>
      </c>
      <c r="B1481" t="s">
        <v>30</v>
      </c>
      <c r="C1481" t="s">
        <v>349</v>
      </c>
      <c r="D1481" t="s">
        <v>59</v>
      </c>
      <c r="E1481" t="s">
        <v>64</v>
      </c>
      <c r="F1481" t="s">
        <v>65</v>
      </c>
      <c r="G1481" t="s">
        <v>704</v>
      </c>
      <c r="H1481" t="s">
        <v>9839</v>
      </c>
      <c r="I1481">
        <v>6.2261242544065412E-2</v>
      </c>
      <c r="J1481">
        <v>44763</v>
      </c>
      <c r="K1481">
        <v>0.1009636284596435</v>
      </c>
      <c r="L1481">
        <v>27604</v>
      </c>
      <c r="M1481">
        <v>2787</v>
      </c>
      <c r="N1481">
        <v>0.10440000000000001</v>
      </c>
      <c r="O1481">
        <v>5</v>
      </c>
      <c r="Q1481">
        <v>4</v>
      </c>
    </row>
    <row r="1482" spans="1:17" x14ac:dyDescent="0.25">
      <c r="A1482" t="s">
        <v>564</v>
      </c>
      <c r="B1482" t="s">
        <v>30</v>
      </c>
      <c r="C1482" t="s">
        <v>349</v>
      </c>
      <c r="D1482" t="s">
        <v>59</v>
      </c>
      <c r="E1482" t="s">
        <v>64</v>
      </c>
      <c r="F1482" t="s">
        <v>78</v>
      </c>
      <c r="G1482" t="s">
        <v>703</v>
      </c>
      <c r="H1482" t="s">
        <v>9838</v>
      </c>
      <c r="I1482">
        <v>6.2261242544065412E-2</v>
      </c>
      <c r="J1482">
        <v>44763</v>
      </c>
      <c r="K1482">
        <v>0.1009636284596435</v>
      </c>
      <c r="L1482">
        <v>27604</v>
      </c>
      <c r="M1482">
        <v>2787</v>
      </c>
      <c r="N1482">
        <v>0.10440000000000001</v>
      </c>
      <c r="O1482">
        <v>6</v>
      </c>
    </row>
    <row r="1483" spans="1:17" x14ac:dyDescent="0.25">
      <c r="A1483" t="s">
        <v>564</v>
      </c>
      <c r="B1483" t="s">
        <v>30</v>
      </c>
      <c r="C1483" t="s">
        <v>349</v>
      </c>
      <c r="D1483" t="s">
        <v>59</v>
      </c>
      <c r="E1483" t="s">
        <v>72</v>
      </c>
      <c r="F1483" t="s">
        <v>78</v>
      </c>
      <c r="G1483" t="s">
        <v>705</v>
      </c>
      <c r="H1483" t="s">
        <v>9836</v>
      </c>
      <c r="I1483">
        <v>4.774032124745884E-2</v>
      </c>
      <c r="J1483">
        <v>44763</v>
      </c>
      <c r="K1483">
        <v>7.7416316475873062E-2</v>
      </c>
      <c r="L1483">
        <v>27604</v>
      </c>
      <c r="M1483">
        <v>2137</v>
      </c>
      <c r="N1483">
        <v>6.6400000000000001E-2</v>
      </c>
      <c r="O1483">
        <v>7</v>
      </c>
    </row>
    <row r="1484" spans="1:17" x14ac:dyDescent="0.25">
      <c r="A1484" t="s">
        <v>564</v>
      </c>
      <c r="B1484" t="s">
        <v>30</v>
      </c>
      <c r="C1484" t="s">
        <v>349</v>
      </c>
      <c r="D1484" t="s">
        <v>59</v>
      </c>
      <c r="E1484" t="s">
        <v>72</v>
      </c>
      <c r="F1484" t="s">
        <v>73</v>
      </c>
      <c r="G1484" t="s">
        <v>706</v>
      </c>
      <c r="H1484" t="s">
        <v>9837</v>
      </c>
      <c r="I1484">
        <v>4.7472242700444561E-2</v>
      </c>
      <c r="J1484">
        <v>44763</v>
      </c>
      <c r="K1484">
        <v>7.6981596870018834E-2</v>
      </c>
      <c r="L1484">
        <v>27604</v>
      </c>
      <c r="M1484">
        <v>2125</v>
      </c>
      <c r="N1484">
        <v>6.6299999999999998E-2</v>
      </c>
      <c r="O1484">
        <v>8</v>
      </c>
      <c r="Q1484">
        <v>6</v>
      </c>
    </row>
    <row r="1485" spans="1:17" x14ac:dyDescent="0.25">
      <c r="A1485" t="s">
        <v>564</v>
      </c>
      <c r="B1485" t="s">
        <v>30</v>
      </c>
      <c r="C1485" t="s">
        <v>349</v>
      </c>
      <c r="D1485" t="s">
        <v>59</v>
      </c>
      <c r="E1485" t="s">
        <v>60</v>
      </c>
      <c r="F1485" t="s">
        <v>62</v>
      </c>
      <c r="G1485" t="s">
        <v>699</v>
      </c>
      <c r="H1485" t="s">
        <v>9835</v>
      </c>
      <c r="I1485">
        <v>3.3107700556262977E-2</v>
      </c>
      <c r="J1485">
        <v>44763</v>
      </c>
      <c r="K1485">
        <v>5.3687871322996669E-2</v>
      </c>
      <c r="L1485">
        <v>27604</v>
      </c>
      <c r="M1485">
        <v>1482</v>
      </c>
      <c r="N1485">
        <v>2.0999999999999999E-3</v>
      </c>
      <c r="O1485">
        <v>9</v>
      </c>
      <c r="Q1485">
        <v>2</v>
      </c>
    </row>
    <row r="1486" spans="1:17" x14ac:dyDescent="0.25">
      <c r="A1486" t="s">
        <v>564</v>
      </c>
      <c r="B1486" t="s">
        <v>30</v>
      </c>
      <c r="C1486" t="s">
        <v>349</v>
      </c>
      <c r="D1486" t="s">
        <v>59</v>
      </c>
      <c r="E1486" t="s">
        <v>68</v>
      </c>
      <c r="F1486" t="s">
        <v>70</v>
      </c>
      <c r="G1486" t="s">
        <v>707</v>
      </c>
      <c r="H1486" t="s">
        <v>9841</v>
      </c>
      <c r="I1486">
        <v>2.81482474364989E-3</v>
      </c>
      <c r="J1486">
        <v>44763</v>
      </c>
      <c r="K1486">
        <v>4.5645558614693521E-3</v>
      </c>
      <c r="L1486">
        <v>27604</v>
      </c>
      <c r="M1486">
        <v>126</v>
      </c>
      <c r="O1486">
        <v>10</v>
      </c>
      <c r="Q1486">
        <v>10</v>
      </c>
    </row>
    <row r="1487" spans="1:17" x14ac:dyDescent="0.25">
      <c r="A1487" t="s">
        <v>564</v>
      </c>
      <c r="B1487" t="s">
        <v>30</v>
      </c>
      <c r="C1487" t="s">
        <v>349</v>
      </c>
      <c r="D1487" t="s">
        <v>59</v>
      </c>
      <c r="E1487" t="s">
        <v>68</v>
      </c>
      <c r="F1487" t="s">
        <v>78</v>
      </c>
      <c r="G1487" t="s">
        <v>700</v>
      </c>
      <c r="H1487" t="s">
        <v>9840</v>
      </c>
      <c r="I1487">
        <v>2.81482474364989E-3</v>
      </c>
      <c r="J1487">
        <v>44763</v>
      </c>
      <c r="K1487">
        <v>4.5645558614693521E-3</v>
      </c>
      <c r="L1487">
        <v>27604</v>
      </c>
      <c r="M1487">
        <v>126</v>
      </c>
      <c r="O1487">
        <v>11</v>
      </c>
    </row>
    <row r="1488" spans="1:17" x14ac:dyDescent="0.25">
      <c r="A1488" t="s">
        <v>564</v>
      </c>
      <c r="B1488" t="s">
        <v>30</v>
      </c>
      <c r="C1488" t="s">
        <v>349</v>
      </c>
      <c r="D1488" t="s">
        <v>59</v>
      </c>
      <c r="E1488" t="s">
        <v>72</v>
      </c>
      <c r="F1488" t="s">
        <v>75</v>
      </c>
      <c r="G1488" t="s">
        <v>710</v>
      </c>
      <c r="H1488" t="s">
        <v>9842</v>
      </c>
      <c r="I1488">
        <v>2.4573866809641891E-4</v>
      </c>
      <c r="J1488">
        <v>44763</v>
      </c>
      <c r="K1488">
        <v>3.9849297203303871E-4</v>
      </c>
      <c r="L1488">
        <v>27604</v>
      </c>
      <c r="M1488">
        <v>11</v>
      </c>
      <c r="N1488">
        <v>9.0899999999999995E-2</v>
      </c>
      <c r="O1488">
        <v>12</v>
      </c>
      <c r="Q1488">
        <v>7</v>
      </c>
    </row>
    <row r="1489" spans="1:17" x14ac:dyDescent="0.25">
      <c r="A1489" t="s">
        <v>564</v>
      </c>
      <c r="B1489" t="s">
        <v>30</v>
      </c>
      <c r="C1489" t="s">
        <v>349</v>
      </c>
      <c r="D1489" t="s">
        <v>59</v>
      </c>
      <c r="E1489" t="s">
        <v>72</v>
      </c>
      <c r="F1489" t="s">
        <v>74</v>
      </c>
      <c r="G1489" t="s">
        <v>708</v>
      </c>
      <c r="H1489" t="s">
        <v>9843</v>
      </c>
      <c r="I1489">
        <v>2.2339878917856261E-5</v>
      </c>
      <c r="J1489">
        <v>44763</v>
      </c>
      <c r="K1489">
        <v>3.6226633821185337E-5</v>
      </c>
      <c r="L1489">
        <v>27604</v>
      </c>
      <c r="M1489">
        <v>1</v>
      </c>
      <c r="O1489">
        <v>13</v>
      </c>
      <c r="Q1489">
        <v>9</v>
      </c>
    </row>
    <row r="1490" spans="1:17" x14ac:dyDescent="0.25">
      <c r="A1490" t="s">
        <v>564</v>
      </c>
      <c r="B1490" t="s">
        <v>30</v>
      </c>
      <c r="C1490" t="s">
        <v>349</v>
      </c>
      <c r="D1490" t="s">
        <v>59</v>
      </c>
      <c r="E1490" t="s">
        <v>72</v>
      </c>
      <c r="F1490" t="s">
        <v>352</v>
      </c>
      <c r="G1490" t="s">
        <v>1117</v>
      </c>
      <c r="H1490" t="s">
        <v>9847</v>
      </c>
      <c r="J1490">
        <v>44763</v>
      </c>
      <c r="L1490">
        <v>27604</v>
      </c>
      <c r="O1490">
        <v>14</v>
      </c>
      <c r="Q1490">
        <v>8</v>
      </c>
    </row>
    <row r="1491" spans="1:17" x14ac:dyDescent="0.25">
      <c r="A1491" t="s">
        <v>564</v>
      </c>
      <c r="B1491" t="s">
        <v>30</v>
      </c>
      <c r="C1491" t="s">
        <v>349</v>
      </c>
      <c r="D1491" t="s">
        <v>59</v>
      </c>
      <c r="E1491" t="s">
        <v>64</v>
      </c>
      <c r="F1491" t="s">
        <v>67</v>
      </c>
      <c r="G1491" t="s">
        <v>709</v>
      </c>
      <c r="H1491" t="s">
        <v>9850</v>
      </c>
      <c r="J1491">
        <v>44763</v>
      </c>
      <c r="L1491">
        <v>27604</v>
      </c>
      <c r="O1491">
        <v>15</v>
      </c>
      <c r="Q1491">
        <v>5</v>
      </c>
    </row>
    <row r="1492" spans="1:17" x14ac:dyDescent="0.25">
      <c r="A1492" t="s">
        <v>564</v>
      </c>
      <c r="B1492" t="s">
        <v>30</v>
      </c>
      <c r="C1492" t="s">
        <v>349</v>
      </c>
      <c r="D1492" t="s">
        <v>59</v>
      </c>
      <c r="E1492" t="s">
        <v>64</v>
      </c>
      <c r="F1492" t="s">
        <v>470</v>
      </c>
      <c r="G1492" t="s">
        <v>8540</v>
      </c>
      <c r="H1492" t="s">
        <v>9845</v>
      </c>
      <c r="J1492">
        <v>44763</v>
      </c>
      <c r="L1492">
        <v>27604</v>
      </c>
      <c r="O1492">
        <v>16</v>
      </c>
    </row>
    <row r="1493" spans="1:17" x14ac:dyDescent="0.25">
      <c r="A1493" t="s">
        <v>564</v>
      </c>
      <c r="B1493" t="s">
        <v>30</v>
      </c>
      <c r="C1493" t="s">
        <v>349</v>
      </c>
      <c r="D1493" t="s">
        <v>59</v>
      </c>
      <c r="E1493" t="s">
        <v>64</v>
      </c>
      <c r="F1493" t="s">
        <v>8535</v>
      </c>
      <c r="G1493" t="s">
        <v>8536</v>
      </c>
      <c r="H1493" t="s">
        <v>9846</v>
      </c>
      <c r="J1493">
        <v>44763</v>
      </c>
      <c r="L1493">
        <v>27604</v>
      </c>
      <c r="O1493">
        <v>17</v>
      </c>
    </row>
    <row r="1494" spans="1:17" x14ac:dyDescent="0.25">
      <c r="A1494" t="s">
        <v>564</v>
      </c>
      <c r="B1494" t="s">
        <v>30</v>
      </c>
      <c r="C1494" t="s">
        <v>349</v>
      </c>
      <c r="D1494" t="s">
        <v>59</v>
      </c>
      <c r="E1494" t="s">
        <v>64</v>
      </c>
      <c r="F1494" t="s">
        <v>8547</v>
      </c>
      <c r="G1494" t="s">
        <v>8548</v>
      </c>
      <c r="H1494" t="s">
        <v>9851</v>
      </c>
      <c r="J1494">
        <v>44763</v>
      </c>
      <c r="L1494">
        <v>27604</v>
      </c>
      <c r="O1494">
        <v>18</v>
      </c>
    </row>
    <row r="1495" spans="1:17" x14ac:dyDescent="0.25">
      <c r="A1495" t="s">
        <v>564</v>
      </c>
      <c r="B1495" t="s">
        <v>30</v>
      </c>
      <c r="C1495" t="s">
        <v>349</v>
      </c>
      <c r="D1495" t="s">
        <v>59</v>
      </c>
      <c r="E1495" t="s">
        <v>64</v>
      </c>
      <c r="F1495" t="s">
        <v>8543</v>
      </c>
      <c r="G1495" t="s">
        <v>8544</v>
      </c>
      <c r="H1495" t="s">
        <v>9848</v>
      </c>
      <c r="J1495">
        <v>44763</v>
      </c>
      <c r="L1495">
        <v>27604</v>
      </c>
      <c r="O1495">
        <v>19</v>
      </c>
    </row>
    <row r="1496" spans="1:17" x14ac:dyDescent="0.25">
      <c r="A1496" t="s">
        <v>564</v>
      </c>
      <c r="B1496" t="s">
        <v>30</v>
      </c>
      <c r="C1496" t="s">
        <v>349</v>
      </c>
      <c r="D1496" t="s">
        <v>59</v>
      </c>
      <c r="E1496" t="s">
        <v>68</v>
      </c>
      <c r="F1496" t="s">
        <v>69</v>
      </c>
      <c r="G1496" t="s">
        <v>701</v>
      </c>
      <c r="H1496" t="s">
        <v>9844</v>
      </c>
      <c r="J1496">
        <v>44763</v>
      </c>
      <c r="L1496">
        <v>27604</v>
      </c>
      <c r="O1496">
        <v>20</v>
      </c>
      <c r="Q1496">
        <v>11</v>
      </c>
    </row>
    <row r="1497" spans="1:17" x14ac:dyDescent="0.25">
      <c r="A1497" t="s">
        <v>564</v>
      </c>
      <c r="B1497" t="s">
        <v>30</v>
      </c>
      <c r="C1497" t="s">
        <v>349</v>
      </c>
      <c r="D1497" t="s">
        <v>59</v>
      </c>
      <c r="E1497" t="s">
        <v>68</v>
      </c>
      <c r="F1497" t="s">
        <v>71</v>
      </c>
      <c r="G1497" t="s">
        <v>8538</v>
      </c>
      <c r="H1497" t="s">
        <v>9849</v>
      </c>
      <c r="J1497">
        <v>44763</v>
      </c>
      <c r="L1497">
        <v>27604</v>
      </c>
      <c r="O1497">
        <v>21</v>
      </c>
    </row>
    <row r="1498" spans="1:17" x14ac:dyDescent="0.25">
      <c r="A1498" t="s">
        <v>564</v>
      </c>
      <c r="B1498" t="s">
        <v>30</v>
      </c>
      <c r="C1498" t="s">
        <v>260</v>
      </c>
      <c r="D1498" t="s">
        <v>76</v>
      </c>
      <c r="E1498" t="s">
        <v>78</v>
      </c>
      <c r="F1498" t="s">
        <v>78</v>
      </c>
      <c r="G1498" t="s">
        <v>575</v>
      </c>
      <c r="H1498" t="s">
        <v>9852</v>
      </c>
      <c r="I1498">
        <v>0.40279203968586841</v>
      </c>
      <c r="J1498">
        <v>276572</v>
      </c>
      <c r="K1498">
        <v>1</v>
      </c>
      <c r="L1498">
        <v>111401</v>
      </c>
      <c r="M1498">
        <v>111401</v>
      </c>
      <c r="N1498">
        <v>0.1173</v>
      </c>
      <c r="O1498">
        <v>1</v>
      </c>
    </row>
    <row r="1499" spans="1:17" x14ac:dyDescent="0.25">
      <c r="A1499" t="s">
        <v>564</v>
      </c>
      <c r="B1499" t="s">
        <v>30</v>
      </c>
      <c r="C1499" t="s">
        <v>260</v>
      </c>
      <c r="D1499" t="s">
        <v>76</v>
      </c>
      <c r="E1499" t="s">
        <v>80</v>
      </c>
      <c r="F1499" t="s">
        <v>78</v>
      </c>
      <c r="G1499" t="s">
        <v>576</v>
      </c>
      <c r="H1499" t="s">
        <v>9853</v>
      </c>
      <c r="I1499">
        <v>0.1496102280780412</v>
      </c>
      <c r="J1499">
        <v>276572</v>
      </c>
      <c r="K1499">
        <v>0.37143293148176409</v>
      </c>
      <c r="L1499">
        <v>111401</v>
      </c>
      <c r="M1499">
        <v>41378</v>
      </c>
      <c r="N1499">
        <v>9.0200000000000002E-2</v>
      </c>
      <c r="O1499">
        <v>2</v>
      </c>
      <c r="P1499">
        <v>1</v>
      </c>
    </row>
    <row r="1500" spans="1:17" x14ac:dyDescent="0.25">
      <c r="A1500" t="s">
        <v>564</v>
      </c>
      <c r="B1500" t="s">
        <v>30</v>
      </c>
      <c r="C1500" t="s">
        <v>260</v>
      </c>
      <c r="D1500" t="s">
        <v>76</v>
      </c>
      <c r="E1500" t="s">
        <v>80</v>
      </c>
      <c r="F1500" t="s">
        <v>8326</v>
      </c>
      <c r="G1500" t="s">
        <v>8327</v>
      </c>
      <c r="H1500" t="s">
        <v>9854</v>
      </c>
      <c r="I1500">
        <v>0.14905702674168031</v>
      </c>
      <c r="J1500">
        <v>276572</v>
      </c>
      <c r="K1500">
        <v>0.37005951472607967</v>
      </c>
      <c r="L1500">
        <v>111401</v>
      </c>
      <c r="M1500">
        <v>41225</v>
      </c>
      <c r="N1500">
        <v>9.01E-2</v>
      </c>
      <c r="O1500">
        <v>3</v>
      </c>
    </row>
    <row r="1501" spans="1:17" x14ac:dyDescent="0.25">
      <c r="A1501" t="s">
        <v>564</v>
      </c>
      <c r="B1501" t="s">
        <v>30</v>
      </c>
      <c r="C1501" t="s">
        <v>260</v>
      </c>
      <c r="D1501" t="s">
        <v>76</v>
      </c>
      <c r="E1501" t="s">
        <v>82</v>
      </c>
      <c r="F1501" t="s">
        <v>78</v>
      </c>
      <c r="G1501" t="s">
        <v>579</v>
      </c>
      <c r="H1501" t="s">
        <v>9856</v>
      </c>
      <c r="I1501">
        <v>7.6323705942756323E-2</v>
      </c>
      <c r="J1501">
        <v>276572</v>
      </c>
      <c r="K1501">
        <v>0.18948662938393729</v>
      </c>
      <c r="L1501">
        <v>111401</v>
      </c>
      <c r="M1501">
        <v>21109</v>
      </c>
      <c r="N1501">
        <v>0.18920000000000001</v>
      </c>
      <c r="O1501">
        <v>4</v>
      </c>
      <c r="P1501">
        <v>3</v>
      </c>
    </row>
    <row r="1502" spans="1:17" x14ac:dyDescent="0.25">
      <c r="A1502" t="s">
        <v>564</v>
      </c>
      <c r="B1502" t="s">
        <v>30</v>
      </c>
      <c r="C1502" t="s">
        <v>260</v>
      </c>
      <c r="D1502" t="s">
        <v>76</v>
      </c>
      <c r="E1502" t="s">
        <v>83</v>
      </c>
      <c r="F1502" t="s">
        <v>78</v>
      </c>
      <c r="G1502" t="s">
        <v>580</v>
      </c>
      <c r="H1502" t="s">
        <v>9855</v>
      </c>
      <c r="I1502">
        <v>7.1536525750979851E-2</v>
      </c>
      <c r="J1502">
        <v>276572</v>
      </c>
      <c r="K1502">
        <v>0.17760163732821069</v>
      </c>
      <c r="L1502">
        <v>111401</v>
      </c>
      <c r="M1502">
        <v>19785</v>
      </c>
      <c r="N1502">
        <v>0.30330000000000001</v>
      </c>
      <c r="O1502">
        <v>5</v>
      </c>
      <c r="P1502">
        <v>2</v>
      </c>
    </row>
    <row r="1503" spans="1:17" x14ac:dyDescent="0.25">
      <c r="A1503" t="s">
        <v>564</v>
      </c>
      <c r="B1503" t="s">
        <v>30</v>
      </c>
      <c r="C1503" t="s">
        <v>260</v>
      </c>
      <c r="D1503" t="s">
        <v>76</v>
      </c>
      <c r="E1503" t="s">
        <v>79</v>
      </c>
      <c r="F1503" t="s">
        <v>78</v>
      </c>
      <c r="G1503" t="s">
        <v>577</v>
      </c>
      <c r="H1503" t="s">
        <v>9857</v>
      </c>
      <c r="I1503">
        <v>6.9526199326034446E-2</v>
      </c>
      <c r="J1503">
        <v>276572</v>
      </c>
      <c r="K1503">
        <v>0.17261065879121371</v>
      </c>
      <c r="L1503">
        <v>111401</v>
      </c>
      <c r="M1503">
        <v>19229</v>
      </c>
      <c r="N1503">
        <v>1.66E-2</v>
      </c>
      <c r="O1503">
        <v>6</v>
      </c>
      <c r="P1503">
        <v>5</v>
      </c>
    </row>
    <row r="1504" spans="1:17" x14ac:dyDescent="0.25">
      <c r="A1504" t="s">
        <v>564</v>
      </c>
      <c r="B1504" t="s">
        <v>30</v>
      </c>
      <c r="C1504" t="s">
        <v>260</v>
      </c>
      <c r="D1504" t="s">
        <v>76</v>
      </c>
      <c r="E1504" t="s">
        <v>77</v>
      </c>
      <c r="F1504" t="s">
        <v>78</v>
      </c>
      <c r="G1504" t="s">
        <v>581</v>
      </c>
      <c r="H1504" t="s">
        <v>9858</v>
      </c>
      <c r="I1504">
        <v>3.5900235743314579E-2</v>
      </c>
      <c r="J1504">
        <v>276572</v>
      </c>
      <c r="K1504">
        <v>8.9128463837847061E-2</v>
      </c>
      <c r="L1504">
        <v>111401</v>
      </c>
      <c r="M1504">
        <v>9929</v>
      </c>
      <c r="N1504">
        <v>0.16470000000000001</v>
      </c>
      <c r="O1504">
        <v>7</v>
      </c>
      <c r="P1504">
        <v>4</v>
      </c>
    </row>
    <row r="1505" spans="1:16" x14ac:dyDescent="0.25">
      <c r="A1505" t="s">
        <v>564</v>
      </c>
      <c r="B1505" t="s">
        <v>30</v>
      </c>
      <c r="C1505" t="s">
        <v>260</v>
      </c>
      <c r="D1505" t="s">
        <v>76</v>
      </c>
      <c r="E1505" t="s">
        <v>81</v>
      </c>
      <c r="F1505" t="s">
        <v>78</v>
      </c>
      <c r="G1505" t="s">
        <v>578</v>
      </c>
      <c r="H1505" t="s">
        <v>9859</v>
      </c>
      <c r="I1505">
        <v>2.6257177154592651E-2</v>
      </c>
      <c r="J1505">
        <v>276572</v>
      </c>
      <c r="K1505">
        <v>6.5187924704446107E-2</v>
      </c>
      <c r="L1505">
        <v>111401</v>
      </c>
      <c r="M1505">
        <v>7262</v>
      </c>
      <c r="N1505">
        <v>4.02E-2</v>
      </c>
      <c r="O1505">
        <v>8</v>
      </c>
      <c r="P1505">
        <v>6</v>
      </c>
    </row>
    <row r="1506" spans="1:16" x14ac:dyDescent="0.25">
      <c r="A1506" t="s">
        <v>564</v>
      </c>
      <c r="B1506" t="s">
        <v>30</v>
      </c>
      <c r="C1506" t="s">
        <v>260</v>
      </c>
      <c r="D1506" t="s">
        <v>76</v>
      </c>
      <c r="E1506" t="s">
        <v>84</v>
      </c>
      <c r="F1506" t="s">
        <v>78</v>
      </c>
      <c r="G1506" t="s">
        <v>589</v>
      </c>
      <c r="H1506" t="s">
        <v>9860</v>
      </c>
      <c r="I1506">
        <v>1.8125479079588679E-2</v>
      </c>
      <c r="J1506">
        <v>276572</v>
      </c>
      <c r="K1506">
        <v>4.4999596053895377E-2</v>
      </c>
      <c r="L1506">
        <v>111401</v>
      </c>
      <c r="M1506">
        <v>5013</v>
      </c>
      <c r="N1506">
        <v>0.2034</v>
      </c>
      <c r="O1506">
        <v>9</v>
      </c>
      <c r="P1506">
        <v>7</v>
      </c>
    </row>
    <row r="1507" spans="1:16" x14ac:dyDescent="0.25">
      <c r="A1507" t="s">
        <v>564</v>
      </c>
      <c r="B1507" t="s">
        <v>30</v>
      </c>
      <c r="C1507" t="s">
        <v>260</v>
      </c>
      <c r="D1507" t="s">
        <v>76</v>
      </c>
      <c r="E1507" t="s">
        <v>596</v>
      </c>
      <c r="F1507" t="s">
        <v>78</v>
      </c>
      <c r="G1507" t="s">
        <v>597</v>
      </c>
      <c r="H1507" t="s">
        <v>9886</v>
      </c>
      <c r="I1507">
        <v>1.7640975948396798E-2</v>
      </c>
      <c r="J1507">
        <v>276572</v>
      </c>
      <c r="K1507">
        <v>4.3796734320158709E-2</v>
      </c>
      <c r="L1507">
        <v>111401</v>
      </c>
      <c r="M1507">
        <v>4879</v>
      </c>
      <c r="N1507">
        <v>5.7000000000000002E-2</v>
      </c>
      <c r="O1507">
        <v>10</v>
      </c>
    </row>
    <row r="1508" spans="1:16" x14ac:dyDescent="0.25">
      <c r="A1508" t="s">
        <v>564</v>
      </c>
      <c r="B1508" t="s">
        <v>30</v>
      </c>
      <c r="C1508" t="s">
        <v>260</v>
      </c>
      <c r="D1508" t="s">
        <v>76</v>
      </c>
      <c r="E1508" t="s">
        <v>81</v>
      </c>
      <c r="F1508" t="s">
        <v>585</v>
      </c>
      <c r="G1508" t="s">
        <v>586</v>
      </c>
      <c r="H1508" t="s">
        <v>9863</v>
      </c>
      <c r="I1508">
        <v>1.718178268226719E-2</v>
      </c>
      <c r="J1508">
        <v>276572</v>
      </c>
      <c r="K1508">
        <v>4.2656708647139607E-2</v>
      </c>
      <c r="L1508">
        <v>111401</v>
      </c>
      <c r="M1508">
        <v>4752</v>
      </c>
      <c r="N1508">
        <v>9.9000000000000008E-3</v>
      </c>
      <c r="O1508">
        <v>11</v>
      </c>
    </row>
    <row r="1509" spans="1:16" x14ac:dyDescent="0.25">
      <c r="A1509" t="s">
        <v>564</v>
      </c>
      <c r="B1509" t="s">
        <v>30</v>
      </c>
      <c r="C1509" t="s">
        <v>260</v>
      </c>
      <c r="D1509" t="s">
        <v>76</v>
      </c>
      <c r="E1509" t="s">
        <v>587</v>
      </c>
      <c r="F1509" t="s">
        <v>78</v>
      </c>
      <c r="G1509" t="s">
        <v>588</v>
      </c>
      <c r="H1509" t="s">
        <v>9865</v>
      </c>
      <c r="I1509">
        <v>1.527269571757083E-2</v>
      </c>
      <c r="J1509">
        <v>276572</v>
      </c>
      <c r="K1509">
        <v>3.7917074353012989E-2</v>
      </c>
      <c r="L1509">
        <v>111401</v>
      </c>
      <c r="M1509">
        <v>4224</v>
      </c>
      <c r="O1509">
        <v>12</v>
      </c>
    </row>
    <row r="1510" spans="1:16" x14ac:dyDescent="0.25">
      <c r="A1510" t="s">
        <v>564</v>
      </c>
      <c r="B1510" t="s">
        <v>30</v>
      </c>
      <c r="C1510" t="s">
        <v>260</v>
      </c>
      <c r="D1510" t="s">
        <v>76</v>
      </c>
      <c r="E1510" t="s">
        <v>592</v>
      </c>
      <c r="F1510" t="s">
        <v>78</v>
      </c>
      <c r="G1510" t="s">
        <v>593</v>
      </c>
      <c r="H1510" t="s">
        <v>9861</v>
      </c>
      <c r="I1510">
        <v>1.115080340743098E-2</v>
      </c>
      <c r="J1510">
        <v>276572</v>
      </c>
      <c r="K1510">
        <v>2.768377303614869E-2</v>
      </c>
      <c r="L1510">
        <v>111401</v>
      </c>
      <c r="M1510">
        <v>3084</v>
      </c>
      <c r="N1510">
        <v>5.5500000000000001E-2</v>
      </c>
      <c r="O1510">
        <v>13</v>
      </c>
    </row>
    <row r="1511" spans="1:16" x14ac:dyDescent="0.25">
      <c r="A1511" t="s">
        <v>564</v>
      </c>
      <c r="B1511" t="s">
        <v>30</v>
      </c>
      <c r="C1511" t="s">
        <v>260</v>
      </c>
      <c r="D1511" t="s">
        <v>76</v>
      </c>
      <c r="E1511" t="s">
        <v>346</v>
      </c>
      <c r="F1511" t="s">
        <v>78</v>
      </c>
      <c r="G1511" t="s">
        <v>584</v>
      </c>
      <c r="H1511" t="s">
        <v>9868</v>
      </c>
      <c r="I1511">
        <v>1.028303660529627E-2</v>
      </c>
      <c r="J1511">
        <v>276572</v>
      </c>
      <c r="K1511">
        <v>2.5529393811545679E-2</v>
      </c>
      <c r="L1511">
        <v>111401</v>
      </c>
      <c r="M1511">
        <v>2844</v>
      </c>
      <c r="N1511">
        <v>4.7500000000000001E-2</v>
      </c>
      <c r="O1511">
        <v>14</v>
      </c>
    </row>
    <row r="1512" spans="1:16" x14ac:dyDescent="0.25">
      <c r="A1512" t="s">
        <v>564</v>
      </c>
      <c r="B1512" t="s">
        <v>30</v>
      </c>
      <c r="C1512" t="s">
        <v>260</v>
      </c>
      <c r="D1512" t="s">
        <v>76</v>
      </c>
      <c r="E1512" t="s">
        <v>598</v>
      </c>
      <c r="F1512" t="s">
        <v>78</v>
      </c>
      <c r="G1512" t="s">
        <v>599</v>
      </c>
      <c r="H1512" t="s">
        <v>9873</v>
      </c>
      <c r="I1512">
        <v>9.4586581432682983E-3</v>
      </c>
      <c r="J1512">
        <v>276572</v>
      </c>
      <c r="K1512">
        <v>2.3482733548172818E-2</v>
      </c>
      <c r="L1512">
        <v>111401</v>
      </c>
      <c r="M1512">
        <v>2616</v>
      </c>
      <c r="N1512">
        <v>1.95E-2</v>
      </c>
      <c r="O1512">
        <v>15</v>
      </c>
    </row>
    <row r="1513" spans="1:16" x14ac:dyDescent="0.25">
      <c r="A1513" t="s">
        <v>564</v>
      </c>
      <c r="B1513" t="s">
        <v>30</v>
      </c>
      <c r="C1513" t="s">
        <v>260</v>
      </c>
      <c r="D1513" t="s">
        <v>76</v>
      </c>
      <c r="E1513" t="s">
        <v>8368</v>
      </c>
      <c r="F1513" t="s">
        <v>78</v>
      </c>
      <c r="G1513" t="s">
        <v>8369</v>
      </c>
      <c r="H1513" t="s">
        <v>9893</v>
      </c>
      <c r="I1513">
        <v>7.5640339586075236E-3</v>
      </c>
      <c r="J1513">
        <v>276572</v>
      </c>
      <c r="K1513">
        <v>1.8779005574456241E-2</v>
      </c>
      <c r="L1513">
        <v>111401</v>
      </c>
      <c r="M1513">
        <v>2092</v>
      </c>
      <c r="N1513">
        <v>6.88E-2</v>
      </c>
      <c r="O1513">
        <v>16</v>
      </c>
    </row>
    <row r="1514" spans="1:16" x14ac:dyDescent="0.25">
      <c r="A1514" t="s">
        <v>564</v>
      </c>
      <c r="B1514" t="s">
        <v>30</v>
      </c>
      <c r="C1514" t="s">
        <v>260</v>
      </c>
      <c r="D1514" t="s">
        <v>76</v>
      </c>
      <c r="E1514" t="s">
        <v>81</v>
      </c>
      <c r="F1514" t="s">
        <v>590</v>
      </c>
      <c r="G1514" t="s">
        <v>591</v>
      </c>
      <c r="H1514" t="s">
        <v>9864</v>
      </c>
      <c r="I1514">
        <v>7.0795308274156461E-3</v>
      </c>
      <c r="J1514">
        <v>276572</v>
      </c>
      <c r="K1514">
        <v>1.7576143840719559E-2</v>
      </c>
      <c r="L1514">
        <v>111401</v>
      </c>
      <c r="M1514">
        <v>1958</v>
      </c>
      <c r="N1514">
        <v>0.1169</v>
      </c>
      <c r="O1514">
        <v>17</v>
      </c>
    </row>
    <row r="1515" spans="1:16" x14ac:dyDescent="0.25">
      <c r="A1515" t="s">
        <v>564</v>
      </c>
      <c r="B1515" t="s">
        <v>30</v>
      </c>
      <c r="C1515" t="s">
        <v>260</v>
      </c>
      <c r="D1515" t="s">
        <v>76</v>
      </c>
      <c r="E1515" t="s">
        <v>594</v>
      </c>
      <c r="F1515" t="s">
        <v>78</v>
      </c>
      <c r="G1515" t="s">
        <v>595</v>
      </c>
      <c r="H1515" t="s">
        <v>9874</v>
      </c>
      <c r="I1515">
        <v>6.9674442821399127E-3</v>
      </c>
      <c r="J1515">
        <v>276572</v>
      </c>
      <c r="K1515">
        <v>1.729786985754167E-2</v>
      </c>
      <c r="L1515">
        <v>111401</v>
      </c>
      <c r="M1515">
        <v>1927</v>
      </c>
      <c r="N1515">
        <v>9.3899999999999997E-2</v>
      </c>
      <c r="O1515">
        <v>18</v>
      </c>
    </row>
    <row r="1516" spans="1:16" x14ac:dyDescent="0.25">
      <c r="A1516" t="s">
        <v>564</v>
      </c>
      <c r="B1516" t="s">
        <v>30</v>
      </c>
      <c r="C1516" t="s">
        <v>260</v>
      </c>
      <c r="D1516" t="s">
        <v>76</v>
      </c>
      <c r="E1516" t="s">
        <v>602</v>
      </c>
      <c r="F1516" t="s">
        <v>78</v>
      </c>
      <c r="G1516" t="s">
        <v>603</v>
      </c>
      <c r="H1516" t="s">
        <v>9869</v>
      </c>
      <c r="I1516">
        <v>6.8806676019264419E-3</v>
      </c>
      <c r="J1516">
        <v>276572</v>
      </c>
      <c r="K1516">
        <v>1.7082431935081369E-2</v>
      </c>
      <c r="L1516">
        <v>111401</v>
      </c>
      <c r="M1516">
        <v>1903</v>
      </c>
      <c r="N1516">
        <v>0.13439999999999999</v>
      </c>
      <c r="O1516">
        <v>19</v>
      </c>
    </row>
    <row r="1517" spans="1:16" x14ac:dyDescent="0.25">
      <c r="A1517" t="s">
        <v>564</v>
      </c>
      <c r="B1517" t="s">
        <v>30</v>
      </c>
      <c r="C1517" t="s">
        <v>260</v>
      </c>
      <c r="D1517" t="s">
        <v>76</v>
      </c>
      <c r="E1517" t="s">
        <v>600</v>
      </c>
      <c r="F1517" t="s">
        <v>78</v>
      </c>
      <c r="G1517" t="s">
        <v>601</v>
      </c>
      <c r="H1517" t="s">
        <v>9866</v>
      </c>
      <c r="I1517">
        <v>5.7887277092402703E-3</v>
      </c>
      <c r="J1517">
        <v>276572</v>
      </c>
      <c r="K1517">
        <v>1.437150474412258E-2</v>
      </c>
      <c r="L1517">
        <v>111401</v>
      </c>
      <c r="M1517">
        <v>1601</v>
      </c>
      <c r="N1517">
        <v>7.9899999999999999E-2</v>
      </c>
      <c r="O1517">
        <v>20</v>
      </c>
    </row>
    <row r="1518" spans="1:16" x14ac:dyDescent="0.25">
      <c r="A1518" t="s">
        <v>564</v>
      </c>
      <c r="B1518" t="s">
        <v>30</v>
      </c>
      <c r="C1518" t="s">
        <v>260</v>
      </c>
      <c r="D1518" t="s">
        <v>76</v>
      </c>
      <c r="E1518" t="s">
        <v>606</v>
      </c>
      <c r="F1518" t="s">
        <v>78</v>
      </c>
      <c r="G1518" t="s">
        <v>607</v>
      </c>
      <c r="H1518" t="s">
        <v>9862</v>
      </c>
      <c r="I1518">
        <v>5.5139348885642802E-3</v>
      </c>
      <c r="J1518">
        <v>276572</v>
      </c>
      <c r="K1518">
        <v>1.3689284656331629E-2</v>
      </c>
      <c r="L1518">
        <v>111401</v>
      </c>
      <c r="M1518">
        <v>1525</v>
      </c>
      <c r="N1518">
        <v>7.5399999999999995E-2</v>
      </c>
      <c r="O1518">
        <v>21</v>
      </c>
    </row>
    <row r="1519" spans="1:16" x14ac:dyDescent="0.25">
      <c r="A1519" t="s">
        <v>564</v>
      </c>
      <c r="B1519" t="s">
        <v>30</v>
      </c>
      <c r="C1519" t="s">
        <v>260</v>
      </c>
      <c r="D1519" t="s">
        <v>76</v>
      </c>
      <c r="E1519" t="s">
        <v>608</v>
      </c>
      <c r="F1519" t="s">
        <v>78</v>
      </c>
      <c r="G1519" t="s">
        <v>609</v>
      </c>
      <c r="H1519" t="s">
        <v>9867</v>
      </c>
      <c r="I1519">
        <v>5.1306712176214511E-3</v>
      </c>
      <c r="J1519">
        <v>276572</v>
      </c>
      <c r="K1519">
        <v>1.27377671654653E-2</v>
      </c>
      <c r="L1519">
        <v>111401</v>
      </c>
      <c r="M1519">
        <v>1419</v>
      </c>
      <c r="N1519">
        <v>0.29859999999999998</v>
      </c>
      <c r="O1519">
        <v>22</v>
      </c>
    </row>
    <row r="1520" spans="1:16" x14ac:dyDescent="0.25">
      <c r="A1520" t="s">
        <v>564</v>
      </c>
      <c r="B1520" t="s">
        <v>30</v>
      </c>
      <c r="C1520" t="s">
        <v>260</v>
      </c>
      <c r="D1520" t="s">
        <v>76</v>
      </c>
      <c r="E1520" t="s">
        <v>592</v>
      </c>
      <c r="F1520" t="s">
        <v>803</v>
      </c>
      <c r="G1520" t="s">
        <v>804</v>
      </c>
      <c r="H1520" t="s">
        <v>9877</v>
      </c>
      <c r="I1520">
        <v>4.7112505965896763E-3</v>
      </c>
      <c r="J1520">
        <v>276572</v>
      </c>
      <c r="K1520">
        <v>1.1696483873573849E-2</v>
      </c>
      <c r="L1520">
        <v>111401</v>
      </c>
      <c r="M1520">
        <v>1303</v>
      </c>
      <c r="N1520">
        <v>5.7599999999999998E-2</v>
      </c>
      <c r="O1520">
        <v>23</v>
      </c>
    </row>
    <row r="1521" spans="1:15" x14ac:dyDescent="0.25">
      <c r="A1521" t="s">
        <v>564</v>
      </c>
      <c r="B1521" t="s">
        <v>30</v>
      </c>
      <c r="C1521" t="s">
        <v>260</v>
      </c>
      <c r="D1521" t="s">
        <v>76</v>
      </c>
      <c r="E1521" t="s">
        <v>592</v>
      </c>
      <c r="F1521" t="s">
        <v>811</v>
      </c>
      <c r="G1521" t="s">
        <v>812</v>
      </c>
      <c r="H1521" t="s">
        <v>9876</v>
      </c>
      <c r="I1521">
        <v>4.5340815411538402E-3</v>
      </c>
      <c r="J1521">
        <v>276572</v>
      </c>
      <c r="K1521">
        <v>1.1256631448550731E-2</v>
      </c>
      <c r="L1521">
        <v>111401</v>
      </c>
      <c r="M1521">
        <v>1254</v>
      </c>
      <c r="N1521">
        <v>7.3300000000000004E-2</v>
      </c>
      <c r="O1521">
        <v>24</v>
      </c>
    </row>
    <row r="1522" spans="1:15" x14ac:dyDescent="0.25">
      <c r="A1522" t="s">
        <v>564</v>
      </c>
      <c r="B1522" t="s">
        <v>30</v>
      </c>
      <c r="C1522" t="s">
        <v>260</v>
      </c>
      <c r="D1522" t="s">
        <v>76</v>
      </c>
      <c r="E1522" t="s">
        <v>602</v>
      </c>
      <c r="F1522" t="s">
        <v>616</v>
      </c>
      <c r="G1522" t="s">
        <v>617</v>
      </c>
      <c r="H1522" t="s">
        <v>9883</v>
      </c>
      <c r="I1522">
        <v>3.4204474784143009E-3</v>
      </c>
      <c r="J1522">
        <v>276572</v>
      </c>
      <c r="K1522">
        <v>8.4918447769768667E-3</v>
      </c>
      <c r="L1522">
        <v>111401</v>
      </c>
      <c r="M1522">
        <v>946</v>
      </c>
      <c r="N1522">
        <v>0.12570000000000001</v>
      </c>
      <c r="O1522">
        <v>25</v>
      </c>
    </row>
    <row r="1523" spans="1:15" x14ac:dyDescent="0.25">
      <c r="A1523" t="s">
        <v>564</v>
      </c>
      <c r="B1523" t="s">
        <v>30</v>
      </c>
      <c r="C1523" t="s">
        <v>260</v>
      </c>
      <c r="D1523" t="s">
        <v>76</v>
      </c>
      <c r="E1523" t="s">
        <v>600</v>
      </c>
      <c r="F1523" t="s">
        <v>614</v>
      </c>
      <c r="G1523" t="s">
        <v>615</v>
      </c>
      <c r="H1523" t="s">
        <v>9870</v>
      </c>
      <c r="I1523">
        <v>3.0624936725337339E-3</v>
      </c>
      <c r="J1523">
        <v>276572</v>
      </c>
      <c r="K1523">
        <v>7.6031633468281257E-3</v>
      </c>
      <c r="L1523">
        <v>111401</v>
      </c>
      <c r="M1523">
        <v>847</v>
      </c>
      <c r="N1523">
        <v>4.7199999999999999E-2</v>
      </c>
      <c r="O1523">
        <v>26</v>
      </c>
    </row>
    <row r="1524" spans="1:15" x14ac:dyDescent="0.25">
      <c r="A1524" t="s">
        <v>564</v>
      </c>
      <c r="B1524" t="s">
        <v>30</v>
      </c>
      <c r="C1524" t="s">
        <v>260</v>
      </c>
      <c r="D1524" t="s">
        <v>76</v>
      </c>
      <c r="E1524" t="s">
        <v>610</v>
      </c>
      <c r="F1524" t="s">
        <v>78</v>
      </c>
      <c r="G1524" t="s">
        <v>611</v>
      </c>
      <c r="H1524" t="s">
        <v>9881</v>
      </c>
      <c r="I1524">
        <v>2.7877008518577438E-3</v>
      </c>
      <c r="J1524">
        <v>276572</v>
      </c>
      <c r="K1524">
        <v>6.9209432590371716E-3</v>
      </c>
      <c r="L1524">
        <v>111401</v>
      </c>
      <c r="M1524">
        <v>771</v>
      </c>
      <c r="N1524">
        <v>0.22020000000000001</v>
      </c>
      <c r="O1524">
        <v>27</v>
      </c>
    </row>
    <row r="1525" spans="1:15" x14ac:dyDescent="0.25">
      <c r="A1525" t="s">
        <v>564</v>
      </c>
      <c r="B1525" t="s">
        <v>30</v>
      </c>
      <c r="C1525" t="s">
        <v>260</v>
      </c>
      <c r="D1525" t="s">
        <v>76</v>
      </c>
      <c r="E1525" t="s">
        <v>600</v>
      </c>
      <c r="F1525" t="s">
        <v>612</v>
      </c>
      <c r="G1525" t="s">
        <v>613</v>
      </c>
      <c r="H1525" t="s">
        <v>9882</v>
      </c>
      <c r="I1525">
        <v>2.780469461839955E-3</v>
      </c>
      <c r="J1525">
        <v>276572</v>
      </c>
      <c r="K1525">
        <v>6.9029900988321468E-3</v>
      </c>
      <c r="L1525">
        <v>111401</v>
      </c>
      <c r="M1525">
        <v>769</v>
      </c>
      <c r="N1525">
        <v>0.1143</v>
      </c>
      <c r="O1525">
        <v>28</v>
      </c>
    </row>
    <row r="1526" spans="1:15" x14ac:dyDescent="0.25">
      <c r="A1526" t="s">
        <v>564</v>
      </c>
      <c r="B1526" t="s">
        <v>30</v>
      </c>
      <c r="C1526" t="s">
        <v>260</v>
      </c>
      <c r="D1526" t="s">
        <v>76</v>
      </c>
      <c r="E1526" t="s">
        <v>602</v>
      </c>
      <c r="F1526" t="s">
        <v>628</v>
      </c>
      <c r="G1526" t="s">
        <v>629</v>
      </c>
      <c r="H1526" t="s">
        <v>9891</v>
      </c>
      <c r="I1526">
        <v>2.7081555616620631E-3</v>
      </c>
      <c r="J1526">
        <v>276572</v>
      </c>
      <c r="K1526">
        <v>6.7234584967818959E-3</v>
      </c>
      <c r="L1526">
        <v>111401</v>
      </c>
      <c r="M1526">
        <v>749</v>
      </c>
      <c r="N1526">
        <v>0.156</v>
      </c>
      <c r="O1526">
        <v>29</v>
      </c>
    </row>
    <row r="1527" spans="1:15" x14ac:dyDescent="0.25">
      <c r="A1527" t="s">
        <v>564</v>
      </c>
      <c r="B1527" t="s">
        <v>30</v>
      </c>
      <c r="C1527" t="s">
        <v>260</v>
      </c>
      <c r="D1527" t="s">
        <v>76</v>
      </c>
      <c r="E1527" t="s">
        <v>592</v>
      </c>
      <c r="F1527" t="s">
        <v>624</v>
      </c>
      <c r="G1527" t="s">
        <v>625</v>
      </c>
      <c r="H1527" t="s">
        <v>9871</v>
      </c>
      <c r="I1527">
        <v>2.1766483953545549E-3</v>
      </c>
      <c r="J1527">
        <v>276572</v>
      </c>
      <c r="K1527">
        <v>5.403901221712552E-3</v>
      </c>
      <c r="L1527">
        <v>111401</v>
      </c>
      <c r="M1527">
        <v>602</v>
      </c>
      <c r="N1527">
        <v>9.9000000000000008E-3</v>
      </c>
      <c r="O1527">
        <v>30</v>
      </c>
    </row>
    <row r="1528" spans="1:15" x14ac:dyDescent="0.25">
      <c r="A1528" t="s">
        <v>564</v>
      </c>
      <c r="B1528" t="s">
        <v>30</v>
      </c>
      <c r="C1528" t="s">
        <v>260</v>
      </c>
      <c r="D1528" t="s">
        <v>76</v>
      </c>
      <c r="E1528" t="s">
        <v>634</v>
      </c>
      <c r="F1528" t="s">
        <v>78</v>
      </c>
      <c r="G1528" t="s">
        <v>635</v>
      </c>
      <c r="H1528" t="s">
        <v>9872</v>
      </c>
      <c r="I1528">
        <v>2.154954225301188E-3</v>
      </c>
      <c r="J1528">
        <v>276572</v>
      </c>
      <c r="K1528">
        <v>5.3500417410974766E-3</v>
      </c>
      <c r="L1528">
        <v>111401</v>
      </c>
      <c r="M1528">
        <v>596</v>
      </c>
      <c r="N1528">
        <v>6.54E-2</v>
      </c>
      <c r="O1528">
        <v>31</v>
      </c>
    </row>
    <row r="1529" spans="1:15" x14ac:dyDescent="0.25">
      <c r="A1529" t="s">
        <v>564</v>
      </c>
      <c r="B1529" t="s">
        <v>30</v>
      </c>
      <c r="C1529" t="s">
        <v>260</v>
      </c>
      <c r="D1529" t="s">
        <v>76</v>
      </c>
      <c r="E1529" t="s">
        <v>634</v>
      </c>
      <c r="F1529" t="s">
        <v>638</v>
      </c>
      <c r="G1529" t="s">
        <v>639</v>
      </c>
      <c r="H1529" t="s">
        <v>9878</v>
      </c>
      <c r="I1529">
        <v>1.9343968297586161E-3</v>
      </c>
      <c r="J1529">
        <v>276572</v>
      </c>
      <c r="K1529">
        <v>4.8024703548442118E-3</v>
      </c>
      <c r="L1529">
        <v>111401</v>
      </c>
      <c r="M1529">
        <v>535</v>
      </c>
      <c r="N1529">
        <v>5.9700000000000003E-2</v>
      </c>
      <c r="O1529">
        <v>32</v>
      </c>
    </row>
    <row r="1530" spans="1:15" x14ac:dyDescent="0.25">
      <c r="A1530" t="s">
        <v>564</v>
      </c>
      <c r="B1530" t="s">
        <v>30</v>
      </c>
      <c r="C1530" t="s">
        <v>260</v>
      </c>
      <c r="D1530" t="s">
        <v>76</v>
      </c>
      <c r="E1530" t="s">
        <v>618</v>
      </c>
      <c r="F1530" t="s">
        <v>78</v>
      </c>
      <c r="G1530" t="s">
        <v>619</v>
      </c>
      <c r="H1530" t="s">
        <v>9888</v>
      </c>
      <c r="I1530">
        <v>1.8512358445540401E-3</v>
      </c>
      <c r="J1530">
        <v>276572</v>
      </c>
      <c r="K1530">
        <v>4.5960090124864232E-3</v>
      </c>
      <c r="L1530">
        <v>111401</v>
      </c>
      <c r="M1530">
        <v>512</v>
      </c>
      <c r="N1530">
        <v>8.9700000000000002E-2</v>
      </c>
      <c r="O1530">
        <v>33</v>
      </c>
    </row>
    <row r="1531" spans="1:15" x14ac:dyDescent="0.25">
      <c r="A1531" t="s">
        <v>564</v>
      </c>
      <c r="B1531" t="s">
        <v>30</v>
      </c>
      <c r="C1531" t="s">
        <v>260</v>
      </c>
      <c r="D1531" t="s">
        <v>76</v>
      </c>
      <c r="E1531" t="s">
        <v>620</v>
      </c>
      <c r="F1531" t="s">
        <v>78</v>
      </c>
      <c r="G1531" t="s">
        <v>621</v>
      </c>
      <c r="H1531" t="s">
        <v>9879</v>
      </c>
      <c r="I1531">
        <v>1.793384724411726E-3</v>
      </c>
      <c r="J1531">
        <v>276572</v>
      </c>
      <c r="K1531">
        <v>4.4523837308462219E-3</v>
      </c>
      <c r="L1531">
        <v>111401</v>
      </c>
      <c r="M1531">
        <v>496</v>
      </c>
      <c r="N1531">
        <v>0.16700000000000001</v>
      </c>
      <c r="O1531">
        <v>34</v>
      </c>
    </row>
    <row r="1532" spans="1:15" x14ac:dyDescent="0.25">
      <c r="A1532" t="s">
        <v>564</v>
      </c>
      <c r="B1532" t="s">
        <v>30</v>
      </c>
      <c r="C1532" t="s">
        <v>260</v>
      </c>
      <c r="D1532" t="s">
        <v>76</v>
      </c>
      <c r="E1532" t="s">
        <v>626</v>
      </c>
      <c r="F1532" t="s">
        <v>78</v>
      </c>
      <c r="G1532" t="s">
        <v>627</v>
      </c>
      <c r="H1532" t="s">
        <v>9894</v>
      </c>
      <c r="I1532">
        <v>1.71022373920715E-3</v>
      </c>
      <c r="J1532">
        <v>276572</v>
      </c>
      <c r="K1532">
        <v>4.2459223884884333E-3</v>
      </c>
      <c r="L1532">
        <v>111401</v>
      </c>
      <c r="M1532">
        <v>473</v>
      </c>
      <c r="N1532">
        <v>9.4899999999999998E-2</v>
      </c>
      <c r="O1532">
        <v>35</v>
      </c>
    </row>
    <row r="1533" spans="1:15" x14ac:dyDescent="0.25">
      <c r="A1533" t="s">
        <v>564</v>
      </c>
      <c r="B1533" t="s">
        <v>30</v>
      </c>
      <c r="C1533" t="s">
        <v>260</v>
      </c>
      <c r="D1533" t="s">
        <v>76</v>
      </c>
      <c r="E1533" t="s">
        <v>81</v>
      </c>
      <c r="F1533" t="s">
        <v>582</v>
      </c>
      <c r="G1533" t="s">
        <v>583</v>
      </c>
      <c r="H1533" t="s">
        <v>9875</v>
      </c>
      <c r="I1533">
        <v>1.666835399100415E-3</v>
      </c>
      <c r="J1533">
        <v>276572</v>
      </c>
      <c r="K1533">
        <v>4.1382034272582826E-3</v>
      </c>
      <c r="L1533">
        <v>111401</v>
      </c>
      <c r="M1533">
        <v>461</v>
      </c>
      <c r="N1533">
        <v>2.3800000000000002E-2</v>
      </c>
      <c r="O1533">
        <v>36</v>
      </c>
    </row>
    <row r="1534" spans="1:15" x14ac:dyDescent="0.25">
      <c r="A1534" t="s">
        <v>564</v>
      </c>
      <c r="B1534" t="s">
        <v>30</v>
      </c>
      <c r="C1534" t="s">
        <v>260</v>
      </c>
      <c r="D1534" t="s">
        <v>76</v>
      </c>
      <c r="E1534" t="s">
        <v>644</v>
      </c>
      <c r="F1534" t="s">
        <v>78</v>
      </c>
      <c r="G1534" t="s">
        <v>645</v>
      </c>
      <c r="H1534" t="s">
        <v>9889</v>
      </c>
      <c r="I1534">
        <v>1.323344373255427E-3</v>
      </c>
      <c r="J1534">
        <v>276572</v>
      </c>
      <c r="K1534">
        <v>3.2854283175195909E-3</v>
      </c>
      <c r="L1534">
        <v>111401</v>
      </c>
      <c r="M1534">
        <v>366</v>
      </c>
      <c r="N1534">
        <v>2.7199999999999998E-2</v>
      </c>
      <c r="O1534">
        <v>37</v>
      </c>
    </row>
    <row r="1535" spans="1:15" x14ac:dyDescent="0.25">
      <c r="A1535" t="s">
        <v>564</v>
      </c>
      <c r="B1535" t="s">
        <v>30</v>
      </c>
      <c r="C1535" t="s">
        <v>260</v>
      </c>
      <c r="D1535" t="s">
        <v>76</v>
      </c>
      <c r="E1535" t="s">
        <v>630</v>
      </c>
      <c r="F1535" t="s">
        <v>78</v>
      </c>
      <c r="G1535" t="s">
        <v>631</v>
      </c>
      <c r="H1535" t="s">
        <v>9884</v>
      </c>
      <c r="I1535">
        <v>1.175100877890748E-3</v>
      </c>
      <c r="J1535">
        <v>276572</v>
      </c>
      <c r="K1535">
        <v>2.917388533316577E-3</v>
      </c>
      <c r="L1535">
        <v>111401</v>
      </c>
      <c r="M1535">
        <v>325</v>
      </c>
      <c r="O1535">
        <v>38</v>
      </c>
    </row>
    <row r="1536" spans="1:15" x14ac:dyDescent="0.25">
      <c r="A1536" t="s">
        <v>564</v>
      </c>
      <c r="B1536" t="s">
        <v>30</v>
      </c>
      <c r="C1536" t="s">
        <v>260</v>
      </c>
      <c r="D1536" t="s">
        <v>76</v>
      </c>
      <c r="E1536" t="s">
        <v>80</v>
      </c>
      <c r="F1536" t="s">
        <v>8354</v>
      </c>
      <c r="G1536" t="s">
        <v>8355</v>
      </c>
      <c r="H1536" t="s">
        <v>9892</v>
      </c>
      <c r="I1536">
        <v>1.037704467552753E-3</v>
      </c>
      <c r="J1536">
        <v>276572</v>
      </c>
      <c r="K1536">
        <v>2.5762784894211E-3</v>
      </c>
      <c r="L1536">
        <v>111401</v>
      </c>
      <c r="M1536">
        <v>287</v>
      </c>
      <c r="N1536">
        <v>6.9500000000000006E-2</v>
      </c>
      <c r="O1536">
        <v>39</v>
      </c>
    </row>
    <row r="1537" spans="1:15" x14ac:dyDescent="0.25">
      <c r="A1537" t="s">
        <v>564</v>
      </c>
      <c r="B1537" t="s">
        <v>30</v>
      </c>
      <c r="C1537" t="s">
        <v>260</v>
      </c>
      <c r="D1537" t="s">
        <v>76</v>
      </c>
      <c r="E1537" t="s">
        <v>632</v>
      </c>
      <c r="F1537" t="s">
        <v>78</v>
      </c>
      <c r="G1537" t="s">
        <v>633</v>
      </c>
      <c r="H1537" t="s">
        <v>9880</v>
      </c>
      <c r="I1537">
        <v>9.762376524015446E-4</v>
      </c>
      <c r="J1537">
        <v>276572</v>
      </c>
      <c r="K1537">
        <v>2.4236766276783872E-3</v>
      </c>
      <c r="L1537">
        <v>111401</v>
      </c>
      <c r="M1537">
        <v>270</v>
      </c>
      <c r="O1537">
        <v>40</v>
      </c>
    </row>
    <row r="1538" spans="1:15" x14ac:dyDescent="0.25">
      <c r="A1538" t="s">
        <v>564</v>
      </c>
      <c r="B1538" t="s">
        <v>30</v>
      </c>
      <c r="C1538" t="s">
        <v>260</v>
      </c>
      <c r="D1538" t="s">
        <v>76</v>
      </c>
      <c r="E1538" t="s">
        <v>81</v>
      </c>
      <c r="F1538" t="s">
        <v>622</v>
      </c>
      <c r="G1538" t="s">
        <v>623</v>
      </c>
      <c r="H1538" t="s">
        <v>9887</v>
      </c>
      <c r="I1538">
        <v>9.5092778733928238E-4</v>
      </c>
      <c r="J1538">
        <v>276572</v>
      </c>
      <c r="K1538">
        <v>2.360840566960799E-3</v>
      </c>
      <c r="L1538">
        <v>111401</v>
      </c>
      <c r="M1538">
        <v>263</v>
      </c>
      <c r="N1538">
        <v>1.1299999999999999E-2</v>
      </c>
      <c r="O1538">
        <v>41</v>
      </c>
    </row>
    <row r="1539" spans="1:15" x14ac:dyDescent="0.25">
      <c r="A1539" t="s">
        <v>564</v>
      </c>
      <c r="B1539" t="s">
        <v>30</v>
      </c>
      <c r="C1539" t="s">
        <v>260</v>
      </c>
      <c r="D1539" t="s">
        <v>76</v>
      </c>
      <c r="E1539" t="s">
        <v>602</v>
      </c>
      <c r="F1539" t="s">
        <v>640</v>
      </c>
      <c r="G1539" t="s">
        <v>641</v>
      </c>
      <c r="H1539" t="s">
        <v>9896</v>
      </c>
      <c r="I1539">
        <v>9.4008070231259852E-4</v>
      </c>
      <c r="J1539">
        <v>276572</v>
      </c>
      <c r="K1539">
        <v>2.3339108266532621E-3</v>
      </c>
      <c r="L1539">
        <v>111401</v>
      </c>
      <c r="M1539">
        <v>260</v>
      </c>
      <c r="N1539">
        <v>1.15E-2</v>
      </c>
      <c r="O1539">
        <v>42</v>
      </c>
    </row>
    <row r="1540" spans="1:15" x14ac:dyDescent="0.25">
      <c r="A1540" t="s">
        <v>564</v>
      </c>
      <c r="B1540" t="s">
        <v>30</v>
      </c>
      <c r="C1540" t="s">
        <v>260</v>
      </c>
      <c r="D1540" t="s">
        <v>76</v>
      </c>
      <c r="E1540" t="s">
        <v>636</v>
      </c>
      <c r="F1540" t="s">
        <v>78</v>
      </c>
      <c r="G1540" t="s">
        <v>637</v>
      </c>
      <c r="H1540" t="s">
        <v>9899</v>
      </c>
      <c r="I1540">
        <v>8.8222958217028474E-4</v>
      </c>
      <c r="J1540">
        <v>276572</v>
      </c>
      <c r="K1540">
        <v>2.1902855450130609E-3</v>
      </c>
      <c r="L1540">
        <v>111401</v>
      </c>
      <c r="M1540">
        <v>244</v>
      </c>
      <c r="N1540">
        <v>6.5299999999999997E-2</v>
      </c>
      <c r="O1540">
        <v>43</v>
      </c>
    </row>
    <row r="1541" spans="1:15" x14ac:dyDescent="0.25">
      <c r="A1541" t="s">
        <v>564</v>
      </c>
      <c r="B1541" t="s">
        <v>30</v>
      </c>
      <c r="C1541" t="s">
        <v>260</v>
      </c>
      <c r="D1541" t="s">
        <v>76</v>
      </c>
      <c r="E1541" t="s">
        <v>602</v>
      </c>
      <c r="F1541" t="s">
        <v>650</v>
      </c>
      <c r="G1541" t="s">
        <v>651</v>
      </c>
      <c r="H1541" t="s">
        <v>9895</v>
      </c>
      <c r="I1541">
        <v>3.7964797593393397E-4</v>
      </c>
      <c r="J1541">
        <v>276572</v>
      </c>
      <c r="K1541">
        <v>9.4254091076381719E-4</v>
      </c>
      <c r="L1541">
        <v>111401</v>
      </c>
      <c r="M1541">
        <v>105</v>
      </c>
      <c r="N1541">
        <v>0.25469999999999998</v>
      </c>
      <c r="O1541">
        <v>44</v>
      </c>
    </row>
    <row r="1542" spans="1:15" x14ac:dyDescent="0.25">
      <c r="A1542" t="s">
        <v>564</v>
      </c>
      <c r="B1542" t="s">
        <v>30</v>
      </c>
      <c r="C1542" t="s">
        <v>260</v>
      </c>
      <c r="D1542" t="s">
        <v>76</v>
      </c>
      <c r="E1542" t="s">
        <v>602</v>
      </c>
      <c r="F1542" t="s">
        <v>648</v>
      </c>
      <c r="G1542" t="s">
        <v>649</v>
      </c>
      <c r="H1542" t="s">
        <v>9898</v>
      </c>
      <c r="I1542">
        <v>3.6880089090725017E-4</v>
      </c>
      <c r="J1542">
        <v>276572</v>
      </c>
      <c r="K1542">
        <v>9.1561117045627961E-4</v>
      </c>
      <c r="L1542">
        <v>111401</v>
      </c>
      <c r="M1542">
        <v>102</v>
      </c>
      <c r="N1542">
        <v>0.10680000000000001</v>
      </c>
      <c r="O1542">
        <v>45</v>
      </c>
    </row>
    <row r="1543" spans="1:15" x14ac:dyDescent="0.25">
      <c r="A1543" t="s">
        <v>564</v>
      </c>
      <c r="B1543" t="s">
        <v>30</v>
      </c>
      <c r="C1543" t="s">
        <v>260</v>
      </c>
      <c r="D1543" t="s">
        <v>76</v>
      </c>
      <c r="E1543" t="s">
        <v>80</v>
      </c>
      <c r="F1543" t="s">
        <v>8371</v>
      </c>
      <c r="G1543" t="s">
        <v>8372</v>
      </c>
      <c r="H1543" t="s">
        <v>9906</v>
      </c>
      <c r="I1543">
        <v>2.6394573564930652E-4</v>
      </c>
      <c r="J1543">
        <v>276572</v>
      </c>
      <c r="K1543">
        <v>6.5529034748341573E-4</v>
      </c>
      <c r="L1543">
        <v>111401</v>
      </c>
      <c r="M1543">
        <v>73</v>
      </c>
      <c r="N1543">
        <v>0.14860000000000001</v>
      </c>
      <c r="O1543">
        <v>46</v>
      </c>
    </row>
    <row r="1544" spans="1:15" x14ac:dyDescent="0.25">
      <c r="A1544" t="s">
        <v>564</v>
      </c>
      <c r="B1544" t="s">
        <v>30</v>
      </c>
      <c r="C1544" t="s">
        <v>260</v>
      </c>
      <c r="D1544" t="s">
        <v>76</v>
      </c>
      <c r="E1544" t="s">
        <v>81</v>
      </c>
      <c r="F1544" t="s">
        <v>646</v>
      </c>
      <c r="G1544" t="s">
        <v>647</v>
      </c>
      <c r="H1544" t="s">
        <v>9902</v>
      </c>
      <c r="I1544">
        <v>2.603300406404119E-4</v>
      </c>
      <c r="J1544">
        <v>276572</v>
      </c>
      <c r="K1544">
        <v>6.4631376738090321E-4</v>
      </c>
      <c r="L1544">
        <v>111401</v>
      </c>
      <c r="M1544">
        <v>72</v>
      </c>
      <c r="N1544">
        <v>2.7400000000000001E-2</v>
      </c>
      <c r="O1544">
        <v>47</v>
      </c>
    </row>
    <row r="1545" spans="1:15" x14ac:dyDescent="0.25">
      <c r="A1545" t="s">
        <v>564</v>
      </c>
      <c r="B1545" t="s">
        <v>30</v>
      </c>
      <c r="C1545" t="s">
        <v>260</v>
      </c>
      <c r="D1545" t="s">
        <v>76</v>
      </c>
      <c r="E1545" t="s">
        <v>634</v>
      </c>
      <c r="F1545" t="s">
        <v>658</v>
      </c>
      <c r="G1545" t="s">
        <v>659</v>
      </c>
      <c r="H1545" t="s">
        <v>9885</v>
      </c>
      <c r="I1545">
        <v>2.2055739554257121E-4</v>
      </c>
      <c r="J1545">
        <v>276572</v>
      </c>
      <c r="K1545">
        <v>5.4757138625326522E-4</v>
      </c>
      <c r="L1545">
        <v>111401</v>
      </c>
      <c r="M1545">
        <v>61</v>
      </c>
      <c r="N1545">
        <v>0.1129</v>
      </c>
      <c r="O1545">
        <v>48</v>
      </c>
    </row>
    <row r="1546" spans="1:15" x14ac:dyDescent="0.25">
      <c r="A1546" t="s">
        <v>564</v>
      </c>
      <c r="B1546" t="s">
        <v>30</v>
      </c>
      <c r="C1546" t="s">
        <v>260</v>
      </c>
      <c r="D1546" t="s">
        <v>76</v>
      </c>
      <c r="E1546" t="s">
        <v>654</v>
      </c>
      <c r="F1546" t="s">
        <v>78</v>
      </c>
      <c r="G1546" t="s">
        <v>655</v>
      </c>
      <c r="H1546" t="s">
        <v>9903</v>
      </c>
      <c r="I1546">
        <v>2.169417005336766E-4</v>
      </c>
      <c r="J1546">
        <v>276572</v>
      </c>
      <c r="K1546">
        <v>5.3859480615075269E-4</v>
      </c>
      <c r="L1546">
        <v>111401</v>
      </c>
      <c r="M1546">
        <v>60</v>
      </c>
      <c r="N1546">
        <v>1.6400000000000001E-2</v>
      </c>
      <c r="O1546">
        <v>49</v>
      </c>
    </row>
    <row r="1547" spans="1:15" x14ac:dyDescent="0.25">
      <c r="A1547" t="s">
        <v>564</v>
      </c>
      <c r="B1547" t="s">
        <v>30</v>
      </c>
      <c r="C1547" t="s">
        <v>260</v>
      </c>
      <c r="D1547" t="s">
        <v>76</v>
      </c>
      <c r="E1547" t="s">
        <v>602</v>
      </c>
      <c r="F1547" t="s">
        <v>652</v>
      </c>
      <c r="G1547" t="s">
        <v>653</v>
      </c>
      <c r="H1547" t="s">
        <v>9890</v>
      </c>
      <c r="I1547">
        <v>1.5909058039136279E-4</v>
      </c>
      <c r="J1547">
        <v>276572</v>
      </c>
      <c r="K1547">
        <v>3.9496952451055202E-4</v>
      </c>
      <c r="L1547">
        <v>111401</v>
      </c>
      <c r="M1547">
        <v>44</v>
      </c>
      <c r="N1547">
        <v>4.4499999999999998E-2</v>
      </c>
      <c r="O1547">
        <v>50</v>
      </c>
    </row>
    <row r="1548" spans="1:15" x14ac:dyDescent="0.25">
      <c r="A1548" t="s">
        <v>564</v>
      </c>
      <c r="B1548" t="s">
        <v>30</v>
      </c>
      <c r="C1548" t="s">
        <v>260</v>
      </c>
      <c r="D1548" t="s">
        <v>76</v>
      </c>
      <c r="E1548" t="s">
        <v>602</v>
      </c>
      <c r="F1548" t="s">
        <v>666</v>
      </c>
      <c r="G1548" t="s">
        <v>667</v>
      </c>
      <c r="H1548" t="s">
        <v>9918</v>
      </c>
      <c r="I1548">
        <v>1.3739641033799519E-4</v>
      </c>
      <c r="J1548">
        <v>276572</v>
      </c>
      <c r="K1548">
        <v>3.4111004389547671E-4</v>
      </c>
      <c r="L1548">
        <v>111401</v>
      </c>
      <c r="M1548">
        <v>38</v>
      </c>
      <c r="O1548">
        <v>51</v>
      </c>
    </row>
    <row r="1549" spans="1:15" x14ac:dyDescent="0.25">
      <c r="A1549" t="s">
        <v>564</v>
      </c>
      <c r="B1549" t="s">
        <v>30</v>
      </c>
      <c r="C1549" t="s">
        <v>260</v>
      </c>
      <c r="D1549" t="s">
        <v>76</v>
      </c>
      <c r="E1549" t="s">
        <v>642</v>
      </c>
      <c r="F1549" t="s">
        <v>78</v>
      </c>
      <c r="G1549" t="s">
        <v>643</v>
      </c>
      <c r="H1549" t="s">
        <v>9905</v>
      </c>
      <c r="I1549">
        <v>1.2654932531131131E-4</v>
      </c>
      <c r="J1549">
        <v>276572</v>
      </c>
      <c r="K1549">
        <v>3.1418030358793908E-4</v>
      </c>
      <c r="L1549">
        <v>111401</v>
      </c>
      <c r="M1549">
        <v>35</v>
      </c>
      <c r="O1549">
        <v>52</v>
      </c>
    </row>
    <row r="1550" spans="1:15" x14ac:dyDescent="0.25">
      <c r="A1550" t="s">
        <v>564</v>
      </c>
      <c r="B1550" t="s">
        <v>30</v>
      </c>
      <c r="C1550" t="s">
        <v>260</v>
      </c>
      <c r="D1550" t="s">
        <v>76</v>
      </c>
      <c r="E1550" t="s">
        <v>664</v>
      </c>
      <c r="F1550" t="s">
        <v>78</v>
      </c>
      <c r="G1550" t="s">
        <v>665</v>
      </c>
      <c r="H1550" t="s">
        <v>9913</v>
      </c>
      <c r="I1550">
        <v>1.120865452757329E-4</v>
      </c>
      <c r="J1550">
        <v>276572</v>
      </c>
      <c r="K1550">
        <v>2.7827398317788893E-4</v>
      </c>
      <c r="L1550">
        <v>111401</v>
      </c>
      <c r="M1550">
        <v>31</v>
      </c>
      <c r="O1550">
        <v>53</v>
      </c>
    </row>
    <row r="1551" spans="1:15" x14ac:dyDescent="0.25">
      <c r="A1551" t="s">
        <v>564</v>
      </c>
      <c r="B1551" t="s">
        <v>30</v>
      </c>
      <c r="C1551" t="s">
        <v>260</v>
      </c>
      <c r="D1551" t="s">
        <v>76</v>
      </c>
      <c r="E1551" t="s">
        <v>654</v>
      </c>
      <c r="F1551" t="s">
        <v>8392</v>
      </c>
      <c r="G1551" t="s">
        <v>8393</v>
      </c>
      <c r="H1551" t="s">
        <v>9911</v>
      </c>
      <c r="I1551">
        <v>1.084708502668383E-4</v>
      </c>
      <c r="J1551">
        <v>276572</v>
      </c>
      <c r="K1551">
        <v>2.6929740307537629E-4</v>
      </c>
      <c r="L1551">
        <v>111401</v>
      </c>
      <c r="M1551">
        <v>30</v>
      </c>
      <c r="N1551">
        <v>3.2300000000000002E-2</v>
      </c>
      <c r="O1551">
        <v>54</v>
      </c>
    </row>
    <row r="1552" spans="1:15" x14ac:dyDescent="0.25">
      <c r="A1552" t="s">
        <v>564</v>
      </c>
      <c r="B1552" t="s">
        <v>30</v>
      </c>
      <c r="C1552" t="s">
        <v>260</v>
      </c>
      <c r="D1552" t="s">
        <v>76</v>
      </c>
      <c r="E1552" t="s">
        <v>668</v>
      </c>
      <c r="F1552" t="s">
        <v>78</v>
      </c>
      <c r="G1552" t="s">
        <v>669</v>
      </c>
      <c r="H1552" t="s">
        <v>9907</v>
      </c>
      <c r="I1552">
        <v>9.4008070231259852E-5</v>
      </c>
      <c r="J1552">
        <v>276572</v>
      </c>
      <c r="K1552">
        <v>2.3339108266532619E-4</v>
      </c>
      <c r="L1552">
        <v>111401</v>
      </c>
      <c r="M1552">
        <v>26</v>
      </c>
      <c r="O1552">
        <v>55</v>
      </c>
    </row>
    <row r="1553" spans="1:15" x14ac:dyDescent="0.25">
      <c r="A1553" t="s">
        <v>564</v>
      </c>
      <c r="B1553" t="s">
        <v>30</v>
      </c>
      <c r="C1553" t="s">
        <v>260</v>
      </c>
      <c r="D1553" t="s">
        <v>76</v>
      </c>
      <c r="E1553" t="s">
        <v>602</v>
      </c>
      <c r="F1553" t="s">
        <v>670</v>
      </c>
      <c r="G1553" t="s">
        <v>671</v>
      </c>
      <c r="H1553" t="s">
        <v>9910</v>
      </c>
      <c r="I1553">
        <v>7.5929595186786803E-5</v>
      </c>
      <c r="J1553">
        <v>276572</v>
      </c>
      <c r="K1553">
        <v>1.885081821527634E-4</v>
      </c>
      <c r="L1553">
        <v>111401</v>
      </c>
      <c r="M1553">
        <v>21</v>
      </c>
      <c r="N1553">
        <v>0.40910000000000002</v>
      </c>
      <c r="O1553">
        <v>56</v>
      </c>
    </row>
    <row r="1554" spans="1:15" x14ac:dyDescent="0.25">
      <c r="A1554" t="s">
        <v>564</v>
      </c>
      <c r="B1554" t="s">
        <v>30</v>
      </c>
      <c r="C1554" t="s">
        <v>260</v>
      </c>
      <c r="D1554" t="s">
        <v>76</v>
      </c>
      <c r="E1554" t="s">
        <v>674</v>
      </c>
      <c r="F1554" t="s">
        <v>78</v>
      </c>
      <c r="G1554" t="s">
        <v>675</v>
      </c>
      <c r="H1554" t="s">
        <v>9904</v>
      </c>
      <c r="I1554">
        <v>6.869820516899758E-5</v>
      </c>
      <c r="J1554">
        <v>276572</v>
      </c>
      <c r="K1554">
        <v>1.7055502194773841E-4</v>
      </c>
      <c r="L1554">
        <v>111401</v>
      </c>
      <c r="M1554">
        <v>19</v>
      </c>
      <c r="N1554">
        <v>0.1053</v>
      </c>
      <c r="O1554">
        <v>57</v>
      </c>
    </row>
    <row r="1555" spans="1:15" x14ac:dyDescent="0.25">
      <c r="A1555" t="s">
        <v>564</v>
      </c>
      <c r="B1555" t="s">
        <v>30</v>
      </c>
      <c r="C1555" t="s">
        <v>260</v>
      </c>
      <c r="D1555" t="s">
        <v>76</v>
      </c>
      <c r="E1555" t="s">
        <v>660</v>
      </c>
      <c r="F1555" t="s">
        <v>78</v>
      </c>
      <c r="G1555" t="s">
        <v>661</v>
      </c>
      <c r="H1555" t="s">
        <v>9912</v>
      </c>
      <c r="I1555">
        <v>6.1466815151208371E-5</v>
      </c>
      <c r="J1555">
        <v>276572</v>
      </c>
      <c r="K1555">
        <v>1.526018617427133E-4</v>
      </c>
      <c r="L1555">
        <v>111401</v>
      </c>
      <c r="M1555">
        <v>17</v>
      </c>
      <c r="N1555">
        <v>5.8799999999999998E-2</v>
      </c>
      <c r="O1555">
        <v>58</v>
      </c>
    </row>
    <row r="1556" spans="1:15" x14ac:dyDescent="0.25">
      <c r="A1556" t="s">
        <v>564</v>
      </c>
      <c r="B1556" t="s">
        <v>30</v>
      </c>
      <c r="C1556" t="s">
        <v>260</v>
      </c>
      <c r="D1556" t="s">
        <v>76</v>
      </c>
      <c r="E1556" t="s">
        <v>654</v>
      </c>
      <c r="F1556" t="s">
        <v>8388</v>
      </c>
      <c r="G1556" t="s">
        <v>8389</v>
      </c>
      <c r="H1556" t="s">
        <v>9920</v>
      </c>
      <c r="I1556">
        <v>6.1466815151208371E-5</v>
      </c>
      <c r="J1556">
        <v>276572</v>
      </c>
      <c r="K1556">
        <v>1.526018617427133E-4</v>
      </c>
      <c r="L1556">
        <v>111401</v>
      </c>
      <c r="M1556">
        <v>17</v>
      </c>
      <c r="O1556">
        <v>59</v>
      </c>
    </row>
    <row r="1557" spans="1:15" x14ac:dyDescent="0.25">
      <c r="A1557" t="s">
        <v>564</v>
      </c>
      <c r="B1557" t="s">
        <v>30</v>
      </c>
      <c r="C1557" t="s">
        <v>260</v>
      </c>
      <c r="D1557" t="s">
        <v>76</v>
      </c>
      <c r="E1557" t="s">
        <v>654</v>
      </c>
      <c r="F1557" t="s">
        <v>8395</v>
      </c>
      <c r="G1557" t="s">
        <v>8396</v>
      </c>
      <c r="H1557" t="s">
        <v>9915</v>
      </c>
      <c r="I1557">
        <v>5.0619730124524537E-5</v>
      </c>
      <c r="J1557">
        <v>276572</v>
      </c>
      <c r="K1557">
        <v>1.2567212143517559E-4</v>
      </c>
      <c r="L1557">
        <v>111401</v>
      </c>
      <c r="M1557">
        <v>14</v>
      </c>
      <c r="O1557">
        <v>60</v>
      </c>
    </row>
    <row r="1558" spans="1:15" x14ac:dyDescent="0.25">
      <c r="A1558" t="s">
        <v>564</v>
      </c>
      <c r="B1558" t="s">
        <v>30</v>
      </c>
      <c r="C1558" t="s">
        <v>260</v>
      </c>
      <c r="D1558" t="s">
        <v>76</v>
      </c>
      <c r="E1558" t="s">
        <v>676</v>
      </c>
      <c r="F1558" t="s">
        <v>78</v>
      </c>
      <c r="G1558" t="s">
        <v>677</v>
      </c>
      <c r="H1558" t="s">
        <v>9923</v>
      </c>
      <c r="I1558">
        <v>3.9772645097840697E-5</v>
      </c>
      <c r="J1558">
        <v>276572</v>
      </c>
      <c r="K1558">
        <v>9.8742381127637992E-5</v>
      </c>
      <c r="L1558">
        <v>111401</v>
      </c>
      <c r="M1558">
        <v>11</v>
      </c>
      <c r="N1558">
        <v>0.18179999999999999</v>
      </c>
      <c r="O1558">
        <v>61</v>
      </c>
    </row>
    <row r="1559" spans="1:15" x14ac:dyDescent="0.25">
      <c r="A1559" t="s">
        <v>564</v>
      </c>
      <c r="B1559" t="s">
        <v>30</v>
      </c>
      <c r="C1559" t="s">
        <v>260</v>
      </c>
      <c r="D1559" t="s">
        <v>76</v>
      </c>
      <c r="E1559" t="s">
        <v>662</v>
      </c>
      <c r="F1559" t="s">
        <v>78</v>
      </c>
      <c r="G1559" t="s">
        <v>663</v>
      </c>
      <c r="H1559" t="s">
        <v>9921</v>
      </c>
      <c r="I1559">
        <v>3.2541255080051488E-5</v>
      </c>
      <c r="J1559">
        <v>276572</v>
      </c>
      <c r="K1559">
        <v>8.0789220922612901E-5</v>
      </c>
      <c r="L1559">
        <v>111401</v>
      </c>
      <c r="M1559">
        <v>9</v>
      </c>
      <c r="O1559">
        <v>62</v>
      </c>
    </row>
    <row r="1560" spans="1:15" x14ac:dyDescent="0.25">
      <c r="A1560" t="s">
        <v>564</v>
      </c>
      <c r="B1560" t="s">
        <v>30</v>
      </c>
      <c r="C1560" t="s">
        <v>260</v>
      </c>
      <c r="D1560" t="s">
        <v>76</v>
      </c>
      <c r="E1560" t="s">
        <v>81</v>
      </c>
      <c r="F1560" t="s">
        <v>604</v>
      </c>
      <c r="G1560" t="s">
        <v>605</v>
      </c>
      <c r="H1560" t="s">
        <v>9919</v>
      </c>
      <c r="I1560">
        <v>2.5309865062262269E-5</v>
      </c>
      <c r="J1560">
        <v>276572</v>
      </c>
      <c r="K1560">
        <v>6.2836060717587811E-5</v>
      </c>
      <c r="L1560">
        <v>111401</v>
      </c>
      <c r="M1560">
        <v>7</v>
      </c>
      <c r="O1560">
        <v>63</v>
      </c>
    </row>
    <row r="1561" spans="1:15" x14ac:dyDescent="0.25">
      <c r="A1561" t="s">
        <v>564</v>
      </c>
      <c r="B1561" t="s">
        <v>30</v>
      </c>
      <c r="C1561" t="s">
        <v>260</v>
      </c>
      <c r="D1561" t="s">
        <v>76</v>
      </c>
      <c r="E1561" t="s">
        <v>656</v>
      </c>
      <c r="F1561" t="s">
        <v>78</v>
      </c>
      <c r="G1561" t="s">
        <v>657</v>
      </c>
      <c r="H1561" t="s">
        <v>9916</v>
      </c>
      <c r="I1561">
        <v>2.5309865062262269E-5</v>
      </c>
      <c r="J1561">
        <v>276572</v>
      </c>
      <c r="K1561">
        <v>6.2836060717587811E-5</v>
      </c>
      <c r="L1561">
        <v>111401</v>
      </c>
      <c r="M1561">
        <v>7</v>
      </c>
      <c r="O1561">
        <v>64</v>
      </c>
    </row>
    <row r="1562" spans="1:15" x14ac:dyDescent="0.25">
      <c r="A1562" t="s">
        <v>564</v>
      </c>
      <c r="B1562" t="s">
        <v>30</v>
      </c>
      <c r="C1562" t="s">
        <v>260</v>
      </c>
      <c r="D1562" t="s">
        <v>76</v>
      </c>
      <c r="E1562" t="s">
        <v>672</v>
      </c>
      <c r="F1562" t="s">
        <v>78</v>
      </c>
      <c r="G1562" t="s">
        <v>673</v>
      </c>
      <c r="H1562" t="s">
        <v>9917</v>
      </c>
      <c r="I1562">
        <v>2.5309865062262269E-5</v>
      </c>
      <c r="J1562">
        <v>276572</v>
      </c>
      <c r="K1562">
        <v>6.2836060717587811E-5</v>
      </c>
      <c r="L1562">
        <v>111401</v>
      </c>
      <c r="M1562">
        <v>7</v>
      </c>
      <c r="O1562">
        <v>65</v>
      </c>
    </row>
    <row r="1563" spans="1:15" x14ac:dyDescent="0.25">
      <c r="A1563" t="s">
        <v>564</v>
      </c>
      <c r="B1563" t="s">
        <v>30</v>
      </c>
      <c r="C1563" t="s">
        <v>260</v>
      </c>
      <c r="D1563" t="s">
        <v>76</v>
      </c>
      <c r="E1563" t="s">
        <v>654</v>
      </c>
      <c r="F1563" t="s">
        <v>8507</v>
      </c>
      <c r="G1563" t="s">
        <v>8508</v>
      </c>
      <c r="H1563" t="s">
        <v>9909</v>
      </c>
      <c r="I1563">
        <v>1.446278003557844E-5</v>
      </c>
      <c r="J1563">
        <v>276572</v>
      </c>
      <c r="K1563">
        <v>3.5906320410050181E-5</v>
      </c>
      <c r="L1563">
        <v>111401</v>
      </c>
      <c r="M1563">
        <v>4</v>
      </c>
      <c r="O1563">
        <v>66</v>
      </c>
    </row>
    <row r="1564" spans="1:15" x14ac:dyDescent="0.25">
      <c r="A1564" t="s">
        <v>564</v>
      </c>
      <c r="B1564" t="s">
        <v>30</v>
      </c>
      <c r="C1564" t="s">
        <v>260</v>
      </c>
      <c r="D1564" t="s">
        <v>76</v>
      </c>
      <c r="E1564" t="s">
        <v>678</v>
      </c>
      <c r="F1564" t="s">
        <v>78</v>
      </c>
      <c r="G1564" t="s">
        <v>679</v>
      </c>
      <c r="H1564" t="s">
        <v>9926</v>
      </c>
      <c r="I1564">
        <v>1.446278003557844E-5</v>
      </c>
      <c r="J1564">
        <v>276572</v>
      </c>
      <c r="K1564">
        <v>3.5906320410050181E-5</v>
      </c>
      <c r="L1564">
        <v>111401</v>
      </c>
      <c r="M1564">
        <v>4</v>
      </c>
      <c r="O1564">
        <v>67</v>
      </c>
    </row>
    <row r="1565" spans="1:15" x14ac:dyDescent="0.25">
      <c r="A1565" t="s">
        <v>564</v>
      </c>
      <c r="B1565" t="s">
        <v>30</v>
      </c>
      <c r="C1565" t="s">
        <v>260</v>
      </c>
      <c r="D1565" t="s">
        <v>76</v>
      </c>
      <c r="E1565" t="s">
        <v>8399</v>
      </c>
      <c r="F1565" t="s">
        <v>78</v>
      </c>
      <c r="G1565" t="s">
        <v>8400</v>
      </c>
      <c r="H1565" t="s">
        <v>9924</v>
      </c>
      <c r="I1565">
        <v>1.446278003557844E-5</v>
      </c>
      <c r="J1565">
        <v>276572</v>
      </c>
      <c r="K1565">
        <v>3.5906320410050181E-5</v>
      </c>
      <c r="L1565">
        <v>111401</v>
      </c>
      <c r="M1565">
        <v>4</v>
      </c>
      <c r="O1565">
        <v>68</v>
      </c>
    </row>
    <row r="1566" spans="1:15" x14ac:dyDescent="0.25">
      <c r="A1566" t="s">
        <v>564</v>
      </c>
      <c r="B1566" t="s">
        <v>30</v>
      </c>
      <c r="C1566" t="s">
        <v>260</v>
      </c>
      <c r="D1566" t="s">
        <v>76</v>
      </c>
      <c r="E1566" t="s">
        <v>654</v>
      </c>
      <c r="F1566" t="s">
        <v>8471</v>
      </c>
      <c r="G1566" t="s">
        <v>8472</v>
      </c>
      <c r="H1566" t="s">
        <v>9925</v>
      </c>
      <c r="I1566">
        <v>1.446278003557844E-5</v>
      </c>
      <c r="J1566">
        <v>276572</v>
      </c>
      <c r="K1566">
        <v>3.5906320410050181E-5</v>
      </c>
      <c r="L1566">
        <v>111401</v>
      </c>
      <c r="M1566">
        <v>4</v>
      </c>
      <c r="O1566">
        <v>69</v>
      </c>
    </row>
    <row r="1567" spans="1:15" x14ac:dyDescent="0.25">
      <c r="A1567" t="s">
        <v>564</v>
      </c>
      <c r="B1567" t="s">
        <v>30</v>
      </c>
      <c r="C1567" t="s">
        <v>260</v>
      </c>
      <c r="D1567" t="s">
        <v>76</v>
      </c>
      <c r="E1567" t="s">
        <v>680</v>
      </c>
      <c r="F1567" t="s">
        <v>78</v>
      </c>
      <c r="G1567" t="s">
        <v>681</v>
      </c>
      <c r="H1567" t="s">
        <v>9922</v>
      </c>
      <c r="I1567">
        <v>7.2313900177892192E-6</v>
      </c>
      <c r="J1567">
        <v>276572</v>
      </c>
      <c r="K1567">
        <v>1.7953160205025091E-5</v>
      </c>
      <c r="L1567">
        <v>111401</v>
      </c>
      <c r="M1567">
        <v>2</v>
      </c>
      <c r="O1567">
        <v>70</v>
      </c>
    </row>
    <row r="1568" spans="1:15" x14ac:dyDescent="0.25">
      <c r="A1568" t="s">
        <v>564</v>
      </c>
      <c r="B1568" t="s">
        <v>30</v>
      </c>
      <c r="C1568" t="s">
        <v>260</v>
      </c>
      <c r="D1568" t="s">
        <v>76</v>
      </c>
      <c r="E1568" t="s">
        <v>967</v>
      </c>
      <c r="F1568" t="s">
        <v>78</v>
      </c>
      <c r="G1568" t="s">
        <v>968</v>
      </c>
      <c r="H1568" t="s">
        <v>9967</v>
      </c>
      <c r="I1568">
        <v>3.61569500889461E-6</v>
      </c>
      <c r="J1568">
        <v>276572</v>
      </c>
      <c r="K1568">
        <v>8.9765801025125453E-6</v>
      </c>
      <c r="L1568">
        <v>111401</v>
      </c>
      <c r="M1568">
        <v>1</v>
      </c>
      <c r="O1568">
        <v>71</v>
      </c>
    </row>
    <row r="1569" spans="1:15" x14ac:dyDescent="0.25">
      <c r="A1569" t="s">
        <v>564</v>
      </c>
      <c r="B1569" t="s">
        <v>30</v>
      </c>
      <c r="C1569" t="s">
        <v>260</v>
      </c>
      <c r="D1569" t="s">
        <v>76</v>
      </c>
      <c r="E1569" t="s">
        <v>684</v>
      </c>
      <c r="F1569" t="s">
        <v>78</v>
      </c>
      <c r="G1569" t="s">
        <v>685</v>
      </c>
      <c r="H1569" t="s">
        <v>9929</v>
      </c>
      <c r="I1569">
        <v>3.61569500889461E-6</v>
      </c>
      <c r="J1569">
        <v>276572</v>
      </c>
      <c r="K1569">
        <v>8.9765801025125453E-6</v>
      </c>
      <c r="L1569">
        <v>111401</v>
      </c>
      <c r="M1569">
        <v>1</v>
      </c>
      <c r="O1569">
        <v>72</v>
      </c>
    </row>
    <row r="1570" spans="1:15" x14ac:dyDescent="0.25">
      <c r="A1570" t="s">
        <v>564</v>
      </c>
      <c r="B1570" t="s">
        <v>30</v>
      </c>
      <c r="C1570" t="s">
        <v>260</v>
      </c>
      <c r="D1570" t="s">
        <v>76</v>
      </c>
      <c r="E1570" t="s">
        <v>682</v>
      </c>
      <c r="F1570" t="s">
        <v>78</v>
      </c>
      <c r="G1570" t="s">
        <v>683</v>
      </c>
      <c r="H1570" t="s">
        <v>9908</v>
      </c>
      <c r="I1570">
        <v>3.61569500889461E-6</v>
      </c>
      <c r="J1570">
        <v>276572</v>
      </c>
      <c r="K1570">
        <v>8.9765801025125453E-6</v>
      </c>
      <c r="L1570">
        <v>111401</v>
      </c>
      <c r="M1570">
        <v>1</v>
      </c>
      <c r="O1570">
        <v>73</v>
      </c>
    </row>
    <row r="1571" spans="1:15" x14ac:dyDescent="0.25">
      <c r="A1571" t="s">
        <v>564</v>
      </c>
      <c r="B1571" t="s">
        <v>30</v>
      </c>
      <c r="C1571" t="s">
        <v>260</v>
      </c>
      <c r="D1571" t="s">
        <v>76</v>
      </c>
      <c r="E1571" t="s">
        <v>918</v>
      </c>
      <c r="F1571" t="s">
        <v>78</v>
      </c>
      <c r="G1571" t="s">
        <v>919</v>
      </c>
      <c r="H1571" t="s">
        <v>9958</v>
      </c>
      <c r="J1571">
        <v>276572</v>
      </c>
      <c r="L1571">
        <v>111401</v>
      </c>
      <c r="O1571">
        <v>74</v>
      </c>
    </row>
    <row r="1572" spans="1:15" x14ac:dyDescent="0.25">
      <c r="A1572" t="s">
        <v>564</v>
      </c>
      <c r="B1572" t="s">
        <v>30</v>
      </c>
      <c r="C1572" t="s">
        <v>260</v>
      </c>
      <c r="D1572" t="s">
        <v>76</v>
      </c>
      <c r="E1572" t="s">
        <v>927</v>
      </c>
      <c r="F1572" t="s">
        <v>78</v>
      </c>
      <c r="G1572" t="s">
        <v>928</v>
      </c>
      <c r="H1572" t="s">
        <v>9959</v>
      </c>
      <c r="J1572">
        <v>276572</v>
      </c>
      <c r="L1572">
        <v>111401</v>
      </c>
      <c r="O1572">
        <v>75</v>
      </c>
    </row>
    <row r="1573" spans="1:15" x14ac:dyDescent="0.25">
      <c r="A1573" t="s">
        <v>564</v>
      </c>
      <c r="B1573" t="s">
        <v>30</v>
      </c>
      <c r="C1573" t="s">
        <v>260</v>
      </c>
      <c r="D1573" t="s">
        <v>76</v>
      </c>
      <c r="E1573" t="s">
        <v>690</v>
      </c>
      <c r="F1573" t="s">
        <v>78</v>
      </c>
      <c r="G1573" t="s">
        <v>691</v>
      </c>
      <c r="H1573" t="s">
        <v>9927</v>
      </c>
      <c r="J1573">
        <v>276572</v>
      </c>
      <c r="L1573">
        <v>111401</v>
      </c>
      <c r="O1573">
        <v>76</v>
      </c>
    </row>
    <row r="1574" spans="1:15" x14ac:dyDescent="0.25">
      <c r="A1574" t="s">
        <v>564</v>
      </c>
      <c r="B1574" t="s">
        <v>30</v>
      </c>
      <c r="C1574" t="s">
        <v>260</v>
      </c>
      <c r="D1574" t="s">
        <v>76</v>
      </c>
      <c r="E1574" t="s">
        <v>931</v>
      </c>
      <c r="F1574" t="s">
        <v>78</v>
      </c>
      <c r="G1574" t="s">
        <v>932</v>
      </c>
      <c r="H1574" t="s">
        <v>9990</v>
      </c>
      <c r="J1574">
        <v>276572</v>
      </c>
      <c r="L1574">
        <v>111401</v>
      </c>
      <c r="O1574">
        <v>77</v>
      </c>
    </row>
    <row r="1575" spans="1:15" x14ac:dyDescent="0.25">
      <c r="A1575" t="s">
        <v>564</v>
      </c>
      <c r="B1575" t="s">
        <v>30</v>
      </c>
      <c r="C1575" t="s">
        <v>260</v>
      </c>
      <c r="D1575" t="s">
        <v>76</v>
      </c>
      <c r="E1575" t="s">
        <v>943</v>
      </c>
      <c r="F1575" t="s">
        <v>78</v>
      </c>
      <c r="G1575" t="s">
        <v>944</v>
      </c>
      <c r="H1575" t="s">
        <v>9989</v>
      </c>
      <c r="J1575">
        <v>276572</v>
      </c>
      <c r="L1575">
        <v>111401</v>
      </c>
      <c r="O1575">
        <v>78</v>
      </c>
    </row>
    <row r="1576" spans="1:15" x14ac:dyDescent="0.25">
      <c r="A1576" t="s">
        <v>564</v>
      </c>
      <c r="B1576" t="s">
        <v>30</v>
      </c>
      <c r="C1576" t="s">
        <v>260</v>
      </c>
      <c r="D1576" t="s">
        <v>76</v>
      </c>
      <c r="E1576" t="s">
        <v>946</v>
      </c>
      <c r="F1576" t="s">
        <v>78</v>
      </c>
      <c r="G1576" t="s">
        <v>947</v>
      </c>
      <c r="H1576" t="s">
        <v>9950</v>
      </c>
      <c r="J1576">
        <v>276572</v>
      </c>
      <c r="L1576">
        <v>111401</v>
      </c>
      <c r="O1576">
        <v>79</v>
      </c>
    </row>
    <row r="1577" spans="1:15" x14ac:dyDescent="0.25">
      <c r="A1577" t="s">
        <v>564</v>
      </c>
      <c r="B1577" t="s">
        <v>30</v>
      </c>
      <c r="C1577" t="s">
        <v>260</v>
      </c>
      <c r="D1577" t="s">
        <v>76</v>
      </c>
      <c r="E1577" t="s">
        <v>949</v>
      </c>
      <c r="F1577" t="s">
        <v>78</v>
      </c>
      <c r="G1577" t="s">
        <v>950</v>
      </c>
      <c r="H1577" t="s">
        <v>9948</v>
      </c>
      <c r="J1577">
        <v>276572</v>
      </c>
      <c r="L1577">
        <v>111401</v>
      </c>
      <c r="O1577">
        <v>80</v>
      </c>
    </row>
    <row r="1578" spans="1:15" x14ac:dyDescent="0.25">
      <c r="A1578" t="s">
        <v>564</v>
      </c>
      <c r="B1578" t="s">
        <v>30</v>
      </c>
      <c r="C1578" t="s">
        <v>260</v>
      </c>
      <c r="D1578" t="s">
        <v>76</v>
      </c>
      <c r="E1578" t="s">
        <v>955</v>
      </c>
      <c r="F1578" t="s">
        <v>78</v>
      </c>
      <c r="G1578" t="s">
        <v>956</v>
      </c>
      <c r="H1578" t="s">
        <v>9945</v>
      </c>
      <c r="J1578">
        <v>276572</v>
      </c>
      <c r="L1578">
        <v>111401</v>
      </c>
      <c r="O1578">
        <v>81</v>
      </c>
    </row>
    <row r="1579" spans="1:15" x14ac:dyDescent="0.25">
      <c r="A1579" t="s">
        <v>564</v>
      </c>
      <c r="B1579" t="s">
        <v>30</v>
      </c>
      <c r="C1579" t="s">
        <v>260</v>
      </c>
      <c r="D1579" t="s">
        <v>76</v>
      </c>
      <c r="E1579" t="s">
        <v>961</v>
      </c>
      <c r="F1579" t="s">
        <v>78</v>
      </c>
      <c r="G1579" t="s">
        <v>962</v>
      </c>
      <c r="H1579" t="s">
        <v>9969</v>
      </c>
      <c r="J1579">
        <v>276572</v>
      </c>
      <c r="L1579">
        <v>111401</v>
      </c>
      <c r="O1579">
        <v>82</v>
      </c>
    </row>
    <row r="1580" spans="1:15" x14ac:dyDescent="0.25">
      <c r="A1580" t="s">
        <v>564</v>
      </c>
      <c r="B1580" t="s">
        <v>30</v>
      </c>
      <c r="C1580" t="s">
        <v>260</v>
      </c>
      <c r="D1580" t="s">
        <v>76</v>
      </c>
      <c r="E1580" t="s">
        <v>964</v>
      </c>
      <c r="F1580" t="s">
        <v>78</v>
      </c>
      <c r="G1580" t="s">
        <v>965</v>
      </c>
      <c r="H1580" t="s">
        <v>9938</v>
      </c>
      <c r="J1580">
        <v>276572</v>
      </c>
      <c r="L1580">
        <v>111401</v>
      </c>
      <c r="O1580">
        <v>83</v>
      </c>
    </row>
    <row r="1581" spans="1:15" x14ac:dyDescent="0.25">
      <c r="A1581" t="s">
        <v>564</v>
      </c>
      <c r="B1581" t="s">
        <v>30</v>
      </c>
      <c r="C1581" t="s">
        <v>260</v>
      </c>
      <c r="D1581" t="s">
        <v>76</v>
      </c>
      <c r="E1581" t="s">
        <v>970</v>
      </c>
      <c r="F1581" t="s">
        <v>78</v>
      </c>
      <c r="G1581" t="s">
        <v>971</v>
      </c>
      <c r="H1581" t="s">
        <v>9957</v>
      </c>
      <c r="J1581">
        <v>276572</v>
      </c>
      <c r="L1581">
        <v>111401</v>
      </c>
      <c r="O1581">
        <v>84</v>
      </c>
    </row>
    <row r="1582" spans="1:15" x14ac:dyDescent="0.25">
      <c r="A1582" t="s">
        <v>564</v>
      </c>
      <c r="B1582" t="s">
        <v>30</v>
      </c>
      <c r="C1582" t="s">
        <v>260</v>
      </c>
      <c r="D1582" t="s">
        <v>76</v>
      </c>
      <c r="E1582" t="s">
        <v>973</v>
      </c>
      <c r="F1582" t="s">
        <v>78</v>
      </c>
      <c r="G1582" t="s">
        <v>974</v>
      </c>
      <c r="H1582" t="s">
        <v>9972</v>
      </c>
      <c r="J1582">
        <v>276572</v>
      </c>
      <c r="L1582">
        <v>111401</v>
      </c>
      <c r="O1582">
        <v>85</v>
      </c>
    </row>
    <row r="1583" spans="1:15" x14ac:dyDescent="0.25">
      <c r="A1583" t="s">
        <v>564</v>
      </c>
      <c r="B1583" t="s">
        <v>30</v>
      </c>
      <c r="C1583" t="s">
        <v>260</v>
      </c>
      <c r="D1583" t="s">
        <v>76</v>
      </c>
      <c r="E1583" t="s">
        <v>976</v>
      </c>
      <c r="F1583" t="s">
        <v>78</v>
      </c>
      <c r="G1583" t="s">
        <v>977</v>
      </c>
      <c r="H1583" t="s">
        <v>9955</v>
      </c>
      <c r="J1583">
        <v>276572</v>
      </c>
      <c r="L1583">
        <v>111401</v>
      </c>
      <c r="O1583">
        <v>86</v>
      </c>
    </row>
    <row r="1584" spans="1:15" x14ac:dyDescent="0.25">
      <c r="A1584" t="s">
        <v>564</v>
      </c>
      <c r="B1584" t="s">
        <v>30</v>
      </c>
      <c r="C1584" t="s">
        <v>260</v>
      </c>
      <c r="D1584" t="s">
        <v>76</v>
      </c>
      <c r="E1584" t="s">
        <v>979</v>
      </c>
      <c r="F1584" t="s">
        <v>78</v>
      </c>
      <c r="G1584" t="s">
        <v>980</v>
      </c>
      <c r="H1584" t="s">
        <v>9944</v>
      </c>
      <c r="J1584">
        <v>276572</v>
      </c>
      <c r="L1584">
        <v>111401</v>
      </c>
      <c r="O1584">
        <v>87</v>
      </c>
    </row>
    <row r="1585" spans="1:15" x14ac:dyDescent="0.25">
      <c r="A1585" t="s">
        <v>564</v>
      </c>
      <c r="B1585" t="s">
        <v>30</v>
      </c>
      <c r="C1585" t="s">
        <v>260</v>
      </c>
      <c r="D1585" t="s">
        <v>76</v>
      </c>
      <c r="E1585" t="s">
        <v>982</v>
      </c>
      <c r="F1585" t="s">
        <v>78</v>
      </c>
      <c r="G1585" t="s">
        <v>983</v>
      </c>
      <c r="H1585" t="s">
        <v>9940</v>
      </c>
      <c r="J1585">
        <v>276572</v>
      </c>
      <c r="L1585">
        <v>111401</v>
      </c>
      <c r="O1585">
        <v>88</v>
      </c>
    </row>
    <row r="1586" spans="1:15" x14ac:dyDescent="0.25">
      <c r="A1586" t="s">
        <v>564</v>
      </c>
      <c r="B1586" t="s">
        <v>30</v>
      </c>
      <c r="C1586" t="s">
        <v>260</v>
      </c>
      <c r="D1586" t="s">
        <v>76</v>
      </c>
      <c r="E1586" t="s">
        <v>985</v>
      </c>
      <c r="F1586" t="s">
        <v>78</v>
      </c>
      <c r="G1586" t="s">
        <v>986</v>
      </c>
      <c r="H1586" t="s">
        <v>9971</v>
      </c>
      <c r="J1586">
        <v>276572</v>
      </c>
      <c r="L1586">
        <v>111401</v>
      </c>
      <c r="O1586">
        <v>89</v>
      </c>
    </row>
    <row r="1587" spans="1:15" x14ac:dyDescent="0.25">
      <c r="A1587" t="s">
        <v>564</v>
      </c>
      <c r="B1587" t="s">
        <v>30</v>
      </c>
      <c r="C1587" t="s">
        <v>260</v>
      </c>
      <c r="D1587" t="s">
        <v>76</v>
      </c>
      <c r="E1587" t="s">
        <v>988</v>
      </c>
      <c r="F1587" t="s">
        <v>78</v>
      </c>
      <c r="G1587" t="s">
        <v>989</v>
      </c>
      <c r="H1587" t="s">
        <v>9962</v>
      </c>
      <c r="J1587">
        <v>276572</v>
      </c>
      <c r="L1587">
        <v>111401</v>
      </c>
      <c r="O1587">
        <v>90</v>
      </c>
    </row>
    <row r="1588" spans="1:15" x14ac:dyDescent="0.25">
      <c r="A1588" t="s">
        <v>564</v>
      </c>
      <c r="B1588" t="s">
        <v>30</v>
      </c>
      <c r="C1588" t="s">
        <v>260</v>
      </c>
      <c r="D1588" t="s">
        <v>76</v>
      </c>
      <c r="E1588" t="s">
        <v>994</v>
      </c>
      <c r="F1588" t="s">
        <v>78</v>
      </c>
      <c r="G1588" t="s">
        <v>995</v>
      </c>
      <c r="H1588" t="s">
        <v>9936</v>
      </c>
      <c r="J1588">
        <v>276572</v>
      </c>
      <c r="L1588">
        <v>111401</v>
      </c>
      <c r="O1588">
        <v>91</v>
      </c>
    </row>
    <row r="1589" spans="1:15" x14ac:dyDescent="0.25">
      <c r="A1589" t="s">
        <v>564</v>
      </c>
      <c r="B1589" t="s">
        <v>30</v>
      </c>
      <c r="C1589" t="s">
        <v>260</v>
      </c>
      <c r="D1589" t="s">
        <v>76</v>
      </c>
      <c r="E1589" t="s">
        <v>997</v>
      </c>
      <c r="F1589" t="s">
        <v>78</v>
      </c>
      <c r="G1589" t="s">
        <v>998</v>
      </c>
      <c r="H1589" t="s">
        <v>9960</v>
      </c>
      <c r="J1589">
        <v>276572</v>
      </c>
      <c r="L1589">
        <v>111401</v>
      </c>
      <c r="O1589">
        <v>92</v>
      </c>
    </row>
    <row r="1590" spans="1:15" x14ac:dyDescent="0.25">
      <c r="A1590" t="s">
        <v>564</v>
      </c>
      <c r="B1590" t="s">
        <v>30</v>
      </c>
      <c r="C1590" t="s">
        <v>260</v>
      </c>
      <c r="D1590" t="s">
        <v>76</v>
      </c>
      <c r="E1590" t="s">
        <v>1000</v>
      </c>
      <c r="F1590" t="s">
        <v>78</v>
      </c>
      <c r="G1590" t="s">
        <v>1001</v>
      </c>
      <c r="H1590" t="s">
        <v>9952</v>
      </c>
      <c r="J1590">
        <v>276572</v>
      </c>
      <c r="L1590">
        <v>111401</v>
      </c>
      <c r="O1590">
        <v>93</v>
      </c>
    </row>
    <row r="1591" spans="1:15" x14ac:dyDescent="0.25">
      <c r="A1591" t="s">
        <v>564</v>
      </c>
      <c r="B1591" t="s">
        <v>30</v>
      </c>
      <c r="C1591" t="s">
        <v>260</v>
      </c>
      <c r="D1591" t="s">
        <v>76</v>
      </c>
      <c r="E1591" t="s">
        <v>1003</v>
      </c>
      <c r="F1591" t="s">
        <v>78</v>
      </c>
      <c r="G1591" t="s">
        <v>1004</v>
      </c>
      <c r="H1591" t="s">
        <v>9970</v>
      </c>
      <c r="J1591">
        <v>276572</v>
      </c>
      <c r="L1591">
        <v>111401</v>
      </c>
      <c r="O1591">
        <v>94</v>
      </c>
    </row>
    <row r="1592" spans="1:15" x14ac:dyDescent="0.25">
      <c r="A1592" t="s">
        <v>564</v>
      </c>
      <c r="B1592" t="s">
        <v>30</v>
      </c>
      <c r="C1592" t="s">
        <v>260</v>
      </c>
      <c r="D1592" t="s">
        <v>76</v>
      </c>
      <c r="E1592" t="s">
        <v>81</v>
      </c>
      <c r="F1592" t="s">
        <v>851</v>
      </c>
      <c r="G1592" t="s">
        <v>852</v>
      </c>
      <c r="H1592" t="s">
        <v>9975</v>
      </c>
      <c r="J1592">
        <v>276572</v>
      </c>
      <c r="L1592">
        <v>111401</v>
      </c>
      <c r="O1592">
        <v>95</v>
      </c>
    </row>
    <row r="1593" spans="1:15" x14ac:dyDescent="0.25">
      <c r="A1593" t="s">
        <v>564</v>
      </c>
      <c r="B1593" t="s">
        <v>30</v>
      </c>
      <c r="C1593" t="s">
        <v>260</v>
      </c>
      <c r="D1593" t="s">
        <v>76</v>
      </c>
      <c r="E1593" t="s">
        <v>602</v>
      </c>
      <c r="F1593" t="s">
        <v>1087</v>
      </c>
      <c r="G1593" t="s">
        <v>1088</v>
      </c>
      <c r="H1593" t="s">
        <v>9980</v>
      </c>
      <c r="J1593">
        <v>276572</v>
      </c>
      <c r="L1593">
        <v>111401</v>
      </c>
      <c r="O1593">
        <v>96</v>
      </c>
    </row>
    <row r="1594" spans="1:15" x14ac:dyDescent="0.25">
      <c r="A1594" t="s">
        <v>564</v>
      </c>
      <c r="B1594" t="s">
        <v>30</v>
      </c>
      <c r="C1594" t="s">
        <v>260</v>
      </c>
      <c r="D1594" t="s">
        <v>76</v>
      </c>
      <c r="E1594" t="s">
        <v>1015</v>
      </c>
      <c r="F1594" t="s">
        <v>78</v>
      </c>
      <c r="G1594" t="s">
        <v>1016</v>
      </c>
      <c r="H1594" t="s">
        <v>9988</v>
      </c>
      <c r="J1594">
        <v>276572</v>
      </c>
      <c r="L1594">
        <v>111401</v>
      </c>
      <c r="O1594">
        <v>97</v>
      </c>
    </row>
    <row r="1595" spans="1:15" x14ac:dyDescent="0.25">
      <c r="A1595" t="s">
        <v>564</v>
      </c>
      <c r="B1595" t="s">
        <v>30</v>
      </c>
      <c r="C1595" t="s">
        <v>260</v>
      </c>
      <c r="D1595" t="s">
        <v>76</v>
      </c>
      <c r="E1595" t="s">
        <v>1018</v>
      </c>
      <c r="F1595" t="s">
        <v>78</v>
      </c>
      <c r="G1595" t="s">
        <v>1019</v>
      </c>
      <c r="H1595" t="s">
        <v>9942</v>
      </c>
      <c r="J1595">
        <v>276572</v>
      </c>
      <c r="L1595">
        <v>111401</v>
      </c>
      <c r="O1595">
        <v>98</v>
      </c>
    </row>
    <row r="1596" spans="1:15" x14ac:dyDescent="0.25">
      <c r="A1596" t="s">
        <v>564</v>
      </c>
      <c r="B1596" t="s">
        <v>30</v>
      </c>
      <c r="C1596" t="s">
        <v>260</v>
      </c>
      <c r="D1596" t="s">
        <v>76</v>
      </c>
      <c r="E1596" t="s">
        <v>602</v>
      </c>
      <c r="F1596" t="s">
        <v>1090</v>
      </c>
      <c r="G1596" t="s">
        <v>1091</v>
      </c>
      <c r="H1596" t="s">
        <v>9986</v>
      </c>
      <c r="J1596">
        <v>276572</v>
      </c>
      <c r="L1596">
        <v>111401</v>
      </c>
      <c r="O1596">
        <v>99</v>
      </c>
    </row>
    <row r="1597" spans="1:15" x14ac:dyDescent="0.25">
      <c r="A1597" t="s">
        <v>564</v>
      </c>
      <c r="B1597" t="s">
        <v>30</v>
      </c>
      <c r="C1597" t="s">
        <v>260</v>
      </c>
      <c r="D1597" t="s">
        <v>76</v>
      </c>
      <c r="E1597" t="s">
        <v>692</v>
      </c>
      <c r="F1597" t="s">
        <v>78</v>
      </c>
      <c r="G1597" t="s">
        <v>693</v>
      </c>
      <c r="H1597" t="s">
        <v>9928</v>
      </c>
      <c r="J1597">
        <v>276572</v>
      </c>
      <c r="L1597">
        <v>111401</v>
      </c>
      <c r="O1597">
        <v>100</v>
      </c>
    </row>
    <row r="1598" spans="1:15" x14ac:dyDescent="0.25">
      <c r="A1598" t="s">
        <v>564</v>
      </c>
      <c r="B1598" t="s">
        <v>30</v>
      </c>
      <c r="C1598" t="s">
        <v>260</v>
      </c>
      <c r="D1598" t="s">
        <v>76</v>
      </c>
      <c r="E1598" t="s">
        <v>1027</v>
      </c>
      <c r="F1598" t="s">
        <v>78</v>
      </c>
      <c r="G1598" t="s">
        <v>1028</v>
      </c>
      <c r="H1598" t="s">
        <v>9965</v>
      </c>
      <c r="J1598">
        <v>276572</v>
      </c>
      <c r="L1598">
        <v>111401</v>
      </c>
      <c r="O1598">
        <v>101</v>
      </c>
    </row>
    <row r="1599" spans="1:15" x14ac:dyDescent="0.25">
      <c r="A1599" t="s">
        <v>564</v>
      </c>
      <c r="B1599" t="s">
        <v>30</v>
      </c>
      <c r="C1599" t="s">
        <v>260</v>
      </c>
      <c r="D1599" t="s">
        <v>76</v>
      </c>
      <c r="E1599" t="s">
        <v>1030</v>
      </c>
      <c r="F1599" t="s">
        <v>78</v>
      </c>
      <c r="G1599" t="s">
        <v>1031</v>
      </c>
      <c r="H1599" t="s">
        <v>9941</v>
      </c>
      <c r="J1599">
        <v>276572</v>
      </c>
      <c r="L1599">
        <v>111401</v>
      </c>
      <c r="O1599">
        <v>102</v>
      </c>
    </row>
    <row r="1600" spans="1:15" x14ac:dyDescent="0.25">
      <c r="A1600" t="s">
        <v>564</v>
      </c>
      <c r="B1600" t="s">
        <v>30</v>
      </c>
      <c r="C1600" t="s">
        <v>260</v>
      </c>
      <c r="D1600" t="s">
        <v>76</v>
      </c>
      <c r="E1600" t="s">
        <v>1033</v>
      </c>
      <c r="F1600" t="s">
        <v>78</v>
      </c>
      <c r="G1600" t="s">
        <v>1034</v>
      </c>
      <c r="H1600" t="s">
        <v>9974</v>
      </c>
      <c r="J1600">
        <v>276572</v>
      </c>
      <c r="L1600">
        <v>111401</v>
      </c>
      <c r="O1600">
        <v>103</v>
      </c>
    </row>
    <row r="1601" spans="1:15" x14ac:dyDescent="0.25">
      <c r="A1601" t="s">
        <v>564</v>
      </c>
      <c r="B1601" t="s">
        <v>30</v>
      </c>
      <c r="C1601" t="s">
        <v>260</v>
      </c>
      <c r="D1601" t="s">
        <v>76</v>
      </c>
      <c r="E1601" t="s">
        <v>1042</v>
      </c>
      <c r="F1601" t="s">
        <v>78</v>
      </c>
      <c r="G1601" t="s">
        <v>1043</v>
      </c>
      <c r="H1601" t="s">
        <v>9939</v>
      </c>
      <c r="J1601">
        <v>276572</v>
      </c>
      <c r="L1601">
        <v>111401</v>
      </c>
      <c r="O1601">
        <v>104</v>
      </c>
    </row>
    <row r="1602" spans="1:15" x14ac:dyDescent="0.25">
      <c r="A1602" t="s">
        <v>564</v>
      </c>
      <c r="B1602" t="s">
        <v>30</v>
      </c>
      <c r="C1602" t="s">
        <v>260</v>
      </c>
      <c r="D1602" t="s">
        <v>76</v>
      </c>
      <c r="E1602" t="s">
        <v>10855</v>
      </c>
      <c r="F1602" t="s">
        <v>78</v>
      </c>
      <c r="G1602" t="s">
        <v>10856</v>
      </c>
      <c r="H1602" t="s">
        <v>10865</v>
      </c>
      <c r="J1602">
        <v>276572</v>
      </c>
      <c r="L1602">
        <v>111401</v>
      </c>
      <c r="O1602">
        <v>105</v>
      </c>
    </row>
    <row r="1603" spans="1:15" x14ac:dyDescent="0.25">
      <c r="A1603" t="s">
        <v>564</v>
      </c>
      <c r="B1603" t="s">
        <v>30</v>
      </c>
      <c r="C1603" t="s">
        <v>260</v>
      </c>
      <c r="D1603" t="s">
        <v>76</v>
      </c>
      <c r="E1603" t="s">
        <v>1048</v>
      </c>
      <c r="F1603" t="s">
        <v>78</v>
      </c>
      <c r="G1603" t="s">
        <v>1049</v>
      </c>
      <c r="H1603" t="s">
        <v>9968</v>
      </c>
      <c r="J1603">
        <v>276572</v>
      </c>
      <c r="L1603">
        <v>111401</v>
      </c>
      <c r="O1603">
        <v>106</v>
      </c>
    </row>
    <row r="1604" spans="1:15" x14ac:dyDescent="0.25">
      <c r="A1604" t="s">
        <v>564</v>
      </c>
      <c r="B1604" t="s">
        <v>30</v>
      </c>
      <c r="C1604" t="s">
        <v>260</v>
      </c>
      <c r="D1604" t="s">
        <v>76</v>
      </c>
      <c r="E1604" t="s">
        <v>1051</v>
      </c>
      <c r="F1604" t="s">
        <v>78</v>
      </c>
      <c r="G1604" t="s">
        <v>1052</v>
      </c>
      <c r="H1604" t="s">
        <v>9964</v>
      </c>
      <c r="J1604">
        <v>276572</v>
      </c>
      <c r="L1604">
        <v>111401</v>
      </c>
      <c r="O1604">
        <v>107</v>
      </c>
    </row>
    <row r="1605" spans="1:15" x14ac:dyDescent="0.25">
      <c r="A1605" t="s">
        <v>564</v>
      </c>
      <c r="B1605" t="s">
        <v>30</v>
      </c>
      <c r="C1605" t="s">
        <v>260</v>
      </c>
      <c r="D1605" t="s">
        <v>76</v>
      </c>
      <c r="E1605" t="s">
        <v>1054</v>
      </c>
      <c r="F1605" t="s">
        <v>78</v>
      </c>
      <c r="G1605" t="s">
        <v>1055</v>
      </c>
      <c r="H1605" t="s">
        <v>9973</v>
      </c>
      <c r="J1605">
        <v>276572</v>
      </c>
      <c r="L1605">
        <v>111401</v>
      </c>
      <c r="O1605">
        <v>108</v>
      </c>
    </row>
    <row r="1606" spans="1:15" x14ac:dyDescent="0.25">
      <c r="A1606" t="s">
        <v>564</v>
      </c>
      <c r="B1606" t="s">
        <v>30</v>
      </c>
      <c r="C1606" t="s">
        <v>260</v>
      </c>
      <c r="D1606" t="s">
        <v>76</v>
      </c>
      <c r="E1606" t="s">
        <v>1057</v>
      </c>
      <c r="F1606" t="s">
        <v>78</v>
      </c>
      <c r="G1606" t="s">
        <v>1058</v>
      </c>
      <c r="H1606" t="s">
        <v>10016</v>
      </c>
      <c r="J1606">
        <v>276572</v>
      </c>
      <c r="L1606">
        <v>111401</v>
      </c>
      <c r="O1606">
        <v>109</v>
      </c>
    </row>
    <row r="1607" spans="1:15" x14ac:dyDescent="0.25">
      <c r="A1607" t="s">
        <v>564</v>
      </c>
      <c r="B1607" t="s">
        <v>30</v>
      </c>
      <c r="C1607" t="s">
        <v>260</v>
      </c>
      <c r="D1607" t="s">
        <v>76</v>
      </c>
      <c r="E1607" t="s">
        <v>1060</v>
      </c>
      <c r="F1607" t="s">
        <v>78</v>
      </c>
      <c r="G1607" t="s">
        <v>1061</v>
      </c>
      <c r="H1607" t="s">
        <v>9937</v>
      </c>
      <c r="J1607">
        <v>276572</v>
      </c>
      <c r="L1607">
        <v>111401</v>
      </c>
      <c r="O1607">
        <v>110</v>
      </c>
    </row>
    <row r="1608" spans="1:15" x14ac:dyDescent="0.25">
      <c r="A1608" t="s">
        <v>564</v>
      </c>
      <c r="B1608" t="s">
        <v>30</v>
      </c>
      <c r="C1608" t="s">
        <v>260</v>
      </c>
      <c r="D1608" t="s">
        <v>76</v>
      </c>
      <c r="E1608" t="s">
        <v>602</v>
      </c>
      <c r="F1608" t="s">
        <v>1099</v>
      </c>
      <c r="G1608" t="s">
        <v>1100</v>
      </c>
      <c r="H1608" t="s">
        <v>9985</v>
      </c>
      <c r="J1608">
        <v>276572</v>
      </c>
      <c r="L1608">
        <v>111401</v>
      </c>
      <c r="O1608">
        <v>111</v>
      </c>
    </row>
    <row r="1609" spans="1:15" x14ac:dyDescent="0.25">
      <c r="A1609" t="s">
        <v>564</v>
      </c>
      <c r="B1609" t="s">
        <v>30</v>
      </c>
      <c r="C1609" t="s">
        <v>260</v>
      </c>
      <c r="D1609" t="s">
        <v>76</v>
      </c>
      <c r="E1609" t="s">
        <v>1066</v>
      </c>
      <c r="F1609" t="s">
        <v>78</v>
      </c>
      <c r="G1609" t="s">
        <v>1067</v>
      </c>
      <c r="H1609" t="s">
        <v>9943</v>
      </c>
      <c r="J1609">
        <v>276572</v>
      </c>
      <c r="L1609">
        <v>111401</v>
      </c>
      <c r="O1609">
        <v>112</v>
      </c>
    </row>
    <row r="1610" spans="1:15" x14ac:dyDescent="0.25">
      <c r="A1610" t="s">
        <v>564</v>
      </c>
      <c r="B1610" t="s">
        <v>30</v>
      </c>
      <c r="C1610" t="s">
        <v>260</v>
      </c>
      <c r="D1610" t="s">
        <v>76</v>
      </c>
      <c r="E1610" t="s">
        <v>602</v>
      </c>
      <c r="F1610" t="s">
        <v>854</v>
      </c>
      <c r="G1610" t="s">
        <v>855</v>
      </c>
      <c r="H1610" t="s">
        <v>9930</v>
      </c>
      <c r="J1610">
        <v>276572</v>
      </c>
      <c r="L1610">
        <v>111401</v>
      </c>
      <c r="O1610">
        <v>113</v>
      </c>
    </row>
    <row r="1611" spans="1:15" x14ac:dyDescent="0.25">
      <c r="A1611" t="s">
        <v>564</v>
      </c>
      <c r="B1611" t="s">
        <v>30</v>
      </c>
      <c r="C1611" t="s">
        <v>260</v>
      </c>
      <c r="D1611" t="s">
        <v>76</v>
      </c>
      <c r="E1611" t="s">
        <v>1072</v>
      </c>
      <c r="F1611" t="s">
        <v>78</v>
      </c>
      <c r="G1611" t="s">
        <v>1073</v>
      </c>
      <c r="H1611" t="s">
        <v>9946</v>
      </c>
      <c r="J1611">
        <v>276572</v>
      </c>
      <c r="L1611">
        <v>111401</v>
      </c>
      <c r="O1611">
        <v>114</v>
      </c>
    </row>
    <row r="1612" spans="1:15" x14ac:dyDescent="0.25">
      <c r="A1612" t="s">
        <v>564</v>
      </c>
      <c r="B1612" t="s">
        <v>30</v>
      </c>
      <c r="C1612" t="s">
        <v>260</v>
      </c>
      <c r="D1612" t="s">
        <v>76</v>
      </c>
      <c r="E1612" t="s">
        <v>1075</v>
      </c>
      <c r="F1612" t="s">
        <v>78</v>
      </c>
      <c r="G1612" t="s">
        <v>1076</v>
      </c>
      <c r="H1612" t="s">
        <v>9949</v>
      </c>
      <c r="J1612">
        <v>276572</v>
      </c>
      <c r="L1612">
        <v>111401</v>
      </c>
      <c r="O1612">
        <v>115</v>
      </c>
    </row>
    <row r="1613" spans="1:15" x14ac:dyDescent="0.25">
      <c r="A1613" t="s">
        <v>564</v>
      </c>
      <c r="B1613" t="s">
        <v>30</v>
      </c>
      <c r="C1613" t="s">
        <v>260</v>
      </c>
      <c r="D1613" t="s">
        <v>76</v>
      </c>
      <c r="E1613" t="s">
        <v>1078</v>
      </c>
      <c r="F1613" t="s">
        <v>78</v>
      </c>
      <c r="G1613" t="s">
        <v>1079</v>
      </c>
      <c r="H1613" t="s">
        <v>9977</v>
      </c>
      <c r="J1613">
        <v>276572</v>
      </c>
      <c r="L1613">
        <v>111401</v>
      </c>
      <c r="O1613">
        <v>116</v>
      </c>
    </row>
    <row r="1614" spans="1:15" x14ac:dyDescent="0.25">
      <c r="A1614" t="s">
        <v>564</v>
      </c>
      <c r="B1614" t="s">
        <v>30</v>
      </c>
      <c r="C1614" t="s">
        <v>260</v>
      </c>
      <c r="D1614" t="s">
        <v>76</v>
      </c>
      <c r="E1614" t="s">
        <v>1081</v>
      </c>
      <c r="F1614" t="s">
        <v>78</v>
      </c>
      <c r="G1614" t="s">
        <v>1082</v>
      </c>
      <c r="H1614" t="s">
        <v>9993</v>
      </c>
      <c r="J1614">
        <v>276572</v>
      </c>
      <c r="L1614">
        <v>111401</v>
      </c>
      <c r="O1614">
        <v>117</v>
      </c>
    </row>
    <row r="1615" spans="1:15" x14ac:dyDescent="0.25">
      <c r="A1615" t="s">
        <v>564</v>
      </c>
      <c r="B1615" t="s">
        <v>30</v>
      </c>
      <c r="C1615" t="s">
        <v>260</v>
      </c>
      <c r="D1615" t="s">
        <v>76</v>
      </c>
      <c r="E1615" t="s">
        <v>602</v>
      </c>
      <c r="F1615" t="s">
        <v>864</v>
      </c>
      <c r="G1615" t="s">
        <v>865</v>
      </c>
      <c r="H1615" t="s">
        <v>9983</v>
      </c>
      <c r="J1615">
        <v>276572</v>
      </c>
      <c r="L1615">
        <v>111401</v>
      </c>
      <c r="O1615">
        <v>118</v>
      </c>
    </row>
    <row r="1616" spans="1:15" x14ac:dyDescent="0.25">
      <c r="A1616" t="s">
        <v>564</v>
      </c>
      <c r="B1616" t="s">
        <v>30</v>
      </c>
      <c r="C1616" t="s">
        <v>260</v>
      </c>
      <c r="D1616" t="s">
        <v>76</v>
      </c>
      <c r="E1616" t="s">
        <v>602</v>
      </c>
      <c r="F1616" t="s">
        <v>867</v>
      </c>
      <c r="G1616" t="s">
        <v>868</v>
      </c>
      <c r="H1616" t="s">
        <v>9979</v>
      </c>
      <c r="J1616">
        <v>276572</v>
      </c>
      <c r="L1616">
        <v>111401</v>
      </c>
      <c r="O1616">
        <v>119</v>
      </c>
    </row>
    <row r="1617" spans="1:15" x14ac:dyDescent="0.25">
      <c r="A1617" t="s">
        <v>564</v>
      </c>
      <c r="B1617" t="s">
        <v>30</v>
      </c>
      <c r="C1617" t="s">
        <v>260</v>
      </c>
      <c r="D1617" t="s">
        <v>76</v>
      </c>
      <c r="E1617" t="s">
        <v>602</v>
      </c>
      <c r="F1617" t="s">
        <v>870</v>
      </c>
      <c r="G1617" t="s">
        <v>871</v>
      </c>
      <c r="H1617" t="s">
        <v>9981</v>
      </c>
      <c r="J1617">
        <v>276572</v>
      </c>
      <c r="L1617">
        <v>111401</v>
      </c>
      <c r="O1617">
        <v>120</v>
      </c>
    </row>
    <row r="1618" spans="1:15" x14ac:dyDescent="0.25">
      <c r="A1618" t="s">
        <v>564</v>
      </c>
      <c r="B1618" t="s">
        <v>30</v>
      </c>
      <c r="C1618" t="s">
        <v>260</v>
      </c>
      <c r="D1618" t="s">
        <v>76</v>
      </c>
      <c r="E1618" t="s">
        <v>1093</v>
      </c>
      <c r="F1618" t="s">
        <v>78</v>
      </c>
      <c r="G1618" t="s">
        <v>1094</v>
      </c>
      <c r="H1618" t="s">
        <v>9991</v>
      </c>
      <c r="J1618">
        <v>276572</v>
      </c>
      <c r="L1618">
        <v>111401</v>
      </c>
      <c r="O1618">
        <v>121</v>
      </c>
    </row>
    <row r="1619" spans="1:15" x14ac:dyDescent="0.25">
      <c r="A1619" t="s">
        <v>564</v>
      </c>
      <c r="B1619" t="s">
        <v>30</v>
      </c>
      <c r="C1619" t="s">
        <v>260</v>
      </c>
      <c r="D1619" t="s">
        <v>76</v>
      </c>
      <c r="E1619" t="s">
        <v>602</v>
      </c>
      <c r="F1619" t="s">
        <v>876</v>
      </c>
      <c r="G1619" t="s">
        <v>877</v>
      </c>
      <c r="H1619" t="s">
        <v>9987</v>
      </c>
      <c r="J1619">
        <v>276572</v>
      </c>
      <c r="L1619">
        <v>111401</v>
      </c>
      <c r="O1619">
        <v>122</v>
      </c>
    </row>
    <row r="1620" spans="1:15" x14ac:dyDescent="0.25">
      <c r="A1620" t="s">
        <v>564</v>
      </c>
      <c r="B1620" t="s">
        <v>30</v>
      </c>
      <c r="C1620" t="s">
        <v>260</v>
      </c>
      <c r="D1620" t="s">
        <v>76</v>
      </c>
      <c r="E1620" t="s">
        <v>1096</v>
      </c>
      <c r="F1620" t="s">
        <v>78</v>
      </c>
      <c r="G1620" t="s">
        <v>1097</v>
      </c>
      <c r="H1620" t="s">
        <v>9953</v>
      </c>
      <c r="J1620">
        <v>276572</v>
      </c>
      <c r="L1620">
        <v>111401</v>
      </c>
      <c r="O1620">
        <v>123</v>
      </c>
    </row>
    <row r="1621" spans="1:15" x14ac:dyDescent="0.25">
      <c r="A1621" t="s">
        <v>564</v>
      </c>
      <c r="B1621" t="s">
        <v>30</v>
      </c>
      <c r="C1621" t="s">
        <v>260</v>
      </c>
      <c r="D1621" t="s">
        <v>76</v>
      </c>
      <c r="E1621" t="s">
        <v>8468</v>
      </c>
      <c r="F1621" t="s">
        <v>78</v>
      </c>
      <c r="G1621" t="s">
        <v>8469</v>
      </c>
      <c r="H1621" t="s">
        <v>10015</v>
      </c>
      <c r="J1621">
        <v>276572</v>
      </c>
      <c r="L1621">
        <v>111401</v>
      </c>
      <c r="O1621">
        <v>124</v>
      </c>
    </row>
    <row r="1622" spans="1:15" x14ac:dyDescent="0.25">
      <c r="A1622" t="s">
        <v>564</v>
      </c>
      <c r="B1622" t="s">
        <v>30</v>
      </c>
      <c r="C1622" t="s">
        <v>260</v>
      </c>
      <c r="D1622" t="s">
        <v>76</v>
      </c>
      <c r="E1622" t="s">
        <v>688</v>
      </c>
      <c r="F1622" t="s">
        <v>78</v>
      </c>
      <c r="G1622" t="s">
        <v>689</v>
      </c>
      <c r="H1622" t="s">
        <v>9961</v>
      </c>
      <c r="J1622">
        <v>276572</v>
      </c>
      <c r="L1622">
        <v>111401</v>
      </c>
      <c r="O1622">
        <v>125</v>
      </c>
    </row>
    <row r="1623" spans="1:15" x14ac:dyDescent="0.25">
      <c r="A1623" t="s">
        <v>564</v>
      </c>
      <c r="B1623" t="s">
        <v>30</v>
      </c>
      <c r="C1623" t="s">
        <v>260</v>
      </c>
      <c r="D1623" t="s">
        <v>76</v>
      </c>
      <c r="E1623" t="s">
        <v>858</v>
      </c>
      <c r="F1623" t="s">
        <v>78</v>
      </c>
      <c r="G1623" t="s">
        <v>859</v>
      </c>
      <c r="H1623" t="s">
        <v>9956</v>
      </c>
      <c r="J1623">
        <v>276572</v>
      </c>
      <c r="L1623">
        <v>111401</v>
      </c>
      <c r="O1623">
        <v>126</v>
      </c>
    </row>
    <row r="1624" spans="1:15" x14ac:dyDescent="0.25">
      <c r="A1624" t="s">
        <v>564</v>
      </c>
      <c r="B1624" t="s">
        <v>30</v>
      </c>
      <c r="C1624" t="s">
        <v>260</v>
      </c>
      <c r="D1624" t="s">
        <v>76</v>
      </c>
      <c r="E1624" t="s">
        <v>861</v>
      </c>
      <c r="F1624" t="s">
        <v>78</v>
      </c>
      <c r="G1624" t="s">
        <v>862</v>
      </c>
      <c r="H1624" t="s">
        <v>9966</v>
      </c>
      <c r="J1624">
        <v>276572</v>
      </c>
      <c r="L1624">
        <v>111401</v>
      </c>
      <c r="O1624">
        <v>127</v>
      </c>
    </row>
    <row r="1625" spans="1:15" x14ac:dyDescent="0.25">
      <c r="A1625" t="s">
        <v>564</v>
      </c>
      <c r="B1625" t="s">
        <v>30</v>
      </c>
      <c r="C1625" t="s">
        <v>260</v>
      </c>
      <c r="D1625" t="s">
        <v>76</v>
      </c>
      <c r="E1625" t="s">
        <v>634</v>
      </c>
      <c r="F1625" t="s">
        <v>880</v>
      </c>
      <c r="G1625" t="s">
        <v>881</v>
      </c>
      <c r="H1625" t="s">
        <v>9914</v>
      </c>
      <c r="J1625">
        <v>276572</v>
      </c>
      <c r="L1625">
        <v>111401</v>
      </c>
      <c r="O1625">
        <v>128</v>
      </c>
    </row>
    <row r="1626" spans="1:15" x14ac:dyDescent="0.25">
      <c r="A1626" t="s">
        <v>564</v>
      </c>
      <c r="B1626" t="s">
        <v>30</v>
      </c>
      <c r="C1626" t="s">
        <v>260</v>
      </c>
      <c r="D1626" t="s">
        <v>76</v>
      </c>
      <c r="E1626" t="s">
        <v>634</v>
      </c>
      <c r="F1626" t="s">
        <v>883</v>
      </c>
      <c r="G1626" t="s">
        <v>884</v>
      </c>
      <c r="H1626" t="s">
        <v>9976</v>
      </c>
      <c r="J1626">
        <v>276572</v>
      </c>
      <c r="L1626">
        <v>111401</v>
      </c>
      <c r="O1626">
        <v>129</v>
      </c>
    </row>
    <row r="1627" spans="1:15" x14ac:dyDescent="0.25">
      <c r="A1627" t="s">
        <v>564</v>
      </c>
      <c r="B1627" t="s">
        <v>30</v>
      </c>
      <c r="C1627" t="s">
        <v>260</v>
      </c>
      <c r="D1627" t="s">
        <v>76</v>
      </c>
      <c r="E1627" t="s">
        <v>686</v>
      </c>
      <c r="F1627" t="s">
        <v>78</v>
      </c>
      <c r="G1627" t="s">
        <v>687</v>
      </c>
      <c r="H1627" t="s">
        <v>9992</v>
      </c>
      <c r="J1627">
        <v>276572</v>
      </c>
      <c r="L1627">
        <v>111401</v>
      </c>
      <c r="O1627">
        <v>130</v>
      </c>
    </row>
    <row r="1628" spans="1:15" x14ac:dyDescent="0.25">
      <c r="A1628" t="s">
        <v>564</v>
      </c>
      <c r="B1628" t="s">
        <v>30</v>
      </c>
      <c r="C1628" t="s">
        <v>260</v>
      </c>
      <c r="D1628" t="s">
        <v>76</v>
      </c>
      <c r="E1628" t="s">
        <v>890</v>
      </c>
      <c r="F1628" t="s">
        <v>78</v>
      </c>
      <c r="G1628" t="s">
        <v>891</v>
      </c>
      <c r="H1628" t="s">
        <v>9996</v>
      </c>
      <c r="J1628">
        <v>276572</v>
      </c>
      <c r="L1628">
        <v>111401</v>
      </c>
      <c r="O1628">
        <v>131</v>
      </c>
    </row>
    <row r="1629" spans="1:15" x14ac:dyDescent="0.25">
      <c r="A1629" t="s">
        <v>564</v>
      </c>
      <c r="B1629" t="s">
        <v>30</v>
      </c>
      <c r="C1629" t="s">
        <v>260</v>
      </c>
      <c r="D1629" t="s">
        <v>76</v>
      </c>
      <c r="E1629" t="s">
        <v>886</v>
      </c>
      <c r="F1629" t="s">
        <v>78</v>
      </c>
      <c r="G1629" t="s">
        <v>887</v>
      </c>
      <c r="H1629" t="s">
        <v>9900</v>
      </c>
      <c r="J1629">
        <v>276572</v>
      </c>
      <c r="L1629">
        <v>111401</v>
      </c>
      <c r="O1629">
        <v>132</v>
      </c>
    </row>
    <row r="1630" spans="1:15" x14ac:dyDescent="0.25">
      <c r="A1630" t="s">
        <v>564</v>
      </c>
      <c r="B1630" t="s">
        <v>30</v>
      </c>
      <c r="C1630" t="s">
        <v>260</v>
      </c>
      <c r="D1630" t="s">
        <v>76</v>
      </c>
      <c r="E1630" t="s">
        <v>873</v>
      </c>
      <c r="F1630" t="s">
        <v>78</v>
      </c>
      <c r="G1630" t="s">
        <v>874</v>
      </c>
      <c r="H1630" t="s">
        <v>9998</v>
      </c>
      <c r="J1630">
        <v>276572</v>
      </c>
      <c r="L1630">
        <v>111401</v>
      </c>
      <c r="O1630">
        <v>133</v>
      </c>
    </row>
    <row r="1631" spans="1:15" x14ac:dyDescent="0.25">
      <c r="A1631" t="s">
        <v>564</v>
      </c>
      <c r="B1631" t="s">
        <v>30</v>
      </c>
      <c r="C1631" t="s">
        <v>260</v>
      </c>
      <c r="D1631" t="s">
        <v>76</v>
      </c>
      <c r="E1631" t="s">
        <v>694</v>
      </c>
      <c r="F1631" t="s">
        <v>78</v>
      </c>
      <c r="G1631" t="s">
        <v>695</v>
      </c>
      <c r="H1631" t="s">
        <v>9897</v>
      </c>
      <c r="J1631">
        <v>276572</v>
      </c>
      <c r="L1631">
        <v>111401</v>
      </c>
      <c r="O1631">
        <v>134</v>
      </c>
    </row>
    <row r="1632" spans="1:15" x14ac:dyDescent="0.25">
      <c r="A1632" t="s">
        <v>564</v>
      </c>
      <c r="B1632" t="s">
        <v>30</v>
      </c>
      <c r="C1632" t="s">
        <v>260</v>
      </c>
      <c r="D1632" t="s">
        <v>76</v>
      </c>
      <c r="E1632" t="s">
        <v>654</v>
      </c>
      <c r="F1632" t="s">
        <v>8465</v>
      </c>
      <c r="G1632" t="s">
        <v>8466</v>
      </c>
      <c r="H1632" t="s">
        <v>9982</v>
      </c>
      <c r="J1632">
        <v>276572</v>
      </c>
      <c r="L1632">
        <v>111401</v>
      </c>
      <c r="O1632">
        <v>135</v>
      </c>
    </row>
    <row r="1633" spans="1:15" x14ac:dyDescent="0.25">
      <c r="A1633" t="s">
        <v>564</v>
      </c>
      <c r="B1633" t="s">
        <v>30</v>
      </c>
      <c r="C1633" t="s">
        <v>260</v>
      </c>
      <c r="D1633" t="s">
        <v>76</v>
      </c>
      <c r="E1633" t="s">
        <v>886</v>
      </c>
      <c r="F1633" t="s">
        <v>8512</v>
      </c>
      <c r="G1633" t="s">
        <v>8513</v>
      </c>
      <c r="H1633" t="s">
        <v>10014</v>
      </c>
      <c r="J1633">
        <v>276572</v>
      </c>
      <c r="L1633">
        <v>111401</v>
      </c>
      <c r="O1633">
        <v>136</v>
      </c>
    </row>
    <row r="1634" spans="1:15" x14ac:dyDescent="0.25">
      <c r="A1634" t="s">
        <v>564</v>
      </c>
      <c r="B1634" t="s">
        <v>30</v>
      </c>
      <c r="C1634" t="s">
        <v>260</v>
      </c>
      <c r="D1634" t="s">
        <v>76</v>
      </c>
      <c r="E1634" t="s">
        <v>886</v>
      </c>
      <c r="F1634" t="s">
        <v>8495</v>
      </c>
      <c r="G1634" t="s">
        <v>8496</v>
      </c>
      <c r="H1634" t="s">
        <v>10013</v>
      </c>
      <c r="J1634">
        <v>276572</v>
      </c>
      <c r="L1634">
        <v>111401</v>
      </c>
      <c r="O1634">
        <v>137</v>
      </c>
    </row>
    <row r="1635" spans="1:15" x14ac:dyDescent="0.25">
      <c r="A1635" t="s">
        <v>564</v>
      </c>
      <c r="B1635" t="s">
        <v>30</v>
      </c>
      <c r="C1635" t="s">
        <v>260</v>
      </c>
      <c r="D1635" t="s">
        <v>76</v>
      </c>
      <c r="E1635" t="s">
        <v>886</v>
      </c>
      <c r="F1635" t="s">
        <v>8504</v>
      </c>
      <c r="G1635" t="s">
        <v>8505</v>
      </c>
      <c r="H1635" t="s">
        <v>9901</v>
      </c>
      <c r="J1635">
        <v>276572</v>
      </c>
      <c r="L1635">
        <v>111401</v>
      </c>
      <c r="O1635">
        <v>138</v>
      </c>
    </row>
    <row r="1636" spans="1:15" x14ac:dyDescent="0.25">
      <c r="A1636" t="s">
        <v>564</v>
      </c>
      <c r="B1636" t="s">
        <v>30</v>
      </c>
      <c r="C1636" t="s">
        <v>260</v>
      </c>
      <c r="D1636" t="s">
        <v>76</v>
      </c>
      <c r="E1636" t="s">
        <v>686</v>
      </c>
      <c r="F1636" t="s">
        <v>1084</v>
      </c>
      <c r="G1636" t="s">
        <v>1085</v>
      </c>
      <c r="H1636" t="s">
        <v>10002</v>
      </c>
      <c r="J1636">
        <v>276572</v>
      </c>
      <c r="L1636">
        <v>111401</v>
      </c>
      <c r="O1636">
        <v>139</v>
      </c>
    </row>
    <row r="1637" spans="1:15" x14ac:dyDescent="0.25">
      <c r="A1637" t="s">
        <v>564</v>
      </c>
      <c r="B1637" t="s">
        <v>30</v>
      </c>
      <c r="C1637" t="s">
        <v>260</v>
      </c>
      <c r="D1637" t="s">
        <v>76</v>
      </c>
      <c r="E1637" t="s">
        <v>686</v>
      </c>
      <c r="F1637" t="s">
        <v>1069</v>
      </c>
      <c r="G1637" t="s">
        <v>1070</v>
      </c>
      <c r="H1637" t="s">
        <v>10012</v>
      </c>
      <c r="J1637">
        <v>276572</v>
      </c>
      <c r="L1637">
        <v>111401</v>
      </c>
      <c r="O1637">
        <v>140</v>
      </c>
    </row>
    <row r="1638" spans="1:15" x14ac:dyDescent="0.25">
      <c r="A1638" t="s">
        <v>564</v>
      </c>
      <c r="B1638" t="s">
        <v>30</v>
      </c>
      <c r="C1638" t="s">
        <v>260</v>
      </c>
      <c r="D1638" t="s">
        <v>76</v>
      </c>
      <c r="E1638" t="s">
        <v>686</v>
      </c>
      <c r="F1638" t="s">
        <v>1063</v>
      </c>
      <c r="G1638" t="s">
        <v>1064</v>
      </c>
      <c r="H1638" t="s">
        <v>10011</v>
      </c>
      <c r="J1638">
        <v>276572</v>
      </c>
      <c r="L1638">
        <v>111401</v>
      </c>
      <c r="O1638">
        <v>141</v>
      </c>
    </row>
    <row r="1639" spans="1:15" x14ac:dyDescent="0.25">
      <c r="A1639" t="s">
        <v>564</v>
      </c>
      <c r="B1639" t="s">
        <v>30</v>
      </c>
      <c r="C1639" t="s">
        <v>260</v>
      </c>
      <c r="D1639" t="s">
        <v>76</v>
      </c>
      <c r="E1639" t="s">
        <v>686</v>
      </c>
      <c r="F1639" t="s">
        <v>1045</v>
      </c>
      <c r="G1639" t="s">
        <v>1046</v>
      </c>
      <c r="H1639" t="s">
        <v>10004</v>
      </c>
      <c r="J1639">
        <v>276572</v>
      </c>
      <c r="L1639">
        <v>111401</v>
      </c>
      <c r="O1639">
        <v>142</v>
      </c>
    </row>
    <row r="1640" spans="1:15" x14ac:dyDescent="0.25">
      <c r="A1640" t="s">
        <v>564</v>
      </c>
      <c r="B1640" t="s">
        <v>30</v>
      </c>
      <c r="C1640" t="s">
        <v>260</v>
      </c>
      <c r="D1640" t="s">
        <v>76</v>
      </c>
      <c r="E1640" t="s">
        <v>686</v>
      </c>
      <c r="F1640" t="s">
        <v>1039</v>
      </c>
      <c r="G1640" t="s">
        <v>1040</v>
      </c>
      <c r="H1640" t="s">
        <v>10000</v>
      </c>
      <c r="J1640">
        <v>276572</v>
      </c>
      <c r="L1640">
        <v>111401</v>
      </c>
      <c r="O1640">
        <v>143</v>
      </c>
    </row>
    <row r="1641" spans="1:15" x14ac:dyDescent="0.25">
      <c r="A1641" t="s">
        <v>564</v>
      </c>
      <c r="B1641" t="s">
        <v>30</v>
      </c>
      <c r="C1641" t="s">
        <v>260</v>
      </c>
      <c r="D1641" t="s">
        <v>76</v>
      </c>
      <c r="E1641" t="s">
        <v>686</v>
      </c>
      <c r="F1641" t="s">
        <v>1036</v>
      </c>
      <c r="G1641" t="s">
        <v>1037</v>
      </c>
      <c r="H1641" t="s">
        <v>9934</v>
      </c>
      <c r="J1641">
        <v>276572</v>
      </c>
      <c r="L1641">
        <v>111401</v>
      </c>
      <c r="O1641">
        <v>144</v>
      </c>
    </row>
    <row r="1642" spans="1:15" x14ac:dyDescent="0.25">
      <c r="A1642" t="s">
        <v>564</v>
      </c>
      <c r="B1642" t="s">
        <v>30</v>
      </c>
      <c r="C1642" t="s">
        <v>260</v>
      </c>
      <c r="D1642" t="s">
        <v>76</v>
      </c>
      <c r="E1642" t="s">
        <v>686</v>
      </c>
      <c r="F1642" t="s">
        <v>1024</v>
      </c>
      <c r="G1642" t="s">
        <v>1025</v>
      </c>
      <c r="H1642" t="s">
        <v>10005</v>
      </c>
      <c r="J1642">
        <v>276572</v>
      </c>
      <c r="L1642">
        <v>111401</v>
      </c>
      <c r="O1642">
        <v>145</v>
      </c>
    </row>
    <row r="1643" spans="1:15" x14ac:dyDescent="0.25">
      <c r="A1643" t="s">
        <v>564</v>
      </c>
      <c r="B1643" t="s">
        <v>30</v>
      </c>
      <c r="C1643" t="s">
        <v>260</v>
      </c>
      <c r="D1643" t="s">
        <v>76</v>
      </c>
      <c r="E1643" t="s">
        <v>686</v>
      </c>
      <c r="F1643" t="s">
        <v>1021</v>
      </c>
      <c r="G1643" t="s">
        <v>1022</v>
      </c>
      <c r="H1643" t="s">
        <v>9997</v>
      </c>
      <c r="J1643">
        <v>276572</v>
      </c>
      <c r="L1643">
        <v>111401</v>
      </c>
      <c r="O1643">
        <v>146</v>
      </c>
    </row>
    <row r="1644" spans="1:15" x14ac:dyDescent="0.25">
      <c r="A1644" t="s">
        <v>564</v>
      </c>
      <c r="B1644" t="s">
        <v>30</v>
      </c>
      <c r="C1644" t="s">
        <v>260</v>
      </c>
      <c r="D1644" t="s">
        <v>76</v>
      </c>
      <c r="E1644" t="s">
        <v>686</v>
      </c>
      <c r="F1644" t="s">
        <v>1012</v>
      </c>
      <c r="G1644" t="s">
        <v>1013</v>
      </c>
      <c r="H1644" t="s">
        <v>10003</v>
      </c>
      <c r="J1644">
        <v>276572</v>
      </c>
      <c r="L1644">
        <v>111401</v>
      </c>
      <c r="O1644">
        <v>147</v>
      </c>
    </row>
    <row r="1645" spans="1:15" x14ac:dyDescent="0.25">
      <c r="A1645" t="s">
        <v>564</v>
      </c>
      <c r="B1645" t="s">
        <v>30</v>
      </c>
      <c r="C1645" t="s">
        <v>260</v>
      </c>
      <c r="D1645" t="s">
        <v>76</v>
      </c>
      <c r="E1645" t="s">
        <v>686</v>
      </c>
      <c r="F1645" t="s">
        <v>1009</v>
      </c>
      <c r="G1645" t="s">
        <v>1010</v>
      </c>
      <c r="H1645" t="s">
        <v>10009</v>
      </c>
      <c r="J1645">
        <v>276572</v>
      </c>
      <c r="L1645">
        <v>111401</v>
      </c>
      <c r="O1645">
        <v>148</v>
      </c>
    </row>
    <row r="1646" spans="1:15" x14ac:dyDescent="0.25">
      <c r="A1646" t="s">
        <v>564</v>
      </c>
      <c r="B1646" t="s">
        <v>30</v>
      </c>
      <c r="C1646" t="s">
        <v>260</v>
      </c>
      <c r="D1646" t="s">
        <v>76</v>
      </c>
      <c r="E1646" t="s">
        <v>686</v>
      </c>
      <c r="F1646" t="s">
        <v>1006</v>
      </c>
      <c r="G1646" t="s">
        <v>1007</v>
      </c>
      <c r="H1646" t="s">
        <v>10008</v>
      </c>
      <c r="J1646">
        <v>276572</v>
      </c>
      <c r="L1646">
        <v>111401</v>
      </c>
      <c r="O1646">
        <v>149</v>
      </c>
    </row>
    <row r="1647" spans="1:15" x14ac:dyDescent="0.25">
      <c r="A1647" t="s">
        <v>564</v>
      </c>
      <c r="B1647" t="s">
        <v>30</v>
      </c>
      <c r="C1647" t="s">
        <v>260</v>
      </c>
      <c r="D1647" t="s">
        <v>76</v>
      </c>
      <c r="E1647" t="s">
        <v>686</v>
      </c>
      <c r="F1647" t="s">
        <v>991</v>
      </c>
      <c r="G1647" t="s">
        <v>992</v>
      </c>
      <c r="H1647" t="s">
        <v>10007</v>
      </c>
      <c r="J1647">
        <v>276572</v>
      </c>
      <c r="L1647">
        <v>111401</v>
      </c>
      <c r="O1647">
        <v>150</v>
      </c>
    </row>
    <row r="1648" spans="1:15" x14ac:dyDescent="0.25">
      <c r="A1648" t="s">
        <v>564</v>
      </c>
      <c r="B1648" t="s">
        <v>30</v>
      </c>
      <c r="C1648" t="s">
        <v>260</v>
      </c>
      <c r="D1648" t="s">
        <v>76</v>
      </c>
      <c r="E1648" t="s">
        <v>686</v>
      </c>
      <c r="F1648" t="s">
        <v>958</v>
      </c>
      <c r="G1648" t="s">
        <v>959</v>
      </c>
      <c r="H1648" t="s">
        <v>9999</v>
      </c>
      <c r="J1648">
        <v>276572</v>
      </c>
      <c r="L1648">
        <v>111401</v>
      </c>
      <c r="O1648">
        <v>151</v>
      </c>
    </row>
    <row r="1649" spans="1:15" x14ac:dyDescent="0.25">
      <c r="A1649" t="s">
        <v>564</v>
      </c>
      <c r="B1649" t="s">
        <v>30</v>
      </c>
      <c r="C1649" t="s">
        <v>260</v>
      </c>
      <c r="D1649" t="s">
        <v>76</v>
      </c>
      <c r="E1649" t="s">
        <v>686</v>
      </c>
      <c r="F1649" t="s">
        <v>952</v>
      </c>
      <c r="G1649" t="s">
        <v>953</v>
      </c>
      <c r="H1649" t="s">
        <v>9932</v>
      </c>
      <c r="J1649">
        <v>276572</v>
      </c>
      <c r="L1649">
        <v>111401</v>
      </c>
      <c r="O1649">
        <v>152</v>
      </c>
    </row>
    <row r="1650" spans="1:15" x14ac:dyDescent="0.25">
      <c r="A1650" t="s">
        <v>564</v>
      </c>
      <c r="B1650" t="s">
        <v>30</v>
      </c>
      <c r="C1650" t="s">
        <v>260</v>
      </c>
      <c r="D1650" t="s">
        <v>76</v>
      </c>
      <c r="E1650" t="s">
        <v>686</v>
      </c>
      <c r="F1650" t="s">
        <v>940</v>
      </c>
      <c r="G1650" t="s">
        <v>941</v>
      </c>
      <c r="H1650" t="s">
        <v>10010</v>
      </c>
      <c r="J1650">
        <v>276572</v>
      </c>
      <c r="L1650">
        <v>111401</v>
      </c>
      <c r="O1650">
        <v>153</v>
      </c>
    </row>
    <row r="1651" spans="1:15" x14ac:dyDescent="0.25">
      <c r="A1651" t="s">
        <v>564</v>
      </c>
      <c r="B1651" t="s">
        <v>30</v>
      </c>
      <c r="C1651" t="s">
        <v>260</v>
      </c>
      <c r="D1651" t="s">
        <v>76</v>
      </c>
      <c r="E1651" t="s">
        <v>686</v>
      </c>
      <c r="F1651" t="s">
        <v>937</v>
      </c>
      <c r="G1651" t="s">
        <v>938</v>
      </c>
      <c r="H1651" t="s">
        <v>10001</v>
      </c>
      <c r="J1651">
        <v>276572</v>
      </c>
      <c r="L1651">
        <v>111401</v>
      </c>
      <c r="O1651">
        <v>154</v>
      </c>
    </row>
    <row r="1652" spans="1:15" x14ac:dyDescent="0.25">
      <c r="A1652" t="s">
        <v>564</v>
      </c>
      <c r="B1652" t="s">
        <v>30</v>
      </c>
      <c r="C1652" t="s">
        <v>260</v>
      </c>
      <c r="D1652" t="s">
        <v>76</v>
      </c>
      <c r="E1652" t="s">
        <v>686</v>
      </c>
      <c r="F1652" t="s">
        <v>934</v>
      </c>
      <c r="G1652" t="s">
        <v>935</v>
      </c>
      <c r="H1652" t="s">
        <v>9933</v>
      </c>
      <c r="J1652">
        <v>276572</v>
      </c>
      <c r="L1652">
        <v>111401</v>
      </c>
      <c r="O1652">
        <v>155</v>
      </c>
    </row>
    <row r="1653" spans="1:15" x14ac:dyDescent="0.25">
      <c r="A1653" t="s">
        <v>564</v>
      </c>
      <c r="B1653" t="s">
        <v>30</v>
      </c>
      <c r="C1653" t="s">
        <v>260</v>
      </c>
      <c r="D1653" t="s">
        <v>76</v>
      </c>
      <c r="E1653" t="s">
        <v>686</v>
      </c>
      <c r="F1653" t="s">
        <v>924</v>
      </c>
      <c r="G1653" t="s">
        <v>925</v>
      </c>
      <c r="H1653" t="s">
        <v>9947</v>
      </c>
      <c r="J1653">
        <v>276572</v>
      </c>
      <c r="L1653">
        <v>111401</v>
      </c>
      <c r="O1653">
        <v>156</v>
      </c>
    </row>
    <row r="1654" spans="1:15" x14ac:dyDescent="0.25">
      <c r="A1654" t="s">
        <v>564</v>
      </c>
      <c r="B1654" t="s">
        <v>30</v>
      </c>
      <c r="C1654" t="s">
        <v>260</v>
      </c>
      <c r="D1654" t="s">
        <v>76</v>
      </c>
      <c r="E1654" t="s">
        <v>686</v>
      </c>
      <c r="F1654" t="s">
        <v>921</v>
      </c>
      <c r="G1654" t="s">
        <v>922</v>
      </c>
      <c r="H1654" t="s">
        <v>9931</v>
      </c>
      <c r="J1654">
        <v>276572</v>
      </c>
      <c r="L1654">
        <v>111401</v>
      </c>
      <c r="O1654">
        <v>157</v>
      </c>
    </row>
    <row r="1655" spans="1:15" x14ac:dyDescent="0.25">
      <c r="A1655" t="s">
        <v>564</v>
      </c>
      <c r="B1655" t="s">
        <v>30</v>
      </c>
      <c r="C1655" t="s">
        <v>260</v>
      </c>
      <c r="D1655" t="s">
        <v>76</v>
      </c>
      <c r="E1655" t="s">
        <v>686</v>
      </c>
      <c r="F1655" t="s">
        <v>915</v>
      </c>
      <c r="G1655" t="s">
        <v>916</v>
      </c>
      <c r="H1655" t="s">
        <v>10006</v>
      </c>
      <c r="J1655">
        <v>276572</v>
      </c>
      <c r="L1655">
        <v>111401</v>
      </c>
      <c r="O1655">
        <v>158</v>
      </c>
    </row>
    <row r="1656" spans="1:15" x14ac:dyDescent="0.25">
      <c r="A1656" t="s">
        <v>564</v>
      </c>
      <c r="B1656" t="s">
        <v>30</v>
      </c>
      <c r="C1656" t="s">
        <v>260</v>
      </c>
      <c r="D1656" t="s">
        <v>76</v>
      </c>
      <c r="E1656" t="s">
        <v>686</v>
      </c>
      <c r="F1656" t="s">
        <v>909</v>
      </c>
      <c r="G1656" t="s">
        <v>910</v>
      </c>
      <c r="H1656" t="s">
        <v>9995</v>
      </c>
      <c r="J1656">
        <v>276572</v>
      </c>
      <c r="L1656">
        <v>111401</v>
      </c>
      <c r="O1656">
        <v>159</v>
      </c>
    </row>
    <row r="1657" spans="1:15" x14ac:dyDescent="0.25">
      <c r="A1657" t="s">
        <v>564</v>
      </c>
      <c r="B1657" t="s">
        <v>30</v>
      </c>
      <c r="C1657" t="s">
        <v>260</v>
      </c>
      <c r="D1657" t="s">
        <v>76</v>
      </c>
      <c r="E1657" t="s">
        <v>686</v>
      </c>
      <c r="F1657" t="s">
        <v>894</v>
      </c>
      <c r="G1657" t="s">
        <v>895</v>
      </c>
      <c r="H1657" t="s">
        <v>9994</v>
      </c>
      <c r="J1657">
        <v>276572</v>
      </c>
      <c r="L1657">
        <v>111401</v>
      </c>
      <c r="O1657">
        <v>160</v>
      </c>
    </row>
    <row r="1658" spans="1:15" x14ac:dyDescent="0.25">
      <c r="A1658" t="s">
        <v>564</v>
      </c>
      <c r="B1658" t="s">
        <v>30</v>
      </c>
      <c r="C1658" t="s">
        <v>260</v>
      </c>
      <c r="D1658" t="s">
        <v>76</v>
      </c>
      <c r="E1658" t="s">
        <v>897</v>
      </c>
      <c r="F1658" t="s">
        <v>78</v>
      </c>
      <c r="G1658" t="s">
        <v>898</v>
      </c>
      <c r="H1658" t="s">
        <v>9951</v>
      </c>
      <c r="J1658">
        <v>276572</v>
      </c>
      <c r="L1658">
        <v>111401</v>
      </c>
      <c r="O1658">
        <v>161</v>
      </c>
    </row>
    <row r="1659" spans="1:15" x14ac:dyDescent="0.25">
      <c r="A1659" t="s">
        <v>564</v>
      </c>
      <c r="B1659" t="s">
        <v>30</v>
      </c>
      <c r="C1659" t="s">
        <v>260</v>
      </c>
      <c r="D1659" t="s">
        <v>76</v>
      </c>
      <c r="E1659" t="s">
        <v>654</v>
      </c>
      <c r="F1659" t="s">
        <v>8518</v>
      </c>
      <c r="G1659" t="s">
        <v>8519</v>
      </c>
      <c r="H1659" t="s">
        <v>9984</v>
      </c>
      <c r="J1659">
        <v>276572</v>
      </c>
      <c r="L1659">
        <v>111401</v>
      </c>
      <c r="O1659">
        <v>162</v>
      </c>
    </row>
    <row r="1660" spans="1:15" x14ac:dyDescent="0.25">
      <c r="A1660" t="s">
        <v>564</v>
      </c>
      <c r="B1660" t="s">
        <v>30</v>
      </c>
      <c r="C1660" t="s">
        <v>260</v>
      </c>
      <c r="D1660" t="s">
        <v>76</v>
      </c>
      <c r="E1660" t="s">
        <v>900</v>
      </c>
      <c r="F1660" t="s">
        <v>78</v>
      </c>
      <c r="G1660" t="s">
        <v>901</v>
      </c>
      <c r="H1660" t="s">
        <v>9954</v>
      </c>
      <c r="J1660">
        <v>276572</v>
      </c>
      <c r="L1660">
        <v>111401</v>
      </c>
      <c r="O1660">
        <v>163</v>
      </c>
    </row>
    <row r="1661" spans="1:15" x14ac:dyDescent="0.25">
      <c r="A1661" t="s">
        <v>564</v>
      </c>
      <c r="B1661" t="s">
        <v>30</v>
      </c>
      <c r="C1661" t="s">
        <v>260</v>
      </c>
      <c r="D1661" t="s">
        <v>76</v>
      </c>
      <c r="E1661" t="s">
        <v>903</v>
      </c>
      <c r="F1661" t="s">
        <v>78</v>
      </c>
      <c r="G1661" t="s">
        <v>904</v>
      </c>
      <c r="H1661" t="s">
        <v>9935</v>
      </c>
      <c r="J1661">
        <v>276572</v>
      </c>
      <c r="L1661">
        <v>111401</v>
      </c>
      <c r="O1661">
        <v>164</v>
      </c>
    </row>
    <row r="1662" spans="1:15" x14ac:dyDescent="0.25">
      <c r="A1662" t="s">
        <v>564</v>
      </c>
      <c r="B1662" t="s">
        <v>30</v>
      </c>
      <c r="C1662" t="s">
        <v>260</v>
      </c>
      <c r="D1662" t="s">
        <v>76</v>
      </c>
      <c r="E1662" t="s">
        <v>906</v>
      </c>
      <c r="F1662" t="s">
        <v>78</v>
      </c>
      <c r="G1662" t="s">
        <v>907</v>
      </c>
      <c r="H1662" t="s">
        <v>9978</v>
      </c>
      <c r="J1662">
        <v>276572</v>
      </c>
      <c r="L1662">
        <v>111401</v>
      </c>
      <c r="O1662">
        <v>165</v>
      </c>
    </row>
    <row r="1663" spans="1:15" x14ac:dyDescent="0.25">
      <c r="A1663" t="s">
        <v>564</v>
      </c>
      <c r="B1663" t="s">
        <v>30</v>
      </c>
      <c r="C1663" t="s">
        <v>260</v>
      </c>
      <c r="D1663" t="s">
        <v>76</v>
      </c>
      <c r="E1663" t="s">
        <v>912</v>
      </c>
      <c r="F1663" t="s">
        <v>78</v>
      </c>
      <c r="G1663" t="s">
        <v>913</v>
      </c>
      <c r="H1663" t="s">
        <v>9963</v>
      </c>
      <c r="J1663">
        <v>276572</v>
      </c>
      <c r="L1663">
        <v>111401</v>
      </c>
      <c r="O1663">
        <v>166</v>
      </c>
    </row>
    <row r="1664" spans="1:15" x14ac:dyDescent="0.25">
      <c r="A1664" t="s">
        <v>564</v>
      </c>
      <c r="B1664" t="s">
        <v>30</v>
      </c>
      <c r="C1664" t="s">
        <v>260</v>
      </c>
      <c r="D1664" t="s">
        <v>59</v>
      </c>
      <c r="E1664" t="s">
        <v>78</v>
      </c>
      <c r="F1664" t="s">
        <v>78</v>
      </c>
      <c r="G1664" t="s">
        <v>696</v>
      </c>
      <c r="H1664" t="s">
        <v>10017</v>
      </c>
      <c r="I1664">
        <v>0.59720796031413159</v>
      </c>
      <c r="J1664">
        <v>276572</v>
      </c>
      <c r="K1664">
        <v>1</v>
      </c>
      <c r="L1664">
        <v>165171</v>
      </c>
      <c r="M1664">
        <v>165171</v>
      </c>
      <c r="N1664">
        <v>3.0300000000000001E-2</v>
      </c>
      <c r="O1664">
        <v>1</v>
      </c>
    </row>
    <row r="1665" spans="1:17" x14ac:dyDescent="0.25">
      <c r="A1665" t="s">
        <v>564</v>
      </c>
      <c r="B1665" t="s">
        <v>30</v>
      </c>
      <c r="C1665" t="s">
        <v>260</v>
      </c>
      <c r="D1665" t="s">
        <v>59</v>
      </c>
      <c r="E1665" t="s">
        <v>60</v>
      </c>
      <c r="F1665" t="s">
        <v>78</v>
      </c>
      <c r="G1665" t="s">
        <v>697</v>
      </c>
      <c r="H1665" t="s">
        <v>10018</v>
      </c>
      <c r="I1665">
        <v>0.52915334885671728</v>
      </c>
      <c r="J1665">
        <v>276572</v>
      </c>
      <c r="K1665">
        <v>0.88604537116079696</v>
      </c>
      <c r="L1665">
        <v>165171</v>
      </c>
      <c r="M1665">
        <v>146349</v>
      </c>
      <c r="N1665">
        <v>2.3599999999999999E-2</v>
      </c>
      <c r="O1665">
        <v>2</v>
      </c>
    </row>
    <row r="1666" spans="1:17" x14ac:dyDescent="0.25">
      <c r="A1666" t="s">
        <v>564</v>
      </c>
      <c r="B1666" t="s">
        <v>30</v>
      </c>
      <c r="C1666" t="s">
        <v>260</v>
      </c>
      <c r="D1666" t="s">
        <v>59</v>
      </c>
      <c r="E1666" t="s">
        <v>60</v>
      </c>
      <c r="F1666" t="s">
        <v>61</v>
      </c>
      <c r="G1666" t="s">
        <v>698</v>
      </c>
      <c r="H1666" t="s">
        <v>10019</v>
      </c>
      <c r="I1666">
        <v>0.24155012076421331</v>
      </c>
      <c r="J1666">
        <v>276572</v>
      </c>
      <c r="K1666">
        <v>0.40446567496715519</v>
      </c>
      <c r="L1666">
        <v>165171</v>
      </c>
      <c r="M1666">
        <v>66806</v>
      </c>
      <c r="N1666">
        <v>3.1899999999999998E-2</v>
      </c>
      <c r="O1666">
        <v>3</v>
      </c>
      <c r="Q1666">
        <v>1</v>
      </c>
    </row>
    <row r="1667" spans="1:17" x14ac:dyDescent="0.25">
      <c r="A1667" t="s">
        <v>564</v>
      </c>
      <c r="B1667" t="s">
        <v>30</v>
      </c>
      <c r="C1667" t="s">
        <v>260</v>
      </c>
      <c r="D1667" t="s">
        <v>59</v>
      </c>
      <c r="E1667" t="s">
        <v>60</v>
      </c>
      <c r="F1667" t="s">
        <v>62</v>
      </c>
      <c r="G1667" t="s">
        <v>699</v>
      </c>
      <c r="H1667" t="s">
        <v>10020</v>
      </c>
      <c r="I1667">
        <v>0.1933456749056304</v>
      </c>
      <c r="J1667">
        <v>276572</v>
      </c>
      <c r="K1667">
        <v>0.32374932645561272</v>
      </c>
      <c r="L1667">
        <v>165171</v>
      </c>
      <c r="M1667">
        <v>53474</v>
      </c>
      <c r="N1667">
        <v>1.1000000000000001E-3</v>
      </c>
      <c r="O1667">
        <v>4</v>
      </c>
      <c r="Q1667">
        <v>2</v>
      </c>
    </row>
    <row r="1668" spans="1:17" x14ac:dyDescent="0.25">
      <c r="A1668" t="s">
        <v>564</v>
      </c>
      <c r="B1668" t="s">
        <v>30</v>
      </c>
      <c r="C1668" t="s">
        <v>260</v>
      </c>
      <c r="D1668" t="s">
        <v>59</v>
      </c>
      <c r="E1668" t="s">
        <v>60</v>
      </c>
      <c r="F1668" t="s">
        <v>63</v>
      </c>
      <c r="G1668" t="s">
        <v>702</v>
      </c>
      <c r="H1668" t="s">
        <v>10021</v>
      </c>
      <c r="I1668">
        <v>0.13394342160450079</v>
      </c>
      <c r="J1668">
        <v>276572</v>
      </c>
      <c r="K1668">
        <v>0.22428271306706379</v>
      </c>
      <c r="L1668">
        <v>165171</v>
      </c>
      <c r="M1668">
        <v>37045</v>
      </c>
      <c r="N1668">
        <v>3.5799999999999998E-2</v>
      </c>
      <c r="O1668">
        <v>5</v>
      </c>
      <c r="Q1668">
        <v>3</v>
      </c>
    </row>
    <row r="1669" spans="1:17" x14ac:dyDescent="0.25">
      <c r="A1669" t="s">
        <v>564</v>
      </c>
      <c r="B1669" t="s">
        <v>30</v>
      </c>
      <c r="C1669" t="s">
        <v>260</v>
      </c>
      <c r="D1669" t="s">
        <v>59</v>
      </c>
      <c r="E1669" t="s">
        <v>68</v>
      </c>
      <c r="F1669" t="s">
        <v>78</v>
      </c>
      <c r="G1669" t="s">
        <v>700</v>
      </c>
      <c r="H1669" t="s">
        <v>10025</v>
      </c>
      <c r="I1669">
        <v>3.9371302951853412E-2</v>
      </c>
      <c r="J1669">
        <v>276572</v>
      </c>
      <c r="K1669">
        <v>6.5925616482312266E-2</v>
      </c>
      <c r="L1669">
        <v>165171</v>
      </c>
      <c r="M1669">
        <v>10889</v>
      </c>
      <c r="O1669">
        <v>6</v>
      </c>
    </row>
    <row r="1670" spans="1:17" x14ac:dyDescent="0.25">
      <c r="A1670" t="s">
        <v>564</v>
      </c>
      <c r="B1670" t="s">
        <v>30</v>
      </c>
      <c r="C1670" t="s">
        <v>260</v>
      </c>
      <c r="D1670" t="s">
        <v>59</v>
      </c>
      <c r="E1670" t="s">
        <v>68</v>
      </c>
      <c r="F1670" t="s">
        <v>69</v>
      </c>
      <c r="G1670" t="s">
        <v>701</v>
      </c>
      <c r="H1670" t="s">
        <v>10026</v>
      </c>
      <c r="I1670">
        <v>3.804072718858019E-2</v>
      </c>
      <c r="J1670">
        <v>276572</v>
      </c>
      <c r="K1670">
        <v>6.3697622463991868E-2</v>
      </c>
      <c r="L1670">
        <v>165171</v>
      </c>
      <c r="M1670">
        <v>10521</v>
      </c>
      <c r="O1670">
        <v>7</v>
      </c>
      <c r="Q1670">
        <v>11</v>
      </c>
    </row>
    <row r="1671" spans="1:17" x14ac:dyDescent="0.25">
      <c r="A1671" t="s">
        <v>564</v>
      </c>
      <c r="B1671" t="s">
        <v>30</v>
      </c>
      <c r="C1671" t="s">
        <v>260</v>
      </c>
      <c r="D1671" t="s">
        <v>59</v>
      </c>
      <c r="E1671" t="s">
        <v>64</v>
      </c>
      <c r="F1671" t="s">
        <v>78</v>
      </c>
      <c r="G1671" t="s">
        <v>703</v>
      </c>
      <c r="H1671" t="s">
        <v>10022</v>
      </c>
      <c r="I1671">
        <v>3.391521918343144E-2</v>
      </c>
      <c r="J1671">
        <v>276572</v>
      </c>
      <c r="K1671">
        <v>5.6789630140884298E-2</v>
      </c>
      <c r="L1671">
        <v>165171</v>
      </c>
      <c r="M1671">
        <v>9380</v>
      </c>
      <c r="N1671">
        <v>0.13450000000000001</v>
      </c>
      <c r="O1671">
        <v>8</v>
      </c>
    </row>
    <row r="1672" spans="1:17" x14ac:dyDescent="0.25">
      <c r="A1672" t="s">
        <v>564</v>
      </c>
      <c r="B1672" t="s">
        <v>30</v>
      </c>
      <c r="C1672" t="s">
        <v>260</v>
      </c>
      <c r="D1672" t="s">
        <v>59</v>
      </c>
      <c r="E1672" t="s">
        <v>64</v>
      </c>
      <c r="F1672" t="s">
        <v>65</v>
      </c>
      <c r="G1672" t="s">
        <v>704</v>
      </c>
      <c r="H1672" t="s">
        <v>10027</v>
      </c>
      <c r="I1672">
        <v>3.3557265377550882E-2</v>
      </c>
      <c r="J1672">
        <v>276572</v>
      </c>
      <c r="K1672">
        <v>5.6190251315303537E-2</v>
      </c>
      <c r="L1672">
        <v>165171</v>
      </c>
      <c r="M1672">
        <v>9281</v>
      </c>
      <c r="N1672">
        <v>0.13489999999999999</v>
      </c>
      <c r="O1672">
        <v>9</v>
      </c>
      <c r="Q1672">
        <v>4</v>
      </c>
    </row>
    <row r="1673" spans="1:17" x14ac:dyDescent="0.25">
      <c r="A1673" t="s">
        <v>564</v>
      </c>
      <c r="B1673" t="s">
        <v>30</v>
      </c>
      <c r="C1673" t="s">
        <v>260</v>
      </c>
      <c r="D1673" t="s">
        <v>59</v>
      </c>
      <c r="E1673" t="s">
        <v>72</v>
      </c>
      <c r="F1673" t="s">
        <v>78</v>
      </c>
      <c r="G1673" t="s">
        <v>705</v>
      </c>
      <c r="H1673" t="s">
        <v>10024</v>
      </c>
      <c r="I1673">
        <v>2.7858930043532969E-2</v>
      </c>
      <c r="J1673">
        <v>276572</v>
      </c>
      <c r="K1673">
        <v>4.6648624758583529E-2</v>
      </c>
      <c r="L1673">
        <v>165171</v>
      </c>
      <c r="M1673">
        <v>7705</v>
      </c>
      <c r="N1673">
        <v>6.2100000000000002E-2</v>
      </c>
      <c r="O1673">
        <v>10</v>
      </c>
    </row>
    <row r="1674" spans="1:17" x14ac:dyDescent="0.25">
      <c r="A1674" t="s">
        <v>564</v>
      </c>
      <c r="B1674" t="s">
        <v>30</v>
      </c>
      <c r="C1674" t="s">
        <v>260</v>
      </c>
      <c r="D1674" t="s">
        <v>59</v>
      </c>
      <c r="E1674" t="s">
        <v>72</v>
      </c>
      <c r="F1674" t="s">
        <v>73</v>
      </c>
      <c r="G1674" t="s">
        <v>706</v>
      </c>
      <c r="H1674" t="s">
        <v>10028</v>
      </c>
      <c r="I1674">
        <v>2.236307363001316E-2</v>
      </c>
      <c r="J1674">
        <v>276572</v>
      </c>
      <c r="K1674">
        <v>3.7446040769868801E-2</v>
      </c>
      <c r="L1674">
        <v>165171</v>
      </c>
      <c r="M1674">
        <v>6185</v>
      </c>
      <c r="N1674">
        <v>7.7299999999999994E-2</v>
      </c>
      <c r="O1674">
        <v>11</v>
      </c>
      <c r="Q1674">
        <v>6</v>
      </c>
    </row>
    <row r="1675" spans="1:17" x14ac:dyDescent="0.25">
      <c r="A1675" t="s">
        <v>564</v>
      </c>
      <c r="B1675" t="s">
        <v>30</v>
      </c>
      <c r="C1675" t="s">
        <v>260</v>
      </c>
      <c r="D1675" t="s">
        <v>59</v>
      </c>
      <c r="E1675" t="s">
        <v>72</v>
      </c>
      <c r="F1675" t="s">
        <v>74</v>
      </c>
      <c r="G1675" t="s">
        <v>708</v>
      </c>
      <c r="H1675" t="s">
        <v>10029</v>
      </c>
      <c r="I1675">
        <v>5.4018483432885468E-3</v>
      </c>
      <c r="J1675">
        <v>276572</v>
      </c>
      <c r="K1675">
        <v>9.0451713678551312E-3</v>
      </c>
      <c r="L1675">
        <v>165171</v>
      </c>
      <c r="M1675">
        <v>1494</v>
      </c>
      <c r="O1675">
        <v>12</v>
      </c>
      <c r="Q1675">
        <v>9</v>
      </c>
    </row>
    <row r="1676" spans="1:17" x14ac:dyDescent="0.25">
      <c r="A1676" t="s">
        <v>564</v>
      </c>
      <c r="B1676" t="s">
        <v>30</v>
      </c>
      <c r="C1676" t="s">
        <v>260</v>
      </c>
      <c r="D1676" t="s">
        <v>59</v>
      </c>
      <c r="E1676" t="s">
        <v>68</v>
      </c>
      <c r="F1676" t="s">
        <v>70</v>
      </c>
      <c r="G1676" t="s">
        <v>707</v>
      </c>
      <c r="H1676" t="s">
        <v>10031</v>
      </c>
      <c r="I1676">
        <v>1.402889663451109E-3</v>
      </c>
      <c r="J1676">
        <v>276572</v>
      </c>
      <c r="K1676">
        <v>2.3490806497508641E-3</v>
      </c>
      <c r="L1676">
        <v>165171</v>
      </c>
      <c r="M1676">
        <v>388</v>
      </c>
      <c r="O1676">
        <v>13</v>
      </c>
      <c r="Q1676">
        <v>10</v>
      </c>
    </row>
    <row r="1677" spans="1:17" x14ac:dyDescent="0.25">
      <c r="A1677" t="s">
        <v>564</v>
      </c>
      <c r="B1677" t="s">
        <v>30</v>
      </c>
      <c r="C1677" t="s">
        <v>260</v>
      </c>
      <c r="D1677" t="s">
        <v>59</v>
      </c>
      <c r="E1677" t="s">
        <v>64</v>
      </c>
      <c r="F1677" t="s">
        <v>67</v>
      </c>
      <c r="G1677" t="s">
        <v>709</v>
      </c>
      <c r="H1677" t="s">
        <v>10032</v>
      </c>
      <c r="I1677">
        <v>3.9772645097840712E-4</v>
      </c>
      <c r="J1677">
        <v>276572</v>
      </c>
      <c r="K1677">
        <v>6.6597647286751303E-4</v>
      </c>
      <c r="L1677">
        <v>165171</v>
      </c>
      <c r="M1677">
        <v>110</v>
      </c>
      <c r="N1677">
        <v>9.01E-2</v>
      </c>
      <c r="O1677">
        <v>14</v>
      </c>
      <c r="Q1677">
        <v>5</v>
      </c>
    </row>
    <row r="1678" spans="1:17" x14ac:dyDescent="0.25">
      <c r="A1678" t="s">
        <v>564</v>
      </c>
      <c r="B1678" t="s">
        <v>30</v>
      </c>
      <c r="C1678" t="s">
        <v>260</v>
      </c>
      <c r="D1678" t="s">
        <v>59</v>
      </c>
      <c r="E1678" t="s">
        <v>72</v>
      </c>
      <c r="F1678" t="s">
        <v>75</v>
      </c>
      <c r="G1678" t="s">
        <v>710</v>
      </c>
      <c r="H1678" t="s">
        <v>10033</v>
      </c>
      <c r="I1678">
        <v>1.699376654180467E-4</v>
      </c>
      <c r="J1678">
        <v>276572</v>
      </c>
      <c r="K1678">
        <v>2.8455358386157378E-4</v>
      </c>
      <c r="L1678">
        <v>165171</v>
      </c>
      <c r="M1678">
        <v>47</v>
      </c>
      <c r="O1678">
        <v>15</v>
      </c>
      <c r="Q1678">
        <v>7</v>
      </c>
    </row>
    <row r="1679" spans="1:17" x14ac:dyDescent="0.25">
      <c r="A1679" t="s">
        <v>564</v>
      </c>
      <c r="B1679" t="s">
        <v>30</v>
      </c>
      <c r="C1679" t="s">
        <v>260</v>
      </c>
      <c r="D1679" t="s">
        <v>59</v>
      </c>
      <c r="E1679" t="s">
        <v>64</v>
      </c>
      <c r="F1679" t="s">
        <v>8535</v>
      </c>
      <c r="G1679" t="s">
        <v>8536</v>
      </c>
      <c r="H1679" t="s">
        <v>10034</v>
      </c>
      <c r="I1679">
        <v>3.61569500889461E-6</v>
      </c>
      <c r="J1679">
        <v>276572</v>
      </c>
      <c r="K1679">
        <v>6.0543315715228464E-6</v>
      </c>
      <c r="L1679">
        <v>165171</v>
      </c>
      <c r="M1679">
        <v>1</v>
      </c>
      <c r="O1679">
        <v>16</v>
      </c>
    </row>
    <row r="1680" spans="1:17" x14ac:dyDescent="0.25">
      <c r="A1680" t="s">
        <v>564</v>
      </c>
      <c r="B1680" t="s">
        <v>30</v>
      </c>
      <c r="C1680" t="s">
        <v>260</v>
      </c>
      <c r="D1680" t="s">
        <v>59</v>
      </c>
      <c r="E1680" t="s">
        <v>64</v>
      </c>
      <c r="F1680" t="s">
        <v>8547</v>
      </c>
      <c r="G1680" t="s">
        <v>8548</v>
      </c>
      <c r="H1680" t="s">
        <v>10030</v>
      </c>
      <c r="J1680">
        <v>276572</v>
      </c>
      <c r="L1680">
        <v>165171</v>
      </c>
      <c r="O1680">
        <v>17</v>
      </c>
    </row>
    <row r="1681" spans="1:17" x14ac:dyDescent="0.25">
      <c r="A1681" t="s">
        <v>564</v>
      </c>
      <c r="B1681" t="s">
        <v>30</v>
      </c>
      <c r="C1681" t="s">
        <v>260</v>
      </c>
      <c r="D1681" t="s">
        <v>59</v>
      </c>
      <c r="E1681" t="s">
        <v>68</v>
      </c>
      <c r="F1681" t="s">
        <v>71</v>
      </c>
      <c r="G1681" t="s">
        <v>8538</v>
      </c>
      <c r="H1681" t="s">
        <v>10035</v>
      </c>
      <c r="J1681">
        <v>276572</v>
      </c>
      <c r="L1681">
        <v>165171</v>
      </c>
      <c r="O1681">
        <v>18</v>
      </c>
    </row>
    <row r="1682" spans="1:17" x14ac:dyDescent="0.25">
      <c r="A1682" t="s">
        <v>564</v>
      </c>
      <c r="B1682" t="s">
        <v>30</v>
      </c>
      <c r="C1682" t="s">
        <v>260</v>
      </c>
      <c r="D1682" t="s">
        <v>59</v>
      </c>
      <c r="E1682" t="s">
        <v>64</v>
      </c>
      <c r="F1682" t="s">
        <v>8543</v>
      </c>
      <c r="G1682" t="s">
        <v>8544</v>
      </c>
      <c r="H1682" t="s">
        <v>10037</v>
      </c>
      <c r="J1682">
        <v>276572</v>
      </c>
      <c r="L1682">
        <v>165171</v>
      </c>
      <c r="O1682">
        <v>19</v>
      </c>
    </row>
    <row r="1683" spans="1:17" x14ac:dyDescent="0.25">
      <c r="A1683" t="s">
        <v>564</v>
      </c>
      <c r="B1683" t="s">
        <v>30</v>
      </c>
      <c r="C1683" t="s">
        <v>260</v>
      </c>
      <c r="D1683" t="s">
        <v>59</v>
      </c>
      <c r="E1683" t="s">
        <v>72</v>
      </c>
      <c r="F1683" t="s">
        <v>352</v>
      </c>
      <c r="G1683" t="s">
        <v>1117</v>
      </c>
      <c r="H1683" t="s">
        <v>10036</v>
      </c>
      <c r="J1683">
        <v>276572</v>
      </c>
      <c r="L1683">
        <v>165171</v>
      </c>
      <c r="O1683">
        <v>20</v>
      </c>
      <c r="Q1683">
        <v>8</v>
      </c>
    </row>
    <row r="1684" spans="1:17" x14ac:dyDescent="0.25">
      <c r="A1684" t="s">
        <v>564</v>
      </c>
      <c r="B1684" t="s">
        <v>30</v>
      </c>
      <c r="C1684" t="s">
        <v>260</v>
      </c>
      <c r="D1684" t="s">
        <v>59</v>
      </c>
      <c r="E1684" t="s">
        <v>64</v>
      </c>
      <c r="F1684" t="s">
        <v>470</v>
      </c>
      <c r="G1684" t="s">
        <v>8540</v>
      </c>
      <c r="H1684" t="s">
        <v>10023</v>
      </c>
      <c r="J1684">
        <v>276572</v>
      </c>
      <c r="L1684">
        <v>165171</v>
      </c>
      <c r="O1684">
        <v>21</v>
      </c>
    </row>
    <row r="1685" spans="1:17" x14ac:dyDescent="0.25">
      <c r="A1685" t="s">
        <v>564</v>
      </c>
      <c r="B1685" t="s">
        <v>30</v>
      </c>
      <c r="C1685" t="s">
        <v>473</v>
      </c>
      <c r="D1685" t="s">
        <v>76</v>
      </c>
      <c r="E1685" t="s">
        <v>78</v>
      </c>
      <c r="F1685" t="s">
        <v>78</v>
      </c>
      <c r="G1685" t="s">
        <v>575</v>
      </c>
      <c r="H1685" t="s">
        <v>10038</v>
      </c>
      <c r="I1685">
        <v>0.45961602322063289</v>
      </c>
      <c r="J1685">
        <v>81307</v>
      </c>
      <c r="K1685">
        <v>1</v>
      </c>
      <c r="L1685">
        <v>37370</v>
      </c>
      <c r="M1685">
        <v>37370</v>
      </c>
      <c r="N1685">
        <v>0.15040000000000001</v>
      </c>
      <c r="O1685">
        <v>1</v>
      </c>
    </row>
    <row r="1686" spans="1:17" x14ac:dyDescent="0.25">
      <c r="A1686" t="s">
        <v>564</v>
      </c>
      <c r="B1686" t="s">
        <v>30</v>
      </c>
      <c r="C1686" t="s">
        <v>473</v>
      </c>
      <c r="D1686" t="s">
        <v>76</v>
      </c>
      <c r="E1686" t="s">
        <v>80</v>
      </c>
      <c r="F1686" t="s">
        <v>78</v>
      </c>
      <c r="G1686" t="s">
        <v>576</v>
      </c>
      <c r="H1686" t="s">
        <v>10039</v>
      </c>
      <c r="I1686">
        <v>0.20164315495590779</v>
      </c>
      <c r="J1686">
        <v>81307</v>
      </c>
      <c r="K1686">
        <v>0.43872089911693868</v>
      </c>
      <c r="L1686">
        <v>37370</v>
      </c>
      <c r="M1686">
        <v>16395</v>
      </c>
      <c r="N1686">
        <v>8.3599999999999994E-2</v>
      </c>
      <c r="O1686">
        <v>2</v>
      </c>
      <c r="P1686">
        <v>1</v>
      </c>
    </row>
    <row r="1687" spans="1:17" x14ac:dyDescent="0.25">
      <c r="A1687" t="s">
        <v>564</v>
      </c>
      <c r="B1687" t="s">
        <v>30</v>
      </c>
      <c r="C1687" t="s">
        <v>473</v>
      </c>
      <c r="D1687" t="s">
        <v>76</v>
      </c>
      <c r="E1687" t="s">
        <v>80</v>
      </c>
      <c r="F1687" t="s">
        <v>8326</v>
      </c>
      <c r="G1687" t="s">
        <v>8327</v>
      </c>
      <c r="H1687" t="s">
        <v>10040</v>
      </c>
      <c r="I1687">
        <v>0.2006592298326097</v>
      </c>
      <c r="J1687">
        <v>81307</v>
      </c>
      <c r="K1687">
        <v>0.43658014450093657</v>
      </c>
      <c r="L1687">
        <v>37370</v>
      </c>
      <c r="M1687">
        <v>16315</v>
      </c>
      <c r="N1687">
        <v>8.3500000000000005E-2</v>
      </c>
      <c r="O1687">
        <v>3</v>
      </c>
    </row>
    <row r="1688" spans="1:17" x14ac:dyDescent="0.25">
      <c r="A1688" t="s">
        <v>564</v>
      </c>
      <c r="B1688" t="s">
        <v>30</v>
      </c>
      <c r="C1688" t="s">
        <v>473</v>
      </c>
      <c r="D1688" t="s">
        <v>76</v>
      </c>
      <c r="E1688" t="s">
        <v>83</v>
      </c>
      <c r="F1688" t="s">
        <v>78</v>
      </c>
      <c r="G1688" t="s">
        <v>580</v>
      </c>
      <c r="H1688" t="s">
        <v>10041</v>
      </c>
      <c r="I1688">
        <v>0.12383927583110919</v>
      </c>
      <c r="J1688">
        <v>81307</v>
      </c>
      <c r="K1688">
        <v>0.26944072785656942</v>
      </c>
      <c r="L1688">
        <v>37370</v>
      </c>
      <c r="M1688">
        <v>10069</v>
      </c>
      <c r="N1688">
        <v>0.36530000000000001</v>
      </c>
      <c r="O1688">
        <v>4</v>
      </c>
      <c r="P1688">
        <v>2</v>
      </c>
    </row>
    <row r="1689" spans="1:17" x14ac:dyDescent="0.25">
      <c r="A1689" t="s">
        <v>564</v>
      </c>
      <c r="B1689" t="s">
        <v>30</v>
      </c>
      <c r="C1689" t="s">
        <v>473</v>
      </c>
      <c r="D1689" t="s">
        <v>76</v>
      </c>
      <c r="E1689" t="s">
        <v>82</v>
      </c>
      <c r="F1689" t="s">
        <v>78</v>
      </c>
      <c r="G1689" t="s">
        <v>579</v>
      </c>
      <c r="H1689" t="s">
        <v>10042</v>
      </c>
      <c r="I1689">
        <v>8.7446345333120151E-2</v>
      </c>
      <c r="J1689">
        <v>81307</v>
      </c>
      <c r="K1689">
        <v>0.19025956649719031</v>
      </c>
      <c r="L1689">
        <v>37370</v>
      </c>
      <c r="M1689">
        <v>7110</v>
      </c>
      <c r="N1689">
        <v>0.12330000000000001</v>
      </c>
      <c r="O1689">
        <v>5</v>
      </c>
      <c r="P1689">
        <v>3</v>
      </c>
    </row>
    <row r="1690" spans="1:17" x14ac:dyDescent="0.25">
      <c r="A1690" t="s">
        <v>564</v>
      </c>
      <c r="B1690" t="s">
        <v>30</v>
      </c>
      <c r="C1690" t="s">
        <v>473</v>
      </c>
      <c r="D1690" t="s">
        <v>76</v>
      </c>
      <c r="E1690" t="s">
        <v>77</v>
      </c>
      <c r="F1690" t="s">
        <v>78</v>
      </c>
      <c r="G1690" t="s">
        <v>581</v>
      </c>
      <c r="H1690" t="s">
        <v>10044</v>
      </c>
      <c r="I1690">
        <v>4.7449789071051691E-2</v>
      </c>
      <c r="J1690">
        <v>81307</v>
      </c>
      <c r="K1690">
        <v>0.10323789135670321</v>
      </c>
      <c r="L1690">
        <v>37370</v>
      </c>
      <c r="M1690">
        <v>3858</v>
      </c>
      <c r="N1690">
        <v>0.1547</v>
      </c>
      <c r="O1690">
        <v>6</v>
      </c>
      <c r="P1690">
        <v>4</v>
      </c>
    </row>
    <row r="1691" spans="1:17" x14ac:dyDescent="0.25">
      <c r="A1691" t="s">
        <v>564</v>
      </c>
      <c r="B1691" t="s">
        <v>30</v>
      </c>
      <c r="C1691" t="s">
        <v>473</v>
      </c>
      <c r="D1691" t="s">
        <v>76</v>
      </c>
      <c r="E1691" t="s">
        <v>81</v>
      </c>
      <c r="F1691" t="s">
        <v>78</v>
      </c>
      <c r="G1691" t="s">
        <v>578</v>
      </c>
      <c r="H1691" t="s">
        <v>10043</v>
      </c>
      <c r="I1691">
        <v>4.6736443356660558E-2</v>
      </c>
      <c r="J1691">
        <v>81307</v>
      </c>
      <c r="K1691">
        <v>0.1016858442601017</v>
      </c>
      <c r="L1691">
        <v>37370</v>
      </c>
      <c r="M1691">
        <v>3800</v>
      </c>
      <c r="N1691">
        <v>0.05</v>
      </c>
      <c r="O1691">
        <v>7</v>
      </c>
      <c r="P1691">
        <v>6</v>
      </c>
    </row>
    <row r="1692" spans="1:17" x14ac:dyDescent="0.25">
      <c r="A1692" t="s">
        <v>564</v>
      </c>
      <c r="B1692" t="s">
        <v>30</v>
      </c>
      <c r="C1692" t="s">
        <v>473</v>
      </c>
      <c r="D1692" t="s">
        <v>76</v>
      </c>
      <c r="E1692" t="s">
        <v>81</v>
      </c>
      <c r="F1692" t="s">
        <v>585</v>
      </c>
      <c r="G1692" t="s">
        <v>586</v>
      </c>
      <c r="H1692" t="s">
        <v>10045</v>
      </c>
      <c r="I1692">
        <v>3.010810877292238E-2</v>
      </c>
      <c r="J1692">
        <v>81307</v>
      </c>
      <c r="K1692">
        <v>6.5507091249665514E-2</v>
      </c>
      <c r="L1692">
        <v>37370</v>
      </c>
      <c r="M1692">
        <v>2448</v>
      </c>
      <c r="N1692">
        <v>1.55E-2</v>
      </c>
      <c r="O1692">
        <v>8</v>
      </c>
    </row>
    <row r="1693" spans="1:17" x14ac:dyDescent="0.25">
      <c r="A1693" t="s">
        <v>564</v>
      </c>
      <c r="B1693" t="s">
        <v>30</v>
      </c>
      <c r="C1693" t="s">
        <v>473</v>
      </c>
      <c r="D1693" t="s">
        <v>76</v>
      </c>
      <c r="E1693" t="s">
        <v>592</v>
      </c>
      <c r="F1693" t="s">
        <v>78</v>
      </c>
      <c r="G1693" t="s">
        <v>593</v>
      </c>
      <c r="H1693" t="s">
        <v>10048</v>
      </c>
      <c r="I1693">
        <v>2.449973557012311E-2</v>
      </c>
      <c r="J1693">
        <v>81307</v>
      </c>
      <c r="K1693">
        <v>5.3304789938453313E-2</v>
      </c>
      <c r="L1693">
        <v>37370</v>
      </c>
      <c r="M1693">
        <v>1992</v>
      </c>
      <c r="N1693">
        <v>8.48E-2</v>
      </c>
      <c r="O1693">
        <v>9</v>
      </c>
    </row>
    <row r="1694" spans="1:17" x14ac:dyDescent="0.25">
      <c r="A1694" t="s">
        <v>564</v>
      </c>
      <c r="B1694" t="s">
        <v>30</v>
      </c>
      <c r="C1694" t="s">
        <v>473</v>
      </c>
      <c r="D1694" t="s">
        <v>76</v>
      </c>
      <c r="E1694" t="s">
        <v>84</v>
      </c>
      <c r="F1694" t="s">
        <v>78</v>
      </c>
      <c r="G1694" t="s">
        <v>589</v>
      </c>
      <c r="H1694" t="s">
        <v>10046</v>
      </c>
      <c r="I1694">
        <v>2.2544184387568101E-2</v>
      </c>
      <c r="J1694">
        <v>81307</v>
      </c>
      <c r="K1694">
        <v>4.905004013914905E-2</v>
      </c>
      <c r="L1694">
        <v>37370</v>
      </c>
      <c r="M1694">
        <v>1833</v>
      </c>
      <c r="N1694">
        <v>0.1772</v>
      </c>
      <c r="O1694">
        <v>10</v>
      </c>
      <c r="P1694">
        <v>7</v>
      </c>
    </row>
    <row r="1695" spans="1:17" x14ac:dyDescent="0.25">
      <c r="A1695" t="s">
        <v>564</v>
      </c>
      <c r="B1695" t="s">
        <v>30</v>
      </c>
      <c r="C1695" t="s">
        <v>473</v>
      </c>
      <c r="D1695" t="s">
        <v>76</v>
      </c>
      <c r="E1695" t="s">
        <v>608</v>
      </c>
      <c r="F1695" t="s">
        <v>78</v>
      </c>
      <c r="G1695" t="s">
        <v>609</v>
      </c>
      <c r="H1695" t="s">
        <v>10050</v>
      </c>
      <c r="I1695">
        <v>1.558291414023393E-2</v>
      </c>
      <c r="J1695">
        <v>81307</v>
      </c>
      <c r="K1695">
        <v>3.3904201230933913E-2</v>
      </c>
      <c r="L1695">
        <v>37370</v>
      </c>
      <c r="M1695">
        <v>1267</v>
      </c>
      <c r="N1695">
        <v>0.47089999999999999</v>
      </c>
      <c r="O1695">
        <v>11</v>
      </c>
    </row>
    <row r="1696" spans="1:17" x14ac:dyDescent="0.25">
      <c r="A1696" t="s">
        <v>564</v>
      </c>
      <c r="B1696" t="s">
        <v>30</v>
      </c>
      <c r="C1696" t="s">
        <v>473</v>
      </c>
      <c r="D1696" t="s">
        <v>76</v>
      </c>
      <c r="E1696" t="s">
        <v>606</v>
      </c>
      <c r="F1696" t="s">
        <v>78</v>
      </c>
      <c r="G1696" t="s">
        <v>607</v>
      </c>
      <c r="H1696" t="s">
        <v>10049</v>
      </c>
      <c r="I1696">
        <v>1.532463379536817E-2</v>
      </c>
      <c r="J1696">
        <v>81307</v>
      </c>
      <c r="K1696">
        <v>3.3342253144233343E-2</v>
      </c>
      <c r="L1696">
        <v>37370</v>
      </c>
      <c r="M1696">
        <v>1246</v>
      </c>
      <c r="N1696">
        <v>0.19889999999999999</v>
      </c>
      <c r="O1696">
        <v>12</v>
      </c>
    </row>
    <row r="1697" spans="1:16" x14ac:dyDescent="0.25">
      <c r="A1697" t="s">
        <v>564</v>
      </c>
      <c r="B1697" t="s">
        <v>30</v>
      </c>
      <c r="C1697" t="s">
        <v>473</v>
      </c>
      <c r="D1697" t="s">
        <v>76</v>
      </c>
      <c r="E1697" t="s">
        <v>598</v>
      </c>
      <c r="F1697" t="s">
        <v>78</v>
      </c>
      <c r="G1697" t="s">
        <v>599</v>
      </c>
      <c r="H1697" t="s">
        <v>10057</v>
      </c>
      <c r="I1697">
        <v>1.3750353598091189E-2</v>
      </c>
      <c r="J1697">
        <v>81307</v>
      </c>
      <c r="K1697">
        <v>2.9917045758629919E-2</v>
      </c>
      <c r="L1697">
        <v>37370</v>
      </c>
      <c r="M1697">
        <v>1118</v>
      </c>
      <c r="N1697">
        <v>2.41E-2</v>
      </c>
      <c r="O1697">
        <v>13</v>
      </c>
    </row>
    <row r="1698" spans="1:16" x14ac:dyDescent="0.25">
      <c r="A1698" t="s">
        <v>564</v>
      </c>
      <c r="B1698" t="s">
        <v>30</v>
      </c>
      <c r="C1698" t="s">
        <v>473</v>
      </c>
      <c r="D1698" t="s">
        <v>76</v>
      </c>
      <c r="E1698" t="s">
        <v>79</v>
      </c>
      <c r="F1698" t="s">
        <v>78</v>
      </c>
      <c r="G1698" t="s">
        <v>577</v>
      </c>
      <c r="H1698" t="s">
        <v>10047</v>
      </c>
      <c r="I1698">
        <v>1.3246091972400899E-2</v>
      </c>
      <c r="J1698">
        <v>81307</v>
      </c>
      <c r="K1698">
        <v>2.8819909017928819E-2</v>
      </c>
      <c r="L1698">
        <v>37370</v>
      </c>
      <c r="M1698">
        <v>1077</v>
      </c>
      <c r="N1698">
        <v>0.1762</v>
      </c>
      <c r="O1698">
        <v>14</v>
      </c>
      <c r="P1698">
        <v>5</v>
      </c>
    </row>
    <row r="1699" spans="1:16" x14ac:dyDescent="0.25">
      <c r="A1699" t="s">
        <v>564</v>
      </c>
      <c r="B1699" t="s">
        <v>30</v>
      </c>
      <c r="C1699" t="s">
        <v>473</v>
      </c>
      <c r="D1699" t="s">
        <v>76</v>
      </c>
      <c r="E1699" t="s">
        <v>346</v>
      </c>
      <c r="F1699" t="s">
        <v>78</v>
      </c>
      <c r="G1699" t="s">
        <v>584</v>
      </c>
      <c r="H1699" t="s">
        <v>10053</v>
      </c>
      <c r="I1699">
        <v>1.320919478027722E-2</v>
      </c>
      <c r="J1699">
        <v>81307</v>
      </c>
      <c r="K1699">
        <v>2.873963071982874E-2</v>
      </c>
      <c r="L1699">
        <v>37370</v>
      </c>
      <c r="M1699">
        <v>1074</v>
      </c>
      <c r="N1699">
        <v>3.44E-2</v>
      </c>
      <c r="O1699">
        <v>15</v>
      </c>
    </row>
    <row r="1700" spans="1:16" x14ac:dyDescent="0.25">
      <c r="A1700" t="s">
        <v>564</v>
      </c>
      <c r="B1700" t="s">
        <v>30</v>
      </c>
      <c r="C1700" t="s">
        <v>473</v>
      </c>
      <c r="D1700" t="s">
        <v>76</v>
      </c>
      <c r="E1700" t="s">
        <v>592</v>
      </c>
      <c r="F1700" t="s">
        <v>624</v>
      </c>
      <c r="G1700" t="s">
        <v>625</v>
      </c>
      <c r="H1700" t="s">
        <v>10056</v>
      </c>
      <c r="I1700">
        <v>1.2089979952525609E-2</v>
      </c>
      <c r="J1700">
        <v>81307</v>
      </c>
      <c r="K1700">
        <v>2.6304522344126301E-2</v>
      </c>
      <c r="L1700">
        <v>37370</v>
      </c>
      <c r="M1700">
        <v>983</v>
      </c>
      <c r="N1700">
        <v>6.5100000000000005E-2</v>
      </c>
      <c r="O1700">
        <v>16</v>
      </c>
    </row>
    <row r="1701" spans="1:16" x14ac:dyDescent="0.25">
      <c r="A1701" t="s">
        <v>564</v>
      </c>
      <c r="B1701" t="s">
        <v>30</v>
      </c>
      <c r="C1701" t="s">
        <v>473</v>
      </c>
      <c r="D1701" t="s">
        <v>76</v>
      </c>
      <c r="E1701" t="s">
        <v>81</v>
      </c>
      <c r="F1701" t="s">
        <v>590</v>
      </c>
      <c r="G1701" t="s">
        <v>591</v>
      </c>
      <c r="H1701" t="s">
        <v>10054</v>
      </c>
      <c r="I1701">
        <v>1.0700185715867019E-2</v>
      </c>
      <c r="J1701">
        <v>81307</v>
      </c>
      <c r="K1701">
        <v>2.3280706449023279E-2</v>
      </c>
      <c r="L1701">
        <v>37370</v>
      </c>
      <c r="M1701">
        <v>870</v>
      </c>
      <c r="N1701">
        <v>0.13550000000000001</v>
      </c>
      <c r="O1701">
        <v>17</v>
      </c>
    </row>
    <row r="1702" spans="1:16" x14ac:dyDescent="0.25">
      <c r="A1702" t="s">
        <v>564</v>
      </c>
      <c r="B1702" t="s">
        <v>30</v>
      </c>
      <c r="C1702" t="s">
        <v>473</v>
      </c>
      <c r="D1702" t="s">
        <v>76</v>
      </c>
      <c r="E1702" t="s">
        <v>600</v>
      </c>
      <c r="F1702" t="s">
        <v>78</v>
      </c>
      <c r="G1702" t="s">
        <v>601</v>
      </c>
      <c r="H1702" t="s">
        <v>10052</v>
      </c>
      <c r="I1702">
        <v>1.0441905371001269E-2</v>
      </c>
      <c r="J1702">
        <v>81307</v>
      </c>
      <c r="K1702">
        <v>2.2718758362322719E-2</v>
      </c>
      <c r="L1702">
        <v>37370</v>
      </c>
      <c r="M1702">
        <v>849</v>
      </c>
      <c r="N1702">
        <v>0.1012</v>
      </c>
      <c r="O1702">
        <v>18</v>
      </c>
    </row>
    <row r="1703" spans="1:16" x14ac:dyDescent="0.25">
      <c r="A1703" t="s">
        <v>564</v>
      </c>
      <c r="B1703" t="s">
        <v>30</v>
      </c>
      <c r="C1703" t="s">
        <v>473</v>
      </c>
      <c r="D1703" t="s">
        <v>76</v>
      </c>
      <c r="E1703" t="s">
        <v>592</v>
      </c>
      <c r="F1703" t="s">
        <v>811</v>
      </c>
      <c r="G1703" t="s">
        <v>812</v>
      </c>
      <c r="H1703" t="s">
        <v>10059</v>
      </c>
      <c r="I1703">
        <v>6.7890833507570072E-3</v>
      </c>
      <c r="J1703">
        <v>81307</v>
      </c>
      <c r="K1703">
        <v>1.477120685041477E-2</v>
      </c>
      <c r="L1703">
        <v>37370</v>
      </c>
      <c r="M1703">
        <v>552</v>
      </c>
      <c r="N1703">
        <v>8.8599999999999998E-2</v>
      </c>
      <c r="O1703">
        <v>19</v>
      </c>
    </row>
    <row r="1704" spans="1:16" x14ac:dyDescent="0.25">
      <c r="A1704" t="s">
        <v>564</v>
      </c>
      <c r="B1704" t="s">
        <v>30</v>
      </c>
      <c r="C1704" t="s">
        <v>473</v>
      </c>
      <c r="D1704" t="s">
        <v>76</v>
      </c>
      <c r="E1704" t="s">
        <v>600</v>
      </c>
      <c r="F1704" t="s">
        <v>614</v>
      </c>
      <c r="G1704" t="s">
        <v>615</v>
      </c>
      <c r="H1704" t="s">
        <v>10055</v>
      </c>
      <c r="I1704">
        <v>6.5308030058912519E-3</v>
      </c>
      <c r="J1704">
        <v>81307</v>
      </c>
      <c r="K1704">
        <v>1.4209258763714211E-2</v>
      </c>
      <c r="L1704">
        <v>37370</v>
      </c>
      <c r="M1704">
        <v>531</v>
      </c>
      <c r="N1704">
        <v>6.0199999999999997E-2</v>
      </c>
      <c r="O1704">
        <v>20</v>
      </c>
    </row>
    <row r="1705" spans="1:16" x14ac:dyDescent="0.25">
      <c r="A1705" t="s">
        <v>564</v>
      </c>
      <c r="B1705" t="s">
        <v>30</v>
      </c>
      <c r="C1705" t="s">
        <v>473</v>
      </c>
      <c r="D1705" t="s">
        <v>76</v>
      </c>
      <c r="E1705" t="s">
        <v>592</v>
      </c>
      <c r="F1705" t="s">
        <v>803</v>
      </c>
      <c r="G1705" t="s">
        <v>804</v>
      </c>
      <c r="H1705" t="s">
        <v>10061</v>
      </c>
      <c r="I1705">
        <v>6.2110273408193632E-3</v>
      </c>
      <c r="J1705">
        <v>81307</v>
      </c>
      <c r="K1705">
        <v>1.3513513513513511E-2</v>
      </c>
      <c r="L1705">
        <v>37370</v>
      </c>
      <c r="M1705">
        <v>505</v>
      </c>
      <c r="N1705">
        <v>0.11459999999999999</v>
      </c>
      <c r="O1705">
        <v>21</v>
      </c>
    </row>
    <row r="1706" spans="1:16" x14ac:dyDescent="0.25">
      <c r="A1706" t="s">
        <v>564</v>
      </c>
      <c r="B1706" t="s">
        <v>30</v>
      </c>
      <c r="C1706" t="s">
        <v>473</v>
      </c>
      <c r="D1706" t="s">
        <v>76</v>
      </c>
      <c r="E1706" t="s">
        <v>602</v>
      </c>
      <c r="F1706" t="s">
        <v>78</v>
      </c>
      <c r="G1706" t="s">
        <v>603</v>
      </c>
      <c r="H1706" t="s">
        <v>10058</v>
      </c>
      <c r="I1706">
        <v>5.6206722668404926E-3</v>
      </c>
      <c r="J1706">
        <v>81307</v>
      </c>
      <c r="K1706">
        <v>1.222906074391223E-2</v>
      </c>
      <c r="L1706">
        <v>37370</v>
      </c>
      <c r="M1706">
        <v>457</v>
      </c>
      <c r="N1706">
        <v>0.1004</v>
      </c>
      <c r="O1706">
        <v>22</v>
      </c>
    </row>
    <row r="1707" spans="1:16" x14ac:dyDescent="0.25">
      <c r="A1707" t="s">
        <v>564</v>
      </c>
      <c r="B1707" t="s">
        <v>30</v>
      </c>
      <c r="C1707" t="s">
        <v>473</v>
      </c>
      <c r="D1707" t="s">
        <v>76</v>
      </c>
      <c r="E1707" t="s">
        <v>81</v>
      </c>
      <c r="F1707" t="s">
        <v>582</v>
      </c>
      <c r="G1707" t="s">
        <v>583</v>
      </c>
      <c r="H1707" t="s">
        <v>10051</v>
      </c>
      <c r="I1707">
        <v>5.2025040894387933E-3</v>
      </c>
      <c r="J1707">
        <v>81307</v>
      </c>
      <c r="K1707">
        <v>1.131924003211132E-2</v>
      </c>
      <c r="L1707">
        <v>37370</v>
      </c>
      <c r="M1707">
        <v>423</v>
      </c>
      <c r="N1707">
        <v>8.2600000000000007E-2</v>
      </c>
      <c r="O1707">
        <v>23</v>
      </c>
    </row>
    <row r="1708" spans="1:16" x14ac:dyDescent="0.25">
      <c r="A1708" t="s">
        <v>564</v>
      </c>
      <c r="B1708" t="s">
        <v>30</v>
      </c>
      <c r="C1708" t="s">
        <v>473</v>
      </c>
      <c r="D1708" t="s">
        <v>76</v>
      </c>
      <c r="E1708" t="s">
        <v>600</v>
      </c>
      <c r="F1708" t="s">
        <v>612</v>
      </c>
      <c r="G1708" t="s">
        <v>613</v>
      </c>
      <c r="H1708" t="s">
        <v>10064</v>
      </c>
      <c r="I1708">
        <v>4.0094948774398271E-3</v>
      </c>
      <c r="J1708">
        <v>81307</v>
      </c>
      <c r="K1708">
        <v>8.7235750602087242E-3</v>
      </c>
      <c r="L1708">
        <v>37370</v>
      </c>
      <c r="M1708">
        <v>326</v>
      </c>
      <c r="N1708">
        <v>0.1651</v>
      </c>
      <c r="O1708">
        <v>24</v>
      </c>
    </row>
    <row r="1709" spans="1:16" x14ac:dyDescent="0.25">
      <c r="A1709" t="s">
        <v>564</v>
      </c>
      <c r="B1709" t="s">
        <v>30</v>
      </c>
      <c r="C1709" t="s">
        <v>473</v>
      </c>
      <c r="D1709" t="s">
        <v>76</v>
      </c>
      <c r="E1709" t="s">
        <v>634</v>
      </c>
      <c r="F1709" t="s">
        <v>78</v>
      </c>
      <c r="G1709" t="s">
        <v>635</v>
      </c>
      <c r="H1709" t="s">
        <v>10060</v>
      </c>
      <c r="I1709">
        <v>3.6774201483267118E-3</v>
      </c>
      <c r="J1709">
        <v>81307</v>
      </c>
      <c r="K1709">
        <v>8.0010703773080016E-3</v>
      </c>
      <c r="L1709">
        <v>37370</v>
      </c>
      <c r="M1709">
        <v>299</v>
      </c>
      <c r="N1709">
        <v>7.3400000000000007E-2</v>
      </c>
      <c r="O1709">
        <v>25</v>
      </c>
    </row>
    <row r="1710" spans="1:16" x14ac:dyDescent="0.25">
      <c r="A1710" t="s">
        <v>564</v>
      </c>
      <c r="B1710" t="s">
        <v>30</v>
      </c>
      <c r="C1710" t="s">
        <v>473</v>
      </c>
      <c r="D1710" t="s">
        <v>76</v>
      </c>
      <c r="E1710" t="s">
        <v>602</v>
      </c>
      <c r="F1710" t="s">
        <v>616</v>
      </c>
      <c r="G1710" t="s">
        <v>617</v>
      </c>
      <c r="H1710" t="s">
        <v>10062</v>
      </c>
      <c r="I1710">
        <v>3.2961491630486921E-3</v>
      </c>
      <c r="J1710">
        <v>81307</v>
      </c>
      <c r="K1710">
        <v>7.1715279636071719E-3</v>
      </c>
      <c r="L1710">
        <v>37370</v>
      </c>
      <c r="M1710">
        <v>268</v>
      </c>
      <c r="N1710">
        <v>8.1799999999999998E-2</v>
      </c>
      <c r="O1710">
        <v>26</v>
      </c>
    </row>
    <row r="1711" spans="1:16" x14ac:dyDescent="0.25">
      <c r="A1711" t="s">
        <v>564</v>
      </c>
      <c r="B1711" t="s">
        <v>30</v>
      </c>
      <c r="C1711" t="s">
        <v>473</v>
      </c>
      <c r="D1711" t="s">
        <v>76</v>
      </c>
      <c r="E1711" t="s">
        <v>594</v>
      </c>
      <c r="F1711" t="s">
        <v>78</v>
      </c>
      <c r="G1711" t="s">
        <v>595</v>
      </c>
      <c r="H1711" t="s">
        <v>10066</v>
      </c>
      <c r="I1711">
        <v>3.148560394553974E-3</v>
      </c>
      <c r="J1711">
        <v>81307</v>
      </c>
      <c r="K1711">
        <v>6.8504147712068501E-3</v>
      </c>
      <c r="L1711">
        <v>37370</v>
      </c>
      <c r="M1711">
        <v>256</v>
      </c>
      <c r="N1711">
        <v>7.7799999999999994E-2</v>
      </c>
      <c r="O1711">
        <v>27</v>
      </c>
    </row>
    <row r="1712" spans="1:16" x14ac:dyDescent="0.25">
      <c r="A1712" t="s">
        <v>564</v>
      </c>
      <c r="B1712" t="s">
        <v>30</v>
      </c>
      <c r="C1712" t="s">
        <v>473</v>
      </c>
      <c r="D1712" t="s">
        <v>76</v>
      </c>
      <c r="E1712" t="s">
        <v>610</v>
      </c>
      <c r="F1712" t="s">
        <v>78</v>
      </c>
      <c r="G1712" t="s">
        <v>611</v>
      </c>
      <c r="H1712" t="s">
        <v>10065</v>
      </c>
      <c r="I1712">
        <v>2.6565978329049162E-3</v>
      </c>
      <c r="J1712">
        <v>81307</v>
      </c>
      <c r="K1712">
        <v>5.7800374632057802E-3</v>
      </c>
      <c r="L1712">
        <v>37370</v>
      </c>
      <c r="M1712">
        <v>216</v>
      </c>
      <c r="N1712">
        <v>0.23960000000000001</v>
      </c>
      <c r="O1712">
        <v>28</v>
      </c>
    </row>
    <row r="1713" spans="1:15" x14ac:dyDescent="0.25">
      <c r="A1713" t="s">
        <v>564</v>
      </c>
      <c r="B1713" t="s">
        <v>30</v>
      </c>
      <c r="C1713" t="s">
        <v>473</v>
      </c>
      <c r="D1713" t="s">
        <v>76</v>
      </c>
      <c r="E1713" t="s">
        <v>620</v>
      </c>
      <c r="F1713" t="s">
        <v>78</v>
      </c>
      <c r="G1713" t="s">
        <v>621</v>
      </c>
      <c r="H1713" t="s">
        <v>10063</v>
      </c>
      <c r="I1713">
        <v>2.4844109363277461E-3</v>
      </c>
      <c r="J1713">
        <v>81307</v>
      </c>
      <c r="K1713">
        <v>5.4054054054054057E-3</v>
      </c>
      <c r="L1713">
        <v>37370</v>
      </c>
      <c r="M1713">
        <v>202</v>
      </c>
      <c r="N1713">
        <v>0.25619999999999998</v>
      </c>
      <c r="O1713">
        <v>29</v>
      </c>
    </row>
    <row r="1714" spans="1:15" x14ac:dyDescent="0.25">
      <c r="A1714" t="s">
        <v>564</v>
      </c>
      <c r="B1714" t="s">
        <v>30</v>
      </c>
      <c r="C1714" t="s">
        <v>473</v>
      </c>
      <c r="D1714" t="s">
        <v>76</v>
      </c>
      <c r="E1714" t="s">
        <v>626</v>
      </c>
      <c r="F1714" t="s">
        <v>78</v>
      </c>
      <c r="G1714" t="s">
        <v>627</v>
      </c>
      <c r="H1714" t="s">
        <v>10067</v>
      </c>
      <c r="I1714">
        <v>2.3491212318742542E-3</v>
      </c>
      <c r="J1714">
        <v>81307</v>
      </c>
      <c r="K1714">
        <v>5.111051645705111E-3</v>
      </c>
      <c r="L1714">
        <v>37370</v>
      </c>
      <c r="M1714">
        <v>191</v>
      </c>
      <c r="N1714">
        <v>0.14580000000000001</v>
      </c>
      <c r="O1714">
        <v>30</v>
      </c>
    </row>
    <row r="1715" spans="1:15" x14ac:dyDescent="0.25">
      <c r="A1715" t="s">
        <v>564</v>
      </c>
      <c r="B1715" t="s">
        <v>30</v>
      </c>
      <c r="C1715" t="s">
        <v>473</v>
      </c>
      <c r="D1715" t="s">
        <v>76</v>
      </c>
      <c r="E1715" t="s">
        <v>634</v>
      </c>
      <c r="F1715" t="s">
        <v>638</v>
      </c>
      <c r="G1715" t="s">
        <v>639</v>
      </c>
      <c r="H1715" t="s">
        <v>10068</v>
      </c>
      <c r="I1715">
        <v>2.2876259116681218E-3</v>
      </c>
      <c r="J1715">
        <v>81307</v>
      </c>
      <c r="K1715">
        <v>4.9772544822049769E-3</v>
      </c>
      <c r="L1715">
        <v>37370</v>
      </c>
      <c r="M1715">
        <v>186</v>
      </c>
      <c r="N1715">
        <v>9.0899999999999995E-2</v>
      </c>
      <c r="O1715">
        <v>31</v>
      </c>
    </row>
    <row r="1716" spans="1:15" x14ac:dyDescent="0.25">
      <c r="A1716" t="s">
        <v>564</v>
      </c>
      <c r="B1716" t="s">
        <v>30</v>
      </c>
      <c r="C1716" t="s">
        <v>473</v>
      </c>
      <c r="D1716" t="s">
        <v>76</v>
      </c>
      <c r="E1716" t="s">
        <v>602</v>
      </c>
      <c r="F1716" t="s">
        <v>628</v>
      </c>
      <c r="G1716" t="s">
        <v>629</v>
      </c>
      <c r="H1716" t="s">
        <v>10074</v>
      </c>
      <c r="I1716">
        <v>1.438990492823496E-3</v>
      </c>
      <c r="J1716">
        <v>81307</v>
      </c>
      <c r="K1716">
        <v>3.1308536259031308E-3</v>
      </c>
      <c r="L1716">
        <v>37370</v>
      </c>
      <c r="M1716">
        <v>117</v>
      </c>
      <c r="N1716">
        <v>0.16950000000000001</v>
      </c>
      <c r="O1716">
        <v>32</v>
      </c>
    </row>
    <row r="1717" spans="1:15" x14ac:dyDescent="0.25">
      <c r="A1717" t="s">
        <v>564</v>
      </c>
      <c r="B1717" t="s">
        <v>30</v>
      </c>
      <c r="C1717" t="s">
        <v>473</v>
      </c>
      <c r="D1717" t="s">
        <v>76</v>
      </c>
      <c r="E1717" t="s">
        <v>634</v>
      </c>
      <c r="F1717" t="s">
        <v>658</v>
      </c>
      <c r="G1717" t="s">
        <v>659</v>
      </c>
      <c r="H1717" t="s">
        <v>10071</v>
      </c>
      <c r="I1717">
        <v>1.4143923647410429E-3</v>
      </c>
      <c r="J1717">
        <v>81307</v>
      </c>
      <c r="K1717">
        <v>3.0773347605030769E-3</v>
      </c>
      <c r="L1717">
        <v>37370</v>
      </c>
      <c r="M1717">
        <v>115</v>
      </c>
      <c r="N1717">
        <v>5.1700000000000003E-2</v>
      </c>
      <c r="O1717">
        <v>33</v>
      </c>
    </row>
    <row r="1718" spans="1:15" x14ac:dyDescent="0.25">
      <c r="A1718" t="s">
        <v>564</v>
      </c>
      <c r="B1718" t="s">
        <v>30</v>
      </c>
      <c r="C1718" t="s">
        <v>473</v>
      </c>
      <c r="D1718" t="s">
        <v>76</v>
      </c>
      <c r="E1718" t="s">
        <v>618</v>
      </c>
      <c r="F1718" t="s">
        <v>78</v>
      </c>
      <c r="G1718" t="s">
        <v>619</v>
      </c>
      <c r="H1718" t="s">
        <v>10072</v>
      </c>
      <c r="I1718">
        <v>1.18071014795774E-3</v>
      </c>
      <c r="J1718">
        <v>81307</v>
      </c>
      <c r="K1718">
        <v>2.5689055392025691E-3</v>
      </c>
      <c r="L1718">
        <v>37370</v>
      </c>
      <c r="M1718">
        <v>96</v>
      </c>
      <c r="N1718">
        <v>7.22E-2</v>
      </c>
      <c r="O1718">
        <v>34</v>
      </c>
    </row>
    <row r="1719" spans="1:15" x14ac:dyDescent="0.25">
      <c r="A1719" t="s">
        <v>564</v>
      </c>
      <c r="B1719" t="s">
        <v>30</v>
      </c>
      <c r="C1719" t="s">
        <v>473</v>
      </c>
      <c r="D1719" t="s">
        <v>76</v>
      </c>
      <c r="E1719" t="s">
        <v>81</v>
      </c>
      <c r="F1719" t="s">
        <v>622</v>
      </c>
      <c r="G1719" t="s">
        <v>623</v>
      </c>
      <c r="H1719" t="s">
        <v>10069</v>
      </c>
      <c r="I1719">
        <v>1.0823176356279289E-3</v>
      </c>
      <c r="J1719">
        <v>81307</v>
      </c>
      <c r="K1719">
        <v>2.3548300776023551E-3</v>
      </c>
      <c r="L1719">
        <v>37370</v>
      </c>
      <c r="M1719">
        <v>88</v>
      </c>
      <c r="N1719">
        <v>2.2499999999999999E-2</v>
      </c>
      <c r="O1719">
        <v>35</v>
      </c>
    </row>
    <row r="1720" spans="1:15" x14ac:dyDescent="0.25">
      <c r="A1720" t="s">
        <v>564</v>
      </c>
      <c r="B1720" t="s">
        <v>30</v>
      </c>
      <c r="C1720" t="s">
        <v>473</v>
      </c>
      <c r="D1720" t="s">
        <v>76</v>
      </c>
      <c r="E1720" t="s">
        <v>80</v>
      </c>
      <c r="F1720" t="s">
        <v>8371</v>
      </c>
      <c r="G1720" t="s">
        <v>8372</v>
      </c>
      <c r="H1720" t="s">
        <v>10080</v>
      </c>
      <c r="I1720">
        <v>1.0700185715867021E-3</v>
      </c>
      <c r="J1720">
        <v>81307</v>
      </c>
      <c r="K1720">
        <v>2.3280706449023279E-3</v>
      </c>
      <c r="L1720">
        <v>37370</v>
      </c>
      <c r="M1720">
        <v>87</v>
      </c>
      <c r="N1720">
        <v>7.9600000000000004E-2</v>
      </c>
      <c r="O1720">
        <v>36</v>
      </c>
    </row>
    <row r="1721" spans="1:15" x14ac:dyDescent="0.25">
      <c r="A1721" t="s">
        <v>564</v>
      </c>
      <c r="B1721" t="s">
        <v>30</v>
      </c>
      <c r="C1721" t="s">
        <v>473</v>
      </c>
      <c r="D1721" t="s">
        <v>76</v>
      </c>
      <c r="E1721" t="s">
        <v>602</v>
      </c>
      <c r="F1721" t="s">
        <v>640</v>
      </c>
      <c r="G1721" t="s">
        <v>641</v>
      </c>
      <c r="H1721" t="s">
        <v>10075</v>
      </c>
      <c r="I1721">
        <v>8.6093448288585234E-4</v>
      </c>
      <c r="J1721">
        <v>81307</v>
      </c>
      <c r="K1721">
        <v>1.873160289001873E-3</v>
      </c>
      <c r="L1721">
        <v>37370</v>
      </c>
      <c r="M1721">
        <v>70</v>
      </c>
      <c r="N1721">
        <v>1.41E-2</v>
      </c>
      <c r="O1721">
        <v>37</v>
      </c>
    </row>
    <row r="1722" spans="1:15" x14ac:dyDescent="0.25">
      <c r="A1722" t="s">
        <v>564</v>
      </c>
      <c r="B1722" t="s">
        <v>30</v>
      </c>
      <c r="C1722" t="s">
        <v>473</v>
      </c>
      <c r="D1722" t="s">
        <v>76</v>
      </c>
      <c r="E1722" t="s">
        <v>80</v>
      </c>
      <c r="F1722" t="s">
        <v>8354</v>
      </c>
      <c r="G1722" t="s">
        <v>8355</v>
      </c>
      <c r="H1722" t="s">
        <v>10070</v>
      </c>
      <c r="I1722">
        <v>5.7805600993764378E-4</v>
      </c>
      <c r="J1722">
        <v>81307</v>
      </c>
      <c r="K1722">
        <v>1.257693336901258E-3</v>
      </c>
      <c r="L1722">
        <v>37370</v>
      </c>
      <c r="M1722">
        <v>47</v>
      </c>
      <c r="N1722">
        <v>8.3299999999999999E-2</v>
      </c>
      <c r="O1722">
        <v>38</v>
      </c>
    </row>
    <row r="1723" spans="1:15" x14ac:dyDescent="0.25">
      <c r="A1723" t="s">
        <v>564</v>
      </c>
      <c r="B1723" t="s">
        <v>30</v>
      </c>
      <c r="C1723" t="s">
        <v>473</v>
      </c>
      <c r="D1723" t="s">
        <v>76</v>
      </c>
      <c r="E1723" t="s">
        <v>632</v>
      </c>
      <c r="F1723" t="s">
        <v>78</v>
      </c>
      <c r="G1723" t="s">
        <v>633</v>
      </c>
      <c r="H1723" t="s">
        <v>10073</v>
      </c>
      <c r="I1723">
        <v>4.1816817740169968E-4</v>
      </c>
      <c r="J1723">
        <v>81307</v>
      </c>
      <c r="K1723">
        <v>9.0982071180090987E-4</v>
      </c>
      <c r="L1723">
        <v>37370</v>
      </c>
      <c r="M1723">
        <v>34</v>
      </c>
      <c r="N1723">
        <v>2.86E-2</v>
      </c>
      <c r="O1723">
        <v>39</v>
      </c>
    </row>
    <row r="1724" spans="1:15" x14ac:dyDescent="0.25">
      <c r="A1724" t="s">
        <v>564</v>
      </c>
      <c r="B1724" t="s">
        <v>30</v>
      </c>
      <c r="C1724" t="s">
        <v>473</v>
      </c>
      <c r="D1724" t="s">
        <v>76</v>
      </c>
      <c r="E1724" t="s">
        <v>81</v>
      </c>
      <c r="F1724" t="s">
        <v>646</v>
      </c>
      <c r="G1724" t="s">
        <v>647</v>
      </c>
      <c r="H1724" t="s">
        <v>10082</v>
      </c>
      <c r="I1724">
        <v>3.9357004931924681E-4</v>
      </c>
      <c r="J1724">
        <v>81307</v>
      </c>
      <c r="K1724">
        <v>8.5630184640085626E-4</v>
      </c>
      <c r="L1724">
        <v>37370</v>
      </c>
      <c r="M1724">
        <v>32</v>
      </c>
      <c r="N1724">
        <v>3.0300000000000001E-2</v>
      </c>
      <c r="O1724">
        <v>40</v>
      </c>
    </row>
    <row r="1725" spans="1:15" x14ac:dyDescent="0.25">
      <c r="A1725" t="s">
        <v>564</v>
      </c>
      <c r="B1725" t="s">
        <v>30</v>
      </c>
      <c r="C1725" t="s">
        <v>473</v>
      </c>
      <c r="D1725" t="s">
        <v>76</v>
      </c>
      <c r="E1725" t="s">
        <v>644</v>
      </c>
      <c r="F1725" t="s">
        <v>78</v>
      </c>
      <c r="G1725" t="s">
        <v>645</v>
      </c>
      <c r="H1725" t="s">
        <v>10081</v>
      </c>
      <c r="I1725">
        <v>2.8287847294820862E-4</v>
      </c>
      <c r="J1725">
        <v>81307</v>
      </c>
      <c r="K1725">
        <v>6.1546695210061542E-4</v>
      </c>
      <c r="L1725">
        <v>37370</v>
      </c>
      <c r="M1725">
        <v>23</v>
      </c>
      <c r="N1725">
        <v>0.1666</v>
      </c>
      <c r="O1725">
        <v>41</v>
      </c>
    </row>
    <row r="1726" spans="1:15" x14ac:dyDescent="0.25">
      <c r="A1726" t="s">
        <v>564</v>
      </c>
      <c r="B1726" t="s">
        <v>30</v>
      </c>
      <c r="C1726" t="s">
        <v>473</v>
      </c>
      <c r="D1726" t="s">
        <v>76</v>
      </c>
      <c r="E1726" t="s">
        <v>602</v>
      </c>
      <c r="F1726" t="s">
        <v>650</v>
      </c>
      <c r="G1726" t="s">
        <v>651</v>
      </c>
      <c r="H1726" t="s">
        <v>10078</v>
      </c>
      <c r="I1726">
        <v>2.8287847294820862E-4</v>
      </c>
      <c r="J1726">
        <v>81307</v>
      </c>
      <c r="K1726">
        <v>6.1546695210061542E-4</v>
      </c>
      <c r="L1726">
        <v>37370</v>
      </c>
      <c r="M1726">
        <v>23</v>
      </c>
      <c r="N1726">
        <v>0.1666</v>
      </c>
      <c r="O1726">
        <v>42</v>
      </c>
    </row>
    <row r="1727" spans="1:15" x14ac:dyDescent="0.25">
      <c r="A1727" t="s">
        <v>564</v>
      </c>
      <c r="B1727" t="s">
        <v>30</v>
      </c>
      <c r="C1727" t="s">
        <v>473</v>
      </c>
      <c r="D1727" t="s">
        <v>76</v>
      </c>
      <c r="E1727" t="s">
        <v>674</v>
      </c>
      <c r="F1727" t="s">
        <v>78</v>
      </c>
      <c r="G1727" t="s">
        <v>675</v>
      </c>
      <c r="H1727" t="s">
        <v>10086</v>
      </c>
      <c r="I1727">
        <v>2.5828034486575569E-4</v>
      </c>
      <c r="J1727">
        <v>81307</v>
      </c>
      <c r="K1727">
        <v>5.6194808670056193E-4</v>
      </c>
      <c r="L1727">
        <v>37370</v>
      </c>
      <c r="M1727">
        <v>21</v>
      </c>
      <c r="N1727">
        <v>0.14280000000000001</v>
      </c>
      <c r="O1727">
        <v>43</v>
      </c>
    </row>
    <row r="1728" spans="1:15" x14ac:dyDescent="0.25">
      <c r="A1728" t="s">
        <v>564</v>
      </c>
      <c r="B1728" t="s">
        <v>30</v>
      </c>
      <c r="C1728" t="s">
        <v>473</v>
      </c>
      <c r="D1728" t="s">
        <v>76</v>
      </c>
      <c r="E1728" t="s">
        <v>602</v>
      </c>
      <c r="F1728" t="s">
        <v>648</v>
      </c>
      <c r="G1728" t="s">
        <v>649</v>
      </c>
      <c r="H1728" t="s">
        <v>10085</v>
      </c>
      <c r="I1728">
        <v>2.5828034486575569E-4</v>
      </c>
      <c r="J1728">
        <v>81307</v>
      </c>
      <c r="K1728">
        <v>5.6194808670056193E-4</v>
      </c>
      <c r="L1728">
        <v>37370</v>
      </c>
      <c r="M1728">
        <v>21</v>
      </c>
      <c r="N1728">
        <v>9.5200000000000007E-2</v>
      </c>
      <c r="O1728">
        <v>44</v>
      </c>
    </row>
    <row r="1729" spans="1:15" x14ac:dyDescent="0.25">
      <c r="A1729" t="s">
        <v>564</v>
      </c>
      <c r="B1729" t="s">
        <v>30</v>
      </c>
      <c r="C1729" t="s">
        <v>473</v>
      </c>
      <c r="D1729" t="s">
        <v>76</v>
      </c>
      <c r="E1729" t="s">
        <v>8368</v>
      </c>
      <c r="F1729" t="s">
        <v>78</v>
      </c>
      <c r="G1729" t="s">
        <v>8369</v>
      </c>
      <c r="H1729" t="s">
        <v>10079</v>
      </c>
      <c r="I1729">
        <v>2.4598128082452931E-4</v>
      </c>
      <c r="J1729">
        <v>81307</v>
      </c>
      <c r="K1729">
        <v>5.3518865400053518E-4</v>
      </c>
      <c r="L1729">
        <v>37370</v>
      </c>
      <c r="M1729">
        <v>20</v>
      </c>
      <c r="N1729">
        <v>0.1</v>
      </c>
      <c r="O1729">
        <v>45</v>
      </c>
    </row>
    <row r="1730" spans="1:15" x14ac:dyDescent="0.25">
      <c r="A1730" t="s">
        <v>564</v>
      </c>
      <c r="B1730" t="s">
        <v>30</v>
      </c>
      <c r="C1730" t="s">
        <v>473</v>
      </c>
      <c r="D1730" t="s">
        <v>76</v>
      </c>
      <c r="E1730" t="s">
        <v>81</v>
      </c>
      <c r="F1730" t="s">
        <v>604</v>
      </c>
      <c r="G1730" t="s">
        <v>605</v>
      </c>
      <c r="H1730" t="s">
        <v>10098</v>
      </c>
      <c r="I1730">
        <v>2.0908408870084989E-4</v>
      </c>
      <c r="J1730">
        <v>81307</v>
      </c>
      <c r="K1730">
        <v>4.5491035590045488E-4</v>
      </c>
      <c r="L1730">
        <v>37370</v>
      </c>
      <c r="M1730">
        <v>17</v>
      </c>
      <c r="O1730">
        <v>46</v>
      </c>
    </row>
    <row r="1731" spans="1:15" x14ac:dyDescent="0.25">
      <c r="A1731" t="s">
        <v>564</v>
      </c>
      <c r="B1731" t="s">
        <v>30</v>
      </c>
      <c r="C1731" t="s">
        <v>473</v>
      </c>
      <c r="D1731" t="s">
        <v>76</v>
      </c>
      <c r="E1731" t="s">
        <v>642</v>
      </c>
      <c r="F1731" t="s">
        <v>78</v>
      </c>
      <c r="G1731" t="s">
        <v>643</v>
      </c>
      <c r="H1731" t="s">
        <v>10087</v>
      </c>
      <c r="I1731">
        <v>1.967850246596234E-4</v>
      </c>
      <c r="J1731">
        <v>81307</v>
      </c>
      <c r="K1731">
        <v>4.2815092320042808E-4</v>
      </c>
      <c r="L1731">
        <v>37370</v>
      </c>
      <c r="M1731">
        <v>16</v>
      </c>
      <c r="N1731">
        <v>0.125</v>
      </c>
      <c r="O1731">
        <v>47</v>
      </c>
    </row>
    <row r="1732" spans="1:15" x14ac:dyDescent="0.25">
      <c r="A1732" t="s">
        <v>564</v>
      </c>
      <c r="B1732" t="s">
        <v>30</v>
      </c>
      <c r="C1732" t="s">
        <v>473</v>
      </c>
      <c r="D1732" t="s">
        <v>76</v>
      </c>
      <c r="E1732" t="s">
        <v>630</v>
      </c>
      <c r="F1732" t="s">
        <v>78</v>
      </c>
      <c r="G1732" t="s">
        <v>631</v>
      </c>
      <c r="H1732" t="s">
        <v>10083</v>
      </c>
      <c r="I1732">
        <v>1.967850246596234E-4</v>
      </c>
      <c r="J1732">
        <v>81307</v>
      </c>
      <c r="K1732">
        <v>4.2815092320042808E-4</v>
      </c>
      <c r="L1732">
        <v>37370</v>
      </c>
      <c r="M1732">
        <v>16</v>
      </c>
      <c r="N1732">
        <v>0.125</v>
      </c>
      <c r="O1732">
        <v>48</v>
      </c>
    </row>
    <row r="1733" spans="1:15" x14ac:dyDescent="0.25">
      <c r="A1733" t="s">
        <v>564</v>
      </c>
      <c r="B1733" t="s">
        <v>30</v>
      </c>
      <c r="C1733" t="s">
        <v>473</v>
      </c>
      <c r="D1733" t="s">
        <v>76</v>
      </c>
      <c r="E1733" t="s">
        <v>587</v>
      </c>
      <c r="F1733" t="s">
        <v>78</v>
      </c>
      <c r="G1733" t="s">
        <v>588</v>
      </c>
      <c r="H1733" t="s">
        <v>10084</v>
      </c>
      <c r="I1733">
        <v>1.967850246596234E-4</v>
      </c>
      <c r="J1733">
        <v>81307</v>
      </c>
      <c r="K1733">
        <v>4.2815092320042808E-4</v>
      </c>
      <c r="L1733">
        <v>37370</v>
      </c>
      <c r="M1733">
        <v>16</v>
      </c>
      <c r="O1733">
        <v>49</v>
      </c>
    </row>
    <row r="1734" spans="1:15" x14ac:dyDescent="0.25">
      <c r="A1734" t="s">
        <v>564</v>
      </c>
      <c r="B1734" t="s">
        <v>30</v>
      </c>
      <c r="C1734" t="s">
        <v>473</v>
      </c>
      <c r="D1734" t="s">
        <v>76</v>
      </c>
      <c r="E1734" t="s">
        <v>660</v>
      </c>
      <c r="F1734" t="s">
        <v>78</v>
      </c>
      <c r="G1734" t="s">
        <v>661</v>
      </c>
      <c r="H1734" t="s">
        <v>10096</v>
      </c>
      <c r="I1734">
        <v>1.229906404122646E-4</v>
      </c>
      <c r="J1734">
        <v>81307</v>
      </c>
      <c r="K1734">
        <v>2.6759432700026759E-4</v>
      </c>
      <c r="L1734">
        <v>37370</v>
      </c>
      <c r="M1734">
        <v>10</v>
      </c>
      <c r="O1734">
        <v>50</v>
      </c>
    </row>
    <row r="1735" spans="1:15" x14ac:dyDescent="0.25">
      <c r="A1735" t="s">
        <v>564</v>
      </c>
      <c r="B1735" t="s">
        <v>30</v>
      </c>
      <c r="C1735" t="s">
        <v>473</v>
      </c>
      <c r="D1735" t="s">
        <v>76</v>
      </c>
      <c r="E1735" t="s">
        <v>676</v>
      </c>
      <c r="F1735" t="s">
        <v>78</v>
      </c>
      <c r="G1735" t="s">
        <v>677</v>
      </c>
      <c r="H1735" t="s">
        <v>10100</v>
      </c>
      <c r="I1735">
        <v>1.1069157637103821E-4</v>
      </c>
      <c r="J1735">
        <v>81307</v>
      </c>
      <c r="K1735">
        <v>2.4083489430024079E-4</v>
      </c>
      <c r="L1735">
        <v>37370</v>
      </c>
      <c r="M1735">
        <v>9</v>
      </c>
      <c r="N1735">
        <v>0.1111</v>
      </c>
      <c r="O1735">
        <v>51</v>
      </c>
    </row>
    <row r="1736" spans="1:15" x14ac:dyDescent="0.25">
      <c r="A1736" t="s">
        <v>564</v>
      </c>
      <c r="B1736" t="s">
        <v>30</v>
      </c>
      <c r="C1736" t="s">
        <v>473</v>
      </c>
      <c r="D1736" t="s">
        <v>76</v>
      </c>
      <c r="E1736" t="s">
        <v>602</v>
      </c>
      <c r="F1736" t="s">
        <v>666</v>
      </c>
      <c r="G1736" t="s">
        <v>667</v>
      </c>
      <c r="H1736" t="s">
        <v>10108</v>
      </c>
      <c r="I1736">
        <v>8.6093448288585239E-5</v>
      </c>
      <c r="J1736">
        <v>81307</v>
      </c>
      <c r="K1736">
        <v>1.8731602890018729E-4</v>
      </c>
      <c r="L1736">
        <v>37370</v>
      </c>
      <c r="M1736">
        <v>7</v>
      </c>
      <c r="O1736">
        <v>52</v>
      </c>
    </row>
    <row r="1737" spans="1:15" x14ac:dyDescent="0.25">
      <c r="A1737" t="s">
        <v>564</v>
      </c>
      <c r="B1737" t="s">
        <v>30</v>
      </c>
      <c r="C1737" t="s">
        <v>473</v>
      </c>
      <c r="D1737" t="s">
        <v>76</v>
      </c>
      <c r="E1737" t="s">
        <v>654</v>
      </c>
      <c r="F1737" t="s">
        <v>78</v>
      </c>
      <c r="G1737" t="s">
        <v>655</v>
      </c>
      <c r="H1737" t="s">
        <v>10088</v>
      </c>
      <c r="I1737">
        <v>7.3794384247358776E-5</v>
      </c>
      <c r="J1737">
        <v>81307</v>
      </c>
      <c r="K1737">
        <v>1.605565962001606E-4</v>
      </c>
      <c r="L1737">
        <v>37370</v>
      </c>
      <c r="M1737">
        <v>6</v>
      </c>
      <c r="N1737">
        <v>0.1666</v>
      </c>
      <c r="O1737">
        <v>53</v>
      </c>
    </row>
    <row r="1738" spans="1:15" x14ac:dyDescent="0.25">
      <c r="A1738" t="s">
        <v>564</v>
      </c>
      <c r="B1738" t="s">
        <v>30</v>
      </c>
      <c r="C1738" t="s">
        <v>473</v>
      </c>
      <c r="D1738" t="s">
        <v>76</v>
      </c>
      <c r="E1738" t="s">
        <v>602</v>
      </c>
      <c r="F1738" t="s">
        <v>652</v>
      </c>
      <c r="G1738" t="s">
        <v>653</v>
      </c>
      <c r="H1738" t="s">
        <v>10092</v>
      </c>
      <c r="I1738">
        <v>4.9196256164905851E-5</v>
      </c>
      <c r="J1738">
        <v>81307</v>
      </c>
      <c r="K1738">
        <v>1.0703773080010701E-4</v>
      </c>
      <c r="L1738">
        <v>37370</v>
      </c>
      <c r="M1738">
        <v>4</v>
      </c>
      <c r="O1738">
        <v>54</v>
      </c>
    </row>
    <row r="1739" spans="1:15" x14ac:dyDescent="0.25">
      <c r="A1739" t="s">
        <v>564</v>
      </c>
      <c r="B1739" t="s">
        <v>30</v>
      </c>
      <c r="C1739" t="s">
        <v>473</v>
      </c>
      <c r="D1739" t="s">
        <v>76</v>
      </c>
      <c r="E1739" t="s">
        <v>654</v>
      </c>
      <c r="F1739" t="s">
        <v>8392</v>
      </c>
      <c r="G1739" t="s">
        <v>8393</v>
      </c>
      <c r="H1739" t="s">
        <v>10091</v>
      </c>
      <c r="I1739">
        <v>4.9196256164905851E-5</v>
      </c>
      <c r="J1739">
        <v>81307</v>
      </c>
      <c r="K1739">
        <v>1.0703773080010701E-4</v>
      </c>
      <c r="L1739">
        <v>37370</v>
      </c>
      <c r="M1739">
        <v>4</v>
      </c>
      <c r="O1739">
        <v>55</v>
      </c>
    </row>
    <row r="1740" spans="1:15" x14ac:dyDescent="0.25">
      <c r="A1740" t="s">
        <v>564</v>
      </c>
      <c r="B1740" t="s">
        <v>30</v>
      </c>
      <c r="C1740" t="s">
        <v>473</v>
      </c>
      <c r="D1740" t="s">
        <v>76</v>
      </c>
      <c r="E1740" t="s">
        <v>596</v>
      </c>
      <c r="F1740" t="s">
        <v>78</v>
      </c>
      <c r="G1740" t="s">
        <v>597</v>
      </c>
      <c r="H1740" t="s">
        <v>10107</v>
      </c>
      <c r="I1740">
        <v>4.9196256164905851E-5</v>
      </c>
      <c r="J1740">
        <v>81307</v>
      </c>
      <c r="K1740">
        <v>1.0703773080010701E-4</v>
      </c>
      <c r="L1740">
        <v>37370</v>
      </c>
      <c r="M1740">
        <v>4</v>
      </c>
      <c r="O1740">
        <v>56</v>
      </c>
    </row>
    <row r="1741" spans="1:15" x14ac:dyDescent="0.25">
      <c r="A1741" t="s">
        <v>564</v>
      </c>
      <c r="B1741" t="s">
        <v>30</v>
      </c>
      <c r="C1741" t="s">
        <v>473</v>
      </c>
      <c r="D1741" t="s">
        <v>76</v>
      </c>
      <c r="E1741" t="s">
        <v>664</v>
      </c>
      <c r="F1741" t="s">
        <v>78</v>
      </c>
      <c r="G1741" t="s">
        <v>665</v>
      </c>
      <c r="H1741" t="s">
        <v>10101</v>
      </c>
      <c r="I1741">
        <v>3.6897192123679388E-5</v>
      </c>
      <c r="J1741">
        <v>81307</v>
      </c>
      <c r="K1741">
        <v>8.0278298100080285E-5</v>
      </c>
      <c r="L1741">
        <v>37370</v>
      </c>
      <c r="M1741">
        <v>3</v>
      </c>
      <c r="O1741">
        <v>57</v>
      </c>
    </row>
    <row r="1742" spans="1:15" x14ac:dyDescent="0.25">
      <c r="A1742" t="s">
        <v>564</v>
      </c>
      <c r="B1742" t="s">
        <v>30</v>
      </c>
      <c r="C1742" t="s">
        <v>473</v>
      </c>
      <c r="D1742" t="s">
        <v>76</v>
      </c>
      <c r="E1742" t="s">
        <v>662</v>
      </c>
      <c r="F1742" t="s">
        <v>78</v>
      </c>
      <c r="G1742" t="s">
        <v>663</v>
      </c>
      <c r="H1742" t="s">
        <v>10095</v>
      </c>
      <c r="I1742">
        <v>3.6897192123679388E-5</v>
      </c>
      <c r="J1742">
        <v>81307</v>
      </c>
      <c r="K1742">
        <v>8.0278298100080285E-5</v>
      </c>
      <c r="L1742">
        <v>37370</v>
      </c>
      <c r="M1742">
        <v>3</v>
      </c>
      <c r="O1742">
        <v>58</v>
      </c>
    </row>
    <row r="1743" spans="1:15" x14ac:dyDescent="0.25">
      <c r="A1743" t="s">
        <v>564</v>
      </c>
      <c r="B1743" t="s">
        <v>30</v>
      </c>
      <c r="C1743" t="s">
        <v>473</v>
      </c>
      <c r="D1743" t="s">
        <v>76</v>
      </c>
      <c r="E1743" t="s">
        <v>602</v>
      </c>
      <c r="F1743" t="s">
        <v>670</v>
      </c>
      <c r="G1743" t="s">
        <v>671</v>
      </c>
      <c r="H1743" t="s">
        <v>10089</v>
      </c>
      <c r="I1743">
        <v>3.6897192123679388E-5</v>
      </c>
      <c r="J1743">
        <v>81307</v>
      </c>
      <c r="K1743">
        <v>8.0278298100080285E-5</v>
      </c>
      <c r="L1743">
        <v>37370</v>
      </c>
      <c r="M1743">
        <v>3</v>
      </c>
      <c r="N1743">
        <v>0.33339999999999997</v>
      </c>
      <c r="O1743">
        <v>59</v>
      </c>
    </row>
    <row r="1744" spans="1:15" x14ac:dyDescent="0.25">
      <c r="A1744" t="s">
        <v>564</v>
      </c>
      <c r="B1744" t="s">
        <v>30</v>
      </c>
      <c r="C1744" t="s">
        <v>473</v>
      </c>
      <c r="D1744" t="s">
        <v>76</v>
      </c>
      <c r="E1744" t="s">
        <v>668</v>
      </c>
      <c r="F1744" t="s">
        <v>78</v>
      </c>
      <c r="G1744" t="s">
        <v>669</v>
      </c>
      <c r="H1744" t="s">
        <v>10099</v>
      </c>
      <c r="I1744">
        <v>3.6897192123679388E-5</v>
      </c>
      <c r="J1744">
        <v>81307</v>
      </c>
      <c r="K1744">
        <v>8.0278298100080285E-5</v>
      </c>
      <c r="L1744">
        <v>37370</v>
      </c>
      <c r="M1744">
        <v>3</v>
      </c>
      <c r="O1744">
        <v>60</v>
      </c>
    </row>
    <row r="1745" spans="1:15" x14ac:dyDescent="0.25">
      <c r="A1745" t="s">
        <v>564</v>
      </c>
      <c r="B1745" t="s">
        <v>30</v>
      </c>
      <c r="C1745" t="s">
        <v>473</v>
      </c>
      <c r="D1745" t="s">
        <v>76</v>
      </c>
      <c r="E1745" t="s">
        <v>654</v>
      </c>
      <c r="F1745" t="s">
        <v>8395</v>
      </c>
      <c r="G1745" t="s">
        <v>8396</v>
      </c>
      <c r="H1745" t="s">
        <v>10093</v>
      </c>
      <c r="I1745">
        <v>3.6897192123679388E-5</v>
      </c>
      <c r="J1745">
        <v>81307</v>
      </c>
      <c r="K1745">
        <v>8.0278298100080285E-5</v>
      </c>
      <c r="L1745">
        <v>37370</v>
      </c>
      <c r="M1745">
        <v>3</v>
      </c>
      <c r="N1745">
        <v>0.33339999999999997</v>
      </c>
      <c r="O1745">
        <v>61</v>
      </c>
    </row>
    <row r="1746" spans="1:15" x14ac:dyDescent="0.25">
      <c r="A1746" t="s">
        <v>564</v>
      </c>
      <c r="B1746" t="s">
        <v>30</v>
      </c>
      <c r="C1746" t="s">
        <v>473</v>
      </c>
      <c r="D1746" t="s">
        <v>76</v>
      </c>
      <c r="E1746" t="s">
        <v>672</v>
      </c>
      <c r="F1746" t="s">
        <v>78</v>
      </c>
      <c r="G1746" t="s">
        <v>673</v>
      </c>
      <c r="H1746" t="s">
        <v>10094</v>
      </c>
      <c r="I1746">
        <v>1.2299064041226459E-5</v>
      </c>
      <c r="J1746">
        <v>81307</v>
      </c>
      <c r="K1746">
        <v>2.6759432700026762E-5</v>
      </c>
      <c r="L1746">
        <v>37370</v>
      </c>
      <c r="M1746">
        <v>1</v>
      </c>
      <c r="O1746">
        <v>62</v>
      </c>
    </row>
    <row r="1747" spans="1:15" x14ac:dyDescent="0.25">
      <c r="A1747" t="s">
        <v>564</v>
      </c>
      <c r="B1747" t="s">
        <v>30</v>
      </c>
      <c r="C1747" t="s">
        <v>473</v>
      </c>
      <c r="D1747" t="s">
        <v>76</v>
      </c>
      <c r="E1747" t="s">
        <v>654</v>
      </c>
      <c r="F1747" t="s">
        <v>8388</v>
      </c>
      <c r="G1747" t="s">
        <v>8389</v>
      </c>
      <c r="H1747" t="s">
        <v>10105</v>
      </c>
      <c r="I1747">
        <v>1.2299064041226459E-5</v>
      </c>
      <c r="J1747">
        <v>81307</v>
      </c>
      <c r="K1747">
        <v>2.6759432700026762E-5</v>
      </c>
      <c r="L1747">
        <v>37370</v>
      </c>
      <c r="M1747">
        <v>1</v>
      </c>
      <c r="O1747">
        <v>63</v>
      </c>
    </row>
    <row r="1748" spans="1:15" x14ac:dyDescent="0.25">
      <c r="A1748" t="s">
        <v>564</v>
      </c>
      <c r="B1748" t="s">
        <v>30</v>
      </c>
      <c r="C1748" t="s">
        <v>473</v>
      </c>
      <c r="D1748" t="s">
        <v>76</v>
      </c>
      <c r="E1748" t="s">
        <v>686</v>
      </c>
      <c r="F1748" t="s">
        <v>1069</v>
      </c>
      <c r="G1748" t="s">
        <v>1070</v>
      </c>
      <c r="H1748" t="s">
        <v>10199</v>
      </c>
      <c r="J1748">
        <v>81307</v>
      </c>
      <c r="L1748">
        <v>37370</v>
      </c>
      <c r="O1748">
        <v>64</v>
      </c>
    </row>
    <row r="1749" spans="1:15" x14ac:dyDescent="0.25">
      <c r="A1749" t="s">
        <v>564</v>
      </c>
      <c r="B1749" t="s">
        <v>30</v>
      </c>
      <c r="C1749" t="s">
        <v>473</v>
      </c>
      <c r="D1749" t="s">
        <v>76</v>
      </c>
      <c r="E1749" t="s">
        <v>686</v>
      </c>
      <c r="F1749" t="s">
        <v>1084</v>
      </c>
      <c r="G1749" t="s">
        <v>1085</v>
      </c>
      <c r="H1749" t="s">
        <v>10185</v>
      </c>
      <c r="J1749">
        <v>81307</v>
      </c>
      <c r="L1749">
        <v>37370</v>
      </c>
      <c r="O1749">
        <v>65</v>
      </c>
    </row>
    <row r="1750" spans="1:15" x14ac:dyDescent="0.25">
      <c r="A1750" t="s">
        <v>564</v>
      </c>
      <c r="B1750" t="s">
        <v>30</v>
      </c>
      <c r="C1750" t="s">
        <v>473</v>
      </c>
      <c r="D1750" t="s">
        <v>76</v>
      </c>
      <c r="E1750" t="s">
        <v>886</v>
      </c>
      <c r="F1750" t="s">
        <v>8504</v>
      </c>
      <c r="G1750" t="s">
        <v>8505</v>
      </c>
      <c r="H1750" t="s">
        <v>10077</v>
      </c>
      <c r="J1750">
        <v>81307</v>
      </c>
      <c r="L1750">
        <v>37370</v>
      </c>
      <c r="O1750">
        <v>66</v>
      </c>
    </row>
    <row r="1751" spans="1:15" x14ac:dyDescent="0.25">
      <c r="A1751" t="s">
        <v>564</v>
      </c>
      <c r="B1751" t="s">
        <v>30</v>
      </c>
      <c r="C1751" t="s">
        <v>473</v>
      </c>
      <c r="D1751" t="s">
        <v>76</v>
      </c>
      <c r="E1751" t="s">
        <v>886</v>
      </c>
      <c r="F1751" t="s">
        <v>8495</v>
      </c>
      <c r="G1751" t="s">
        <v>8496</v>
      </c>
      <c r="H1751" t="s">
        <v>10200</v>
      </c>
      <c r="J1751">
        <v>81307</v>
      </c>
      <c r="L1751">
        <v>37370</v>
      </c>
      <c r="O1751">
        <v>67</v>
      </c>
    </row>
    <row r="1752" spans="1:15" x14ac:dyDescent="0.25">
      <c r="A1752" t="s">
        <v>564</v>
      </c>
      <c r="B1752" t="s">
        <v>30</v>
      </c>
      <c r="C1752" t="s">
        <v>473</v>
      </c>
      <c r="D1752" t="s">
        <v>76</v>
      </c>
      <c r="E1752" t="s">
        <v>886</v>
      </c>
      <c r="F1752" t="s">
        <v>8512</v>
      </c>
      <c r="G1752" t="s">
        <v>8513</v>
      </c>
      <c r="H1752" t="s">
        <v>10102</v>
      </c>
      <c r="J1752">
        <v>81307</v>
      </c>
      <c r="L1752">
        <v>37370</v>
      </c>
      <c r="O1752">
        <v>68</v>
      </c>
    </row>
    <row r="1753" spans="1:15" x14ac:dyDescent="0.25">
      <c r="A1753" t="s">
        <v>564</v>
      </c>
      <c r="B1753" t="s">
        <v>30</v>
      </c>
      <c r="C1753" t="s">
        <v>473</v>
      </c>
      <c r="D1753" t="s">
        <v>76</v>
      </c>
      <c r="E1753" t="s">
        <v>654</v>
      </c>
      <c r="F1753" t="s">
        <v>8465</v>
      </c>
      <c r="G1753" t="s">
        <v>8466</v>
      </c>
      <c r="H1753" t="s">
        <v>10120</v>
      </c>
      <c r="J1753">
        <v>81307</v>
      </c>
      <c r="L1753">
        <v>37370</v>
      </c>
      <c r="O1753">
        <v>69</v>
      </c>
    </row>
    <row r="1754" spans="1:15" x14ac:dyDescent="0.25">
      <c r="A1754" t="s">
        <v>564</v>
      </c>
      <c r="B1754" t="s">
        <v>30</v>
      </c>
      <c r="C1754" t="s">
        <v>473</v>
      </c>
      <c r="D1754" t="s">
        <v>76</v>
      </c>
      <c r="E1754" t="s">
        <v>654</v>
      </c>
      <c r="F1754" t="s">
        <v>8471</v>
      </c>
      <c r="G1754" t="s">
        <v>8472</v>
      </c>
      <c r="H1754" t="s">
        <v>10121</v>
      </c>
      <c r="J1754">
        <v>81307</v>
      </c>
      <c r="L1754">
        <v>37370</v>
      </c>
      <c r="O1754">
        <v>70</v>
      </c>
    </row>
    <row r="1755" spans="1:15" x14ac:dyDescent="0.25">
      <c r="A1755" t="s">
        <v>564</v>
      </c>
      <c r="B1755" t="s">
        <v>30</v>
      </c>
      <c r="C1755" t="s">
        <v>473</v>
      </c>
      <c r="D1755" t="s">
        <v>76</v>
      </c>
      <c r="E1755" t="s">
        <v>654</v>
      </c>
      <c r="F1755" t="s">
        <v>8518</v>
      </c>
      <c r="G1755" t="s">
        <v>8519</v>
      </c>
      <c r="H1755" t="s">
        <v>10119</v>
      </c>
      <c r="J1755">
        <v>81307</v>
      </c>
      <c r="L1755">
        <v>37370</v>
      </c>
      <c r="O1755">
        <v>71</v>
      </c>
    </row>
    <row r="1756" spans="1:15" x14ac:dyDescent="0.25">
      <c r="A1756" t="s">
        <v>564</v>
      </c>
      <c r="B1756" t="s">
        <v>30</v>
      </c>
      <c r="C1756" t="s">
        <v>473</v>
      </c>
      <c r="D1756" t="s">
        <v>76</v>
      </c>
      <c r="E1756" t="s">
        <v>654</v>
      </c>
      <c r="F1756" t="s">
        <v>8507</v>
      </c>
      <c r="G1756" t="s">
        <v>8508</v>
      </c>
      <c r="H1756" t="s">
        <v>10118</v>
      </c>
      <c r="J1756">
        <v>81307</v>
      </c>
      <c r="L1756">
        <v>37370</v>
      </c>
      <c r="O1756">
        <v>72</v>
      </c>
    </row>
    <row r="1757" spans="1:15" x14ac:dyDescent="0.25">
      <c r="A1757" t="s">
        <v>564</v>
      </c>
      <c r="B1757" t="s">
        <v>30</v>
      </c>
      <c r="C1757" t="s">
        <v>473</v>
      </c>
      <c r="D1757" t="s">
        <v>76</v>
      </c>
      <c r="E1757" t="s">
        <v>897</v>
      </c>
      <c r="F1757" t="s">
        <v>78</v>
      </c>
      <c r="G1757" t="s">
        <v>898</v>
      </c>
      <c r="H1757" t="s">
        <v>10137</v>
      </c>
      <c r="J1757">
        <v>81307</v>
      </c>
      <c r="L1757">
        <v>37370</v>
      </c>
      <c r="O1757">
        <v>73</v>
      </c>
    </row>
    <row r="1758" spans="1:15" x14ac:dyDescent="0.25">
      <c r="A1758" t="s">
        <v>564</v>
      </c>
      <c r="B1758" t="s">
        <v>30</v>
      </c>
      <c r="C1758" t="s">
        <v>473</v>
      </c>
      <c r="D1758" t="s">
        <v>76</v>
      </c>
      <c r="E1758" t="s">
        <v>861</v>
      </c>
      <c r="F1758" t="s">
        <v>78</v>
      </c>
      <c r="G1758" t="s">
        <v>862</v>
      </c>
      <c r="H1758" t="s">
        <v>10129</v>
      </c>
      <c r="J1758">
        <v>81307</v>
      </c>
      <c r="L1758">
        <v>37370</v>
      </c>
      <c r="O1758">
        <v>74</v>
      </c>
    </row>
    <row r="1759" spans="1:15" x14ac:dyDescent="0.25">
      <c r="A1759" t="s">
        <v>564</v>
      </c>
      <c r="B1759" t="s">
        <v>30</v>
      </c>
      <c r="C1759" t="s">
        <v>473</v>
      </c>
      <c r="D1759" t="s">
        <v>76</v>
      </c>
      <c r="E1759" t="s">
        <v>873</v>
      </c>
      <c r="F1759" t="s">
        <v>78</v>
      </c>
      <c r="G1759" t="s">
        <v>874</v>
      </c>
      <c r="H1759" t="s">
        <v>10110</v>
      </c>
      <c r="J1759">
        <v>81307</v>
      </c>
      <c r="L1759">
        <v>37370</v>
      </c>
      <c r="O1759">
        <v>75</v>
      </c>
    </row>
    <row r="1760" spans="1:15" x14ac:dyDescent="0.25">
      <c r="A1760" t="s">
        <v>564</v>
      </c>
      <c r="B1760" t="s">
        <v>30</v>
      </c>
      <c r="C1760" t="s">
        <v>473</v>
      </c>
      <c r="D1760" t="s">
        <v>76</v>
      </c>
      <c r="E1760" t="s">
        <v>636</v>
      </c>
      <c r="F1760" t="s">
        <v>78</v>
      </c>
      <c r="G1760" t="s">
        <v>637</v>
      </c>
      <c r="H1760" t="s">
        <v>10111</v>
      </c>
      <c r="J1760">
        <v>81307</v>
      </c>
      <c r="L1760">
        <v>37370</v>
      </c>
      <c r="O1760">
        <v>76</v>
      </c>
    </row>
    <row r="1761" spans="1:15" x14ac:dyDescent="0.25">
      <c r="A1761" t="s">
        <v>564</v>
      </c>
      <c r="B1761" t="s">
        <v>30</v>
      </c>
      <c r="C1761" t="s">
        <v>473</v>
      </c>
      <c r="D1761" t="s">
        <v>76</v>
      </c>
      <c r="E1761" t="s">
        <v>694</v>
      </c>
      <c r="F1761" t="s">
        <v>78</v>
      </c>
      <c r="G1761" t="s">
        <v>695</v>
      </c>
      <c r="H1761" t="s">
        <v>10117</v>
      </c>
      <c r="J1761">
        <v>81307</v>
      </c>
      <c r="L1761">
        <v>37370</v>
      </c>
      <c r="O1761">
        <v>77</v>
      </c>
    </row>
    <row r="1762" spans="1:15" x14ac:dyDescent="0.25">
      <c r="A1762" t="s">
        <v>564</v>
      </c>
      <c r="B1762" t="s">
        <v>30</v>
      </c>
      <c r="C1762" t="s">
        <v>473</v>
      </c>
      <c r="D1762" t="s">
        <v>76</v>
      </c>
      <c r="E1762" t="s">
        <v>886</v>
      </c>
      <c r="F1762" t="s">
        <v>78</v>
      </c>
      <c r="G1762" t="s">
        <v>887</v>
      </c>
      <c r="H1762" t="s">
        <v>10076</v>
      </c>
      <c r="J1762">
        <v>81307</v>
      </c>
      <c r="L1762">
        <v>37370</v>
      </c>
      <c r="O1762">
        <v>78</v>
      </c>
    </row>
    <row r="1763" spans="1:15" x14ac:dyDescent="0.25">
      <c r="A1763" t="s">
        <v>564</v>
      </c>
      <c r="B1763" t="s">
        <v>30</v>
      </c>
      <c r="C1763" t="s">
        <v>473</v>
      </c>
      <c r="D1763" t="s">
        <v>76</v>
      </c>
      <c r="E1763" t="s">
        <v>684</v>
      </c>
      <c r="F1763" t="s">
        <v>78</v>
      </c>
      <c r="G1763" t="s">
        <v>685</v>
      </c>
      <c r="H1763" t="s">
        <v>10104</v>
      </c>
      <c r="J1763">
        <v>81307</v>
      </c>
      <c r="L1763">
        <v>37370</v>
      </c>
      <c r="O1763">
        <v>79</v>
      </c>
    </row>
    <row r="1764" spans="1:15" x14ac:dyDescent="0.25">
      <c r="A1764" t="s">
        <v>564</v>
      </c>
      <c r="B1764" t="s">
        <v>30</v>
      </c>
      <c r="C1764" t="s">
        <v>473</v>
      </c>
      <c r="D1764" t="s">
        <v>76</v>
      </c>
      <c r="E1764" t="s">
        <v>890</v>
      </c>
      <c r="F1764" t="s">
        <v>78</v>
      </c>
      <c r="G1764" t="s">
        <v>891</v>
      </c>
      <c r="H1764" t="s">
        <v>10112</v>
      </c>
      <c r="J1764">
        <v>81307</v>
      </c>
      <c r="L1764">
        <v>37370</v>
      </c>
      <c r="O1764">
        <v>80</v>
      </c>
    </row>
    <row r="1765" spans="1:15" x14ac:dyDescent="0.25">
      <c r="A1765" t="s">
        <v>564</v>
      </c>
      <c r="B1765" t="s">
        <v>30</v>
      </c>
      <c r="C1765" t="s">
        <v>473</v>
      </c>
      <c r="D1765" t="s">
        <v>76</v>
      </c>
      <c r="E1765" t="s">
        <v>686</v>
      </c>
      <c r="F1765" t="s">
        <v>78</v>
      </c>
      <c r="G1765" t="s">
        <v>687</v>
      </c>
      <c r="H1765" t="s">
        <v>10177</v>
      </c>
      <c r="J1765">
        <v>81307</v>
      </c>
      <c r="L1765">
        <v>37370</v>
      </c>
      <c r="O1765">
        <v>81</v>
      </c>
    </row>
    <row r="1766" spans="1:15" x14ac:dyDescent="0.25">
      <c r="A1766" t="s">
        <v>564</v>
      </c>
      <c r="B1766" t="s">
        <v>30</v>
      </c>
      <c r="C1766" t="s">
        <v>473</v>
      </c>
      <c r="D1766" t="s">
        <v>76</v>
      </c>
      <c r="E1766" t="s">
        <v>8399</v>
      </c>
      <c r="F1766" t="s">
        <v>78</v>
      </c>
      <c r="G1766" t="s">
        <v>8400</v>
      </c>
      <c r="H1766" t="s">
        <v>10202</v>
      </c>
      <c r="J1766">
        <v>81307</v>
      </c>
      <c r="L1766">
        <v>37370</v>
      </c>
      <c r="O1766">
        <v>82</v>
      </c>
    </row>
    <row r="1767" spans="1:15" x14ac:dyDescent="0.25">
      <c r="A1767" t="s">
        <v>564</v>
      </c>
      <c r="B1767" t="s">
        <v>30</v>
      </c>
      <c r="C1767" t="s">
        <v>473</v>
      </c>
      <c r="D1767" t="s">
        <v>76</v>
      </c>
      <c r="E1767" t="s">
        <v>858</v>
      </c>
      <c r="F1767" t="s">
        <v>78</v>
      </c>
      <c r="G1767" t="s">
        <v>859</v>
      </c>
      <c r="H1767" t="s">
        <v>10134</v>
      </c>
      <c r="J1767">
        <v>81307</v>
      </c>
      <c r="L1767">
        <v>37370</v>
      </c>
      <c r="O1767">
        <v>83</v>
      </c>
    </row>
    <row r="1768" spans="1:15" x14ac:dyDescent="0.25">
      <c r="A1768" t="s">
        <v>564</v>
      </c>
      <c r="B1768" t="s">
        <v>30</v>
      </c>
      <c r="C1768" t="s">
        <v>473</v>
      </c>
      <c r="D1768" t="s">
        <v>76</v>
      </c>
      <c r="E1768" t="s">
        <v>688</v>
      </c>
      <c r="F1768" t="s">
        <v>78</v>
      </c>
      <c r="G1768" t="s">
        <v>689</v>
      </c>
      <c r="H1768" t="s">
        <v>10131</v>
      </c>
      <c r="J1768">
        <v>81307</v>
      </c>
      <c r="L1768">
        <v>37370</v>
      </c>
      <c r="O1768">
        <v>84</v>
      </c>
    </row>
    <row r="1769" spans="1:15" x14ac:dyDescent="0.25">
      <c r="A1769" t="s">
        <v>564</v>
      </c>
      <c r="B1769" t="s">
        <v>30</v>
      </c>
      <c r="C1769" t="s">
        <v>473</v>
      </c>
      <c r="D1769" t="s">
        <v>76</v>
      </c>
      <c r="E1769" t="s">
        <v>656</v>
      </c>
      <c r="F1769" t="s">
        <v>78</v>
      </c>
      <c r="G1769" t="s">
        <v>657</v>
      </c>
      <c r="H1769" t="s">
        <v>10106</v>
      </c>
      <c r="J1769">
        <v>81307</v>
      </c>
      <c r="L1769">
        <v>37370</v>
      </c>
      <c r="O1769">
        <v>85</v>
      </c>
    </row>
    <row r="1770" spans="1:15" x14ac:dyDescent="0.25">
      <c r="A1770" t="s">
        <v>564</v>
      </c>
      <c r="B1770" t="s">
        <v>30</v>
      </c>
      <c r="C1770" t="s">
        <v>473</v>
      </c>
      <c r="D1770" t="s">
        <v>76</v>
      </c>
      <c r="E1770" t="s">
        <v>8468</v>
      </c>
      <c r="F1770" t="s">
        <v>78</v>
      </c>
      <c r="G1770" t="s">
        <v>8469</v>
      </c>
      <c r="H1770" t="s">
        <v>10201</v>
      </c>
      <c r="J1770">
        <v>81307</v>
      </c>
      <c r="L1770">
        <v>37370</v>
      </c>
      <c r="O1770">
        <v>86</v>
      </c>
    </row>
    <row r="1771" spans="1:15" x14ac:dyDescent="0.25">
      <c r="A1771" t="s">
        <v>564</v>
      </c>
      <c r="B1771" t="s">
        <v>30</v>
      </c>
      <c r="C1771" t="s">
        <v>473</v>
      </c>
      <c r="D1771" t="s">
        <v>76</v>
      </c>
      <c r="E1771" t="s">
        <v>1096</v>
      </c>
      <c r="F1771" t="s">
        <v>78</v>
      </c>
      <c r="G1771" t="s">
        <v>1097</v>
      </c>
      <c r="H1771" t="s">
        <v>10136</v>
      </c>
      <c r="J1771">
        <v>81307</v>
      </c>
      <c r="L1771">
        <v>37370</v>
      </c>
      <c r="O1771">
        <v>87</v>
      </c>
    </row>
    <row r="1772" spans="1:15" x14ac:dyDescent="0.25">
      <c r="A1772" t="s">
        <v>564</v>
      </c>
      <c r="B1772" t="s">
        <v>30</v>
      </c>
      <c r="C1772" t="s">
        <v>473</v>
      </c>
      <c r="D1772" t="s">
        <v>76</v>
      </c>
      <c r="E1772" t="s">
        <v>1093</v>
      </c>
      <c r="F1772" t="s">
        <v>78</v>
      </c>
      <c r="G1772" t="s">
        <v>1094</v>
      </c>
      <c r="H1772" t="s">
        <v>10109</v>
      </c>
      <c r="J1772">
        <v>81307</v>
      </c>
      <c r="L1772">
        <v>37370</v>
      </c>
      <c r="O1772">
        <v>88</v>
      </c>
    </row>
    <row r="1773" spans="1:15" x14ac:dyDescent="0.25">
      <c r="A1773" t="s">
        <v>564</v>
      </c>
      <c r="B1773" t="s">
        <v>30</v>
      </c>
      <c r="C1773" t="s">
        <v>473</v>
      </c>
      <c r="D1773" t="s">
        <v>76</v>
      </c>
      <c r="E1773" t="s">
        <v>1081</v>
      </c>
      <c r="F1773" t="s">
        <v>78</v>
      </c>
      <c r="G1773" t="s">
        <v>1082</v>
      </c>
      <c r="H1773" t="s">
        <v>10113</v>
      </c>
      <c r="J1773">
        <v>81307</v>
      </c>
      <c r="L1773">
        <v>37370</v>
      </c>
      <c r="O1773">
        <v>89</v>
      </c>
    </row>
    <row r="1774" spans="1:15" x14ac:dyDescent="0.25">
      <c r="A1774" t="s">
        <v>564</v>
      </c>
      <c r="B1774" t="s">
        <v>30</v>
      </c>
      <c r="C1774" t="s">
        <v>473</v>
      </c>
      <c r="D1774" t="s">
        <v>76</v>
      </c>
      <c r="E1774" t="s">
        <v>1078</v>
      </c>
      <c r="F1774" t="s">
        <v>78</v>
      </c>
      <c r="G1774" t="s">
        <v>1079</v>
      </c>
      <c r="H1774" t="s">
        <v>10123</v>
      </c>
      <c r="J1774">
        <v>81307</v>
      </c>
      <c r="L1774">
        <v>37370</v>
      </c>
      <c r="O1774">
        <v>90</v>
      </c>
    </row>
    <row r="1775" spans="1:15" x14ac:dyDescent="0.25">
      <c r="A1775" t="s">
        <v>564</v>
      </c>
      <c r="B1775" t="s">
        <v>30</v>
      </c>
      <c r="C1775" t="s">
        <v>473</v>
      </c>
      <c r="D1775" t="s">
        <v>76</v>
      </c>
      <c r="E1775" t="s">
        <v>1075</v>
      </c>
      <c r="F1775" t="s">
        <v>78</v>
      </c>
      <c r="G1775" t="s">
        <v>1076</v>
      </c>
      <c r="H1775" t="s">
        <v>10138</v>
      </c>
      <c r="J1775">
        <v>81307</v>
      </c>
      <c r="L1775">
        <v>37370</v>
      </c>
      <c r="O1775">
        <v>91</v>
      </c>
    </row>
    <row r="1776" spans="1:15" x14ac:dyDescent="0.25">
      <c r="A1776" t="s">
        <v>564</v>
      </c>
      <c r="B1776" t="s">
        <v>30</v>
      </c>
      <c r="C1776" t="s">
        <v>473</v>
      </c>
      <c r="D1776" t="s">
        <v>76</v>
      </c>
      <c r="E1776" t="s">
        <v>1072</v>
      </c>
      <c r="F1776" t="s">
        <v>78</v>
      </c>
      <c r="G1776" t="s">
        <v>1073</v>
      </c>
      <c r="H1776" t="s">
        <v>10139</v>
      </c>
      <c r="J1776">
        <v>81307</v>
      </c>
      <c r="L1776">
        <v>37370</v>
      </c>
      <c r="O1776">
        <v>92</v>
      </c>
    </row>
    <row r="1777" spans="1:15" x14ac:dyDescent="0.25">
      <c r="A1777" t="s">
        <v>564</v>
      </c>
      <c r="B1777" t="s">
        <v>30</v>
      </c>
      <c r="C1777" t="s">
        <v>473</v>
      </c>
      <c r="D1777" t="s">
        <v>76</v>
      </c>
      <c r="E1777" t="s">
        <v>1066</v>
      </c>
      <c r="F1777" t="s">
        <v>78</v>
      </c>
      <c r="G1777" t="s">
        <v>1067</v>
      </c>
      <c r="H1777" t="s">
        <v>10140</v>
      </c>
      <c r="J1777">
        <v>81307</v>
      </c>
      <c r="L1777">
        <v>37370</v>
      </c>
      <c r="O1777">
        <v>93</v>
      </c>
    </row>
    <row r="1778" spans="1:15" x14ac:dyDescent="0.25">
      <c r="A1778" t="s">
        <v>564</v>
      </c>
      <c r="B1778" t="s">
        <v>30</v>
      </c>
      <c r="C1778" t="s">
        <v>473</v>
      </c>
      <c r="D1778" t="s">
        <v>76</v>
      </c>
      <c r="E1778" t="s">
        <v>1060</v>
      </c>
      <c r="F1778" t="s">
        <v>78</v>
      </c>
      <c r="G1778" t="s">
        <v>1061</v>
      </c>
      <c r="H1778" t="s">
        <v>10144</v>
      </c>
      <c r="J1778">
        <v>81307</v>
      </c>
      <c r="L1778">
        <v>37370</v>
      </c>
      <c r="O1778">
        <v>94</v>
      </c>
    </row>
    <row r="1779" spans="1:15" x14ac:dyDescent="0.25">
      <c r="A1779" t="s">
        <v>564</v>
      </c>
      <c r="B1779" t="s">
        <v>30</v>
      </c>
      <c r="C1779" t="s">
        <v>473</v>
      </c>
      <c r="D1779" t="s">
        <v>76</v>
      </c>
      <c r="E1779" t="s">
        <v>1057</v>
      </c>
      <c r="F1779" t="s">
        <v>78</v>
      </c>
      <c r="G1779" t="s">
        <v>1058</v>
      </c>
      <c r="H1779" t="s">
        <v>10152</v>
      </c>
      <c r="J1779">
        <v>81307</v>
      </c>
      <c r="L1779">
        <v>37370</v>
      </c>
      <c r="O1779">
        <v>95</v>
      </c>
    </row>
    <row r="1780" spans="1:15" x14ac:dyDescent="0.25">
      <c r="A1780" t="s">
        <v>564</v>
      </c>
      <c r="B1780" t="s">
        <v>30</v>
      </c>
      <c r="C1780" t="s">
        <v>473</v>
      </c>
      <c r="D1780" t="s">
        <v>76</v>
      </c>
      <c r="E1780" t="s">
        <v>1054</v>
      </c>
      <c r="F1780" t="s">
        <v>78</v>
      </c>
      <c r="G1780" t="s">
        <v>1055</v>
      </c>
      <c r="H1780" t="s">
        <v>10145</v>
      </c>
      <c r="J1780">
        <v>81307</v>
      </c>
      <c r="L1780">
        <v>37370</v>
      </c>
      <c r="O1780">
        <v>96</v>
      </c>
    </row>
    <row r="1781" spans="1:15" x14ac:dyDescent="0.25">
      <c r="A1781" t="s">
        <v>564</v>
      </c>
      <c r="B1781" t="s">
        <v>30</v>
      </c>
      <c r="C1781" t="s">
        <v>473</v>
      </c>
      <c r="D1781" t="s">
        <v>76</v>
      </c>
      <c r="E1781" t="s">
        <v>1051</v>
      </c>
      <c r="F1781" t="s">
        <v>78</v>
      </c>
      <c r="G1781" t="s">
        <v>1052</v>
      </c>
      <c r="H1781" t="s">
        <v>10160</v>
      </c>
      <c r="J1781">
        <v>81307</v>
      </c>
      <c r="L1781">
        <v>37370</v>
      </c>
      <c r="O1781">
        <v>97</v>
      </c>
    </row>
    <row r="1782" spans="1:15" x14ac:dyDescent="0.25">
      <c r="A1782" t="s">
        <v>564</v>
      </c>
      <c r="B1782" t="s">
        <v>30</v>
      </c>
      <c r="C1782" t="s">
        <v>473</v>
      </c>
      <c r="D1782" t="s">
        <v>76</v>
      </c>
      <c r="E1782" t="s">
        <v>1048</v>
      </c>
      <c r="F1782" t="s">
        <v>78</v>
      </c>
      <c r="G1782" t="s">
        <v>1049</v>
      </c>
      <c r="H1782" t="s">
        <v>10163</v>
      </c>
      <c r="J1782">
        <v>81307</v>
      </c>
      <c r="L1782">
        <v>37370</v>
      </c>
      <c r="O1782">
        <v>98</v>
      </c>
    </row>
    <row r="1783" spans="1:15" x14ac:dyDescent="0.25">
      <c r="A1783" t="s">
        <v>564</v>
      </c>
      <c r="B1783" t="s">
        <v>30</v>
      </c>
      <c r="C1783" t="s">
        <v>473</v>
      </c>
      <c r="D1783" t="s">
        <v>76</v>
      </c>
      <c r="E1783" t="s">
        <v>10855</v>
      </c>
      <c r="F1783" t="s">
        <v>78</v>
      </c>
      <c r="G1783" t="s">
        <v>10856</v>
      </c>
      <c r="H1783" t="s">
        <v>10866</v>
      </c>
      <c r="J1783">
        <v>81307</v>
      </c>
      <c r="L1783">
        <v>37370</v>
      </c>
      <c r="O1783">
        <v>99</v>
      </c>
    </row>
    <row r="1784" spans="1:15" x14ac:dyDescent="0.25">
      <c r="A1784" t="s">
        <v>564</v>
      </c>
      <c r="B1784" t="s">
        <v>30</v>
      </c>
      <c r="C1784" t="s">
        <v>473</v>
      </c>
      <c r="D1784" t="s">
        <v>76</v>
      </c>
      <c r="E1784" t="s">
        <v>1042</v>
      </c>
      <c r="F1784" t="s">
        <v>78</v>
      </c>
      <c r="G1784" t="s">
        <v>1043</v>
      </c>
      <c r="H1784" t="s">
        <v>10142</v>
      </c>
      <c r="J1784">
        <v>81307</v>
      </c>
      <c r="L1784">
        <v>37370</v>
      </c>
      <c r="O1784">
        <v>100</v>
      </c>
    </row>
    <row r="1785" spans="1:15" x14ac:dyDescent="0.25">
      <c r="A1785" t="s">
        <v>564</v>
      </c>
      <c r="B1785" t="s">
        <v>30</v>
      </c>
      <c r="C1785" t="s">
        <v>473</v>
      </c>
      <c r="D1785" t="s">
        <v>76</v>
      </c>
      <c r="E1785" t="s">
        <v>1033</v>
      </c>
      <c r="F1785" t="s">
        <v>78</v>
      </c>
      <c r="G1785" t="s">
        <v>1034</v>
      </c>
      <c r="H1785" t="s">
        <v>10167</v>
      </c>
      <c r="J1785">
        <v>81307</v>
      </c>
      <c r="L1785">
        <v>37370</v>
      </c>
      <c r="O1785">
        <v>101</v>
      </c>
    </row>
    <row r="1786" spans="1:15" x14ac:dyDescent="0.25">
      <c r="A1786" t="s">
        <v>564</v>
      </c>
      <c r="B1786" t="s">
        <v>30</v>
      </c>
      <c r="C1786" t="s">
        <v>473</v>
      </c>
      <c r="D1786" t="s">
        <v>76</v>
      </c>
      <c r="E1786" t="s">
        <v>1030</v>
      </c>
      <c r="F1786" t="s">
        <v>78</v>
      </c>
      <c r="G1786" t="s">
        <v>1031</v>
      </c>
      <c r="H1786" t="s">
        <v>10149</v>
      </c>
      <c r="J1786">
        <v>81307</v>
      </c>
      <c r="L1786">
        <v>37370</v>
      </c>
      <c r="O1786">
        <v>102</v>
      </c>
    </row>
    <row r="1787" spans="1:15" x14ac:dyDescent="0.25">
      <c r="A1787" t="s">
        <v>564</v>
      </c>
      <c r="B1787" t="s">
        <v>30</v>
      </c>
      <c r="C1787" t="s">
        <v>473</v>
      </c>
      <c r="D1787" t="s">
        <v>76</v>
      </c>
      <c r="E1787" t="s">
        <v>1027</v>
      </c>
      <c r="F1787" t="s">
        <v>78</v>
      </c>
      <c r="G1787" t="s">
        <v>1028</v>
      </c>
      <c r="H1787" t="s">
        <v>10161</v>
      </c>
      <c r="J1787">
        <v>81307</v>
      </c>
      <c r="L1787">
        <v>37370</v>
      </c>
      <c r="O1787">
        <v>103</v>
      </c>
    </row>
    <row r="1788" spans="1:15" x14ac:dyDescent="0.25">
      <c r="A1788" t="s">
        <v>564</v>
      </c>
      <c r="B1788" t="s">
        <v>30</v>
      </c>
      <c r="C1788" t="s">
        <v>473</v>
      </c>
      <c r="D1788" t="s">
        <v>76</v>
      </c>
      <c r="E1788" t="s">
        <v>678</v>
      </c>
      <c r="F1788" t="s">
        <v>78</v>
      </c>
      <c r="G1788" t="s">
        <v>679</v>
      </c>
      <c r="H1788" t="s">
        <v>10143</v>
      </c>
      <c r="J1788">
        <v>81307</v>
      </c>
      <c r="L1788">
        <v>37370</v>
      </c>
      <c r="O1788">
        <v>104</v>
      </c>
    </row>
    <row r="1789" spans="1:15" x14ac:dyDescent="0.25">
      <c r="A1789" t="s">
        <v>564</v>
      </c>
      <c r="B1789" t="s">
        <v>30</v>
      </c>
      <c r="C1789" t="s">
        <v>473</v>
      </c>
      <c r="D1789" t="s">
        <v>76</v>
      </c>
      <c r="E1789" t="s">
        <v>692</v>
      </c>
      <c r="F1789" t="s">
        <v>78</v>
      </c>
      <c r="G1789" t="s">
        <v>693</v>
      </c>
      <c r="H1789" t="s">
        <v>10127</v>
      </c>
      <c r="J1789">
        <v>81307</v>
      </c>
      <c r="L1789">
        <v>37370</v>
      </c>
      <c r="O1789">
        <v>105</v>
      </c>
    </row>
    <row r="1790" spans="1:15" x14ac:dyDescent="0.25">
      <c r="A1790" t="s">
        <v>564</v>
      </c>
      <c r="B1790" t="s">
        <v>30</v>
      </c>
      <c r="C1790" t="s">
        <v>473</v>
      </c>
      <c r="D1790" t="s">
        <v>76</v>
      </c>
      <c r="E1790" t="s">
        <v>1018</v>
      </c>
      <c r="F1790" t="s">
        <v>78</v>
      </c>
      <c r="G1790" t="s">
        <v>1019</v>
      </c>
      <c r="H1790" t="s">
        <v>10141</v>
      </c>
      <c r="J1790">
        <v>81307</v>
      </c>
      <c r="L1790">
        <v>37370</v>
      </c>
      <c r="O1790">
        <v>106</v>
      </c>
    </row>
    <row r="1791" spans="1:15" x14ac:dyDescent="0.25">
      <c r="A1791" t="s">
        <v>564</v>
      </c>
      <c r="B1791" t="s">
        <v>30</v>
      </c>
      <c r="C1791" t="s">
        <v>473</v>
      </c>
      <c r="D1791" t="s">
        <v>76</v>
      </c>
      <c r="E1791" t="s">
        <v>1015</v>
      </c>
      <c r="F1791" t="s">
        <v>78</v>
      </c>
      <c r="G1791" t="s">
        <v>1016</v>
      </c>
      <c r="H1791" t="s">
        <v>10116</v>
      </c>
      <c r="J1791">
        <v>81307</v>
      </c>
      <c r="L1791">
        <v>37370</v>
      </c>
      <c r="O1791">
        <v>107</v>
      </c>
    </row>
    <row r="1792" spans="1:15" x14ac:dyDescent="0.25">
      <c r="A1792" t="s">
        <v>564</v>
      </c>
      <c r="B1792" t="s">
        <v>30</v>
      </c>
      <c r="C1792" t="s">
        <v>473</v>
      </c>
      <c r="D1792" t="s">
        <v>76</v>
      </c>
      <c r="E1792" t="s">
        <v>1003</v>
      </c>
      <c r="F1792" t="s">
        <v>78</v>
      </c>
      <c r="G1792" t="s">
        <v>1004</v>
      </c>
      <c r="H1792" t="s">
        <v>10164</v>
      </c>
      <c r="J1792">
        <v>81307</v>
      </c>
      <c r="L1792">
        <v>37370</v>
      </c>
      <c r="O1792">
        <v>108</v>
      </c>
    </row>
    <row r="1793" spans="1:15" x14ac:dyDescent="0.25">
      <c r="A1793" t="s">
        <v>564</v>
      </c>
      <c r="B1793" t="s">
        <v>30</v>
      </c>
      <c r="C1793" t="s">
        <v>473</v>
      </c>
      <c r="D1793" t="s">
        <v>76</v>
      </c>
      <c r="E1793" t="s">
        <v>1000</v>
      </c>
      <c r="F1793" t="s">
        <v>78</v>
      </c>
      <c r="G1793" t="s">
        <v>1001</v>
      </c>
      <c r="H1793" t="s">
        <v>10155</v>
      </c>
      <c r="J1793">
        <v>81307</v>
      </c>
      <c r="L1793">
        <v>37370</v>
      </c>
      <c r="O1793">
        <v>109</v>
      </c>
    </row>
    <row r="1794" spans="1:15" x14ac:dyDescent="0.25">
      <c r="A1794" t="s">
        <v>564</v>
      </c>
      <c r="B1794" t="s">
        <v>30</v>
      </c>
      <c r="C1794" t="s">
        <v>473</v>
      </c>
      <c r="D1794" t="s">
        <v>76</v>
      </c>
      <c r="E1794" t="s">
        <v>997</v>
      </c>
      <c r="F1794" t="s">
        <v>78</v>
      </c>
      <c r="G1794" t="s">
        <v>998</v>
      </c>
      <c r="H1794" t="s">
        <v>10158</v>
      </c>
      <c r="J1794">
        <v>81307</v>
      </c>
      <c r="L1794">
        <v>37370</v>
      </c>
      <c r="O1794">
        <v>110</v>
      </c>
    </row>
    <row r="1795" spans="1:15" x14ac:dyDescent="0.25">
      <c r="A1795" t="s">
        <v>564</v>
      </c>
      <c r="B1795" t="s">
        <v>30</v>
      </c>
      <c r="C1795" t="s">
        <v>473</v>
      </c>
      <c r="D1795" t="s">
        <v>76</v>
      </c>
      <c r="E1795" t="s">
        <v>994</v>
      </c>
      <c r="F1795" t="s">
        <v>78</v>
      </c>
      <c r="G1795" t="s">
        <v>995</v>
      </c>
      <c r="H1795" t="s">
        <v>10146</v>
      </c>
      <c r="J1795">
        <v>81307</v>
      </c>
      <c r="L1795">
        <v>37370</v>
      </c>
      <c r="O1795">
        <v>111</v>
      </c>
    </row>
    <row r="1796" spans="1:15" x14ac:dyDescent="0.25">
      <c r="A1796" t="s">
        <v>564</v>
      </c>
      <c r="B1796" t="s">
        <v>30</v>
      </c>
      <c r="C1796" t="s">
        <v>473</v>
      </c>
      <c r="D1796" t="s">
        <v>76</v>
      </c>
      <c r="E1796" t="s">
        <v>988</v>
      </c>
      <c r="F1796" t="s">
        <v>78</v>
      </c>
      <c r="G1796" t="s">
        <v>989</v>
      </c>
      <c r="H1796" t="s">
        <v>10159</v>
      </c>
      <c r="J1796">
        <v>81307</v>
      </c>
      <c r="L1796">
        <v>37370</v>
      </c>
      <c r="O1796">
        <v>112</v>
      </c>
    </row>
    <row r="1797" spans="1:15" x14ac:dyDescent="0.25">
      <c r="A1797" t="s">
        <v>564</v>
      </c>
      <c r="B1797" t="s">
        <v>30</v>
      </c>
      <c r="C1797" t="s">
        <v>473</v>
      </c>
      <c r="D1797" t="s">
        <v>76</v>
      </c>
      <c r="E1797" t="s">
        <v>985</v>
      </c>
      <c r="F1797" t="s">
        <v>78</v>
      </c>
      <c r="G1797" t="s">
        <v>986</v>
      </c>
      <c r="H1797" t="s">
        <v>10165</v>
      </c>
      <c r="J1797">
        <v>81307</v>
      </c>
      <c r="L1797">
        <v>37370</v>
      </c>
      <c r="O1797">
        <v>113</v>
      </c>
    </row>
    <row r="1798" spans="1:15" x14ac:dyDescent="0.25">
      <c r="A1798" t="s">
        <v>564</v>
      </c>
      <c r="B1798" t="s">
        <v>30</v>
      </c>
      <c r="C1798" t="s">
        <v>473</v>
      </c>
      <c r="D1798" t="s">
        <v>76</v>
      </c>
      <c r="E1798" t="s">
        <v>982</v>
      </c>
      <c r="F1798" t="s">
        <v>78</v>
      </c>
      <c r="G1798" t="s">
        <v>983</v>
      </c>
      <c r="H1798" t="s">
        <v>10148</v>
      </c>
      <c r="J1798">
        <v>81307</v>
      </c>
      <c r="L1798">
        <v>37370</v>
      </c>
      <c r="O1798">
        <v>114</v>
      </c>
    </row>
    <row r="1799" spans="1:15" x14ac:dyDescent="0.25">
      <c r="A1799" t="s">
        <v>564</v>
      </c>
      <c r="B1799" t="s">
        <v>30</v>
      </c>
      <c r="C1799" t="s">
        <v>473</v>
      </c>
      <c r="D1799" t="s">
        <v>76</v>
      </c>
      <c r="E1799" t="s">
        <v>979</v>
      </c>
      <c r="F1799" t="s">
        <v>78</v>
      </c>
      <c r="G1799" t="s">
        <v>980</v>
      </c>
      <c r="H1799" t="s">
        <v>10150</v>
      </c>
      <c r="J1799">
        <v>81307</v>
      </c>
      <c r="L1799">
        <v>37370</v>
      </c>
      <c r="O1799">
        <v>115</v>
      </c>
    </row>
    <row r="1800" spans="1:15" x14ac:dyDescent="0.25">
      <c r="A1800" t="s">
        <v>564</v>
      </c>
      <c r="B1800" t="s">
        <v>30</v>
      </c>
      <c r="C1800" t="s">
        <v>473</v>
      </c>
      <c r="D1800" t="s">
        <v>76</v>
      </c>
      <c r="E1800" t="s">
        <v>976</v>
      </c>
      <c r="F1800" t="s">
        <v>78</v>
      </c>
      <c r="G1800" t="s">
        <v>977</v>
      </c>
      <c r="H1800" t="s">
        <v>10156</v>
      </c>
      <c r="J1800">
        <v>81307</v>
      </c>
      <c r="L1800">
        <v>37370</v>
      </c>
      <c r="O1800">
        <v>116</v>
      </c>
    </row>
    <row r="1801" spans="1:15" x14ac:dyDescent="0.25">
      <c r="A1801" t="s">
        <v>564</v>
      </c>
      <c r="B1801" t="s">
        <v>30</v>
      </c>
      <c r="C1801" t="s">
        <v>473</v>
      </c>
      <c r="D1801" t="s">
        <v>76</v>
      </c>
      <c r="E1801" t="s">
        <v>973</v>
      </c>
      <c r="F1801" t="s">
        <v>78</v>
      </c>
      <c r="G1801" t="s">
        <v>974</v>
      </c>
      <c r="H1801" t="s">
        <v>10166</v>
      </c>
      <c r="J1801">
        <v>81307</v>
      </c>
      <c r="L1801">
        <v>37370</v>
      </c>
      <c r="O1801">
        <v>117</v>
      </c>
    </row>
    <row r="1802" spans="1:15" x14ac:dyDescent="0.25">
      <c r="A1802" t="s">
        <v>564</v>
      </c>
      <c r="B1802" t="s">
        <v>30</v>
      </c>
      <c r="C1802" t="s">
        <v>473</v>
      </c>
      <c r="D1802" t="s">
        <v>76</v>
      </c>
      <c r="E1802" t="s">
        <v>970</v>
      </c>
      <c r="F1802" t="s">
        <v>78</v>
      </c>
      <c r="G1802" t="s">
        <v>971</v>
      </c>
      <c r="H1802" t="s">
        <v>10157</v>
      </c>
      <c r="J1802">
        <v>81307</v>
      </c>
      <c r="L1802">
        <v>37370</v>
      </c>
      <c r="O1802">
        <v>118</v>
      </c>
    </row>
    <row r="1803" spans="1:15" x14ac:dyDescent="0.25">
      <c r="A1803" t="s">
        <v>564</v>
      </c>
      <c r="B1803" t="s">
        <v>30</v>
      </c>
      <c r="C1803" t="s">
        <v>473</v>
      </c>
      <c r="D1803" t="s">
        <v>76</v>
      </c>
      <c r="E1803" t="s">
        <v>967</v>
      </c>
      <c r="F1803" t="s">
        <v>78</v>
      </c>
      <c r="G1803" t="s">
        <v>968</v>
      </c>
      <c r="H1803" t="s">
        <v>10162</v>
      </c>
      <c r="J1803">
        <v>81307</v>
      </c>
      <c r="L1803">
        <v>37370</v>
      </c>
      <c r="O1803">
        <v>119</v>
      </c>
    </row>
    <row r="1804" spans="1:15" x14ac:dyDescent="0.25">
      <c r="A1804" t="s">
        <v>564</v>
      </c>
      <c r="B1804" t="s">
        <v>30</v>
      </c>
      <c r="C1804" t="s">
        <v>473</v>
      </c>
      <c r="D1804" t="s">
        <v>76</v>
      </c>
      <c r="E1804" t="s">
        <v>964</v>
      </c>
      <c r="F1804" t="s">
        <v>78</v>
      </c>
      <c r="G1804" t="s">
        <v>965</v>
      </c>
      <c r="H1804" t="s">
        <v>10147</v>
      </c>
      <c r="J1804">
        <v>81307</v>
      </c>
      <c r="L1804">
        <v>37370</v>
      </c>
      <c r="O1804">
        <v>120</v>
      </c>
    </row>
    <row r="1805" spans="1:15" x14ac:dyDescent="0.25">
      <c r="A1805" t="s">
        <v>564</v>
      </c>
      <c r="B1805" t="s">
        <v>30</v>
      </c>
      <c r="C1805" t="s">
        <v>473</v>
      </c>
      <c r="D1805" t="s">
        <v>76</v>
      </c>
      <c r="E1805" t="s">
        <v>961</v>
      </c>
      <c r="F1805" t="s">
        <v>78</v>
      </c>
      <c r="G1805" t="s">
        <v>962</v>
      </c>
      <c r="H1805" t="s">
        <v>10126</v>
      </c>
      <c r="J1805">
        <v>81307</v>
      </c>
      <c r="L1805">
        <v>37370</v>
      </c>
      <c r="O1805">
        <v>121</v>
      </c>
    </row>
    <row r="1806" spans="1:15" x14ac:dyDescent="0.25">
      <c r="A1806" t="s">
        <v>564</v>
      </c>
      <c r="B1806" t="s">
        <v>30</v>
      </c>
      <c r="C1806" t="s">
        <v>473</v>
      </c>
      <c r="D1806" t="s">
        <v>76</v>
      </c>
      <c r="E1806" t="s">
        <v>955</v>
      </c>
      <c r="F1806" t="s">
        <v>78</v>
      </c>
      <c r="G1806" t="s">
        <v>956</v>
      </c>
      <c r="H1806" t="s">
        <v>10151</v>
      </c>
      <c r="J1806">
        <v>81307</v>
      </c>
      <c r="L1806">
        <v>37370</v>
      </c>
      <c r="O1806">
        <v>122</v>
      </c>
    </row>
    <row r="1807" spans="1:15" x14ac:dyDescent="0.25">
      <c r="A1807" t="s">
        <v>564</v>
      </c>
      <c r="B1807" t="s">
        <v>30</v>
      </c>
      <c r="C1807" t="s">
        <v>473</v>
      </c>
      <c r="D1807" t="s">
        <v>76</v>
      </c>
      <c r="E1807" t="s">
        <v>680</v>
      </c>
      <c r="F1807" t="s">
        <v>78</v>
      </c>
      <c r="G1807" t="s">
        <v>681</v>
      </c>
      <c r="H1807" t="s">
        <v>10103</v>
      </c>
      <c r="J1807">
        <v>81307</v>
      </c>
      <c r="L1807">
        <v>37370</v>
      </c>
      <c r="O1807">
        <v>123</v>
      </c>
    </row>
    <row r="1808" spans="1:15" x14ac:dyDescent="0.25">
      <c r="A1808" t="s">
        <v>564</v>
      </c>
      <c r="B1808" t="s">
        <v>30</v>
      </c>
      <c r="C1808" t="s">
        <v>473</v>
      </c>
      <c r="D1808" t="s">
        <v>76</v>
      </c>
      <c r="E1808" t="s">
        <v>949</v>
      </c>
      <c r="F1808" t="s">
        <v>78</v>
      </c>
      <c r="G1808" t="s">
        <v>950</v>
      </c>
      <c r="H1808" t="s">
        <v>10153</v>
      </c>
      <c r="J1808">
        <v>81307</v>
      </c>
      <c r="L1808">
        <v>37370</v>
      </c>
      <c r="O1808">
        <v>124</v>
      </c>
    </row>
    <row r="1809" spans="1:15" x14ac:dyDescent="0.25">
      <c r="A1809" t="s">
        <v>564</v>
      </c>
      <c r="B1809" t="s">
        <v>30</v>
      </c>
      <c r="C1809" t="s">
        <v>473</v>
      </c>
      <c r="D1809" t="s">
        <v>76</v>
      </c>
      <c r="E1809" t="s">
        <v>946</v>
      </c>
      <c r="F1809" t="s">
        <v>78</v>
      </c>
      <c r="G1809" t="s">
        <v>947</v>
      </c>
      <c r="H1809" t="s">
        <v>10154</v>
      </c>
      <c r="J1809">
        <v>81307</v>
      </c>
      <c r="L1809">
        <v>37370</v>
      </c>
      <c r="O1809">
        <v>125</v>
      </c>
    </row>
    <row r="1810" spans="1:15" x14ac:dyDescent="0.25">
      <c r="A1810" t="s">
        <v>564</v>
      </c>
      <c r="B1810" t="s">
        <v>30</v>
      </c>
      <c r="C1810" t="s">
        <v>473</v>
      </c>
      <c r="D1810" t="s">
        <v>76</v>
      </c>
      <c r="E1810" t="s">
        <v>943</v>
      </c>
      <c r="F1810" t="s">
        <v>78</v>
      </c>
      <c r="G1810" t="s">
        <v>944</v>
      </c>
      <c r="H1810" t="s">
        <v>10115</v>
      </c>
      <c r="J1810">
        <v>81307</v>
      </c>
      <c r="L1810">
        <v>37370</v>
      </c>
      <c r="O1810">
        <v>126</v>
      </c>
    </row>
    <row r="1811" spans="1:15" x14ac:dyDescent="0.25">
      <c r="A1811" t="s">
        <v>564</v>
      </c>
      <c r="B1811" t="s">
        <v>30</v>
      </c>
      <c r="C1811" t="s">
        <v>473</v>
      </c>
      <c r="D1811" t="s">
        <v>76</v>
      </c>
      <c r="E1811" t="s">
        <v>931</v>
      </c>
      <c r="F1811" t="s">
        <v>78</v>
      </c>
      <c r="G1811" t="s">
        <v>932</v>
      </c>
      <c r="H1811" t="s">
        <v>10114</v>
      </c>
      <c r="J1811">
        <v>81307</v>
      </c>
      <c r="L1811">
        <v>37370</v>
      </c>
      <c r="O1811">
        <v>127</v>
      </c>
    </row>
    <row r="1812" spans="1:15" x14ac:dyDescent="0.25">
      <c r="A1812" t="s">
        <v>564</v>
      </c>
      <c r="B1812" t="s">
        <v>30</v>
      </c>
      <c r="C1812" t="s">
        <v>473</v>
      </c>
      <c r="D1812" t="s">
        <v>76</v>
      </c>
      <c r="E1812" t="s">
        <v>690</v>
      </c>
      <c r="F1812" t="s">
        <v>78</v>
      </c>
      <c r="G1812" t="s">
        <v>691</v>
      </c>
      <c r="H1812" t="s">
        <v>10128</v>
      </c>
      <c r="J1812">
        <v>81307</v>
      </c>
      <c r="L1812">
        <v>37370</v>
      </c>
      <c r="O1812">
        <v>128</v>
      </c>
    </row>
    <row r="1813" spans="1:15" x14ac:dyDescent="0.25">
      <c r="A1813" t="s">
        <v>564</v>
      </c>
      <c r="B1813" t="s">
        <v>30</v>
      </c>
      <c r="C1813" t="s">
        <v>473</v>
      </c>
      <c r="D1813" t="s">
        <v>76</v>
      </c>
      <c r="E1813" t="s">
        <v>927</v>
      </c>
      <c r="F1813" t="s">
        <v>78</v>
      </c>
      <c r="G1813" t="s">
        <v>928</v>
      </c>
      <c r="H1813" t="s">
        <v>10132</v>
      </c>
      <c r="J1813">
        <v>81307</v>
      </c>
      <c r="L1813">
        <v>37370</v>
      </c>
      <c r="O1813">
        <v>129</v>
      </c>
    </row>
    <row r="1814" spans="1:15" x14ac:dyDescent="0.25">
      <c r="A1814" t="s">
        <v>564</v>
      </c>
      <c r="B1814" t="s">
        <v>30</v>
      </c>
      <c r="C1814" t="s">
        <v>473</v>
      </c>
      <c r="D1814" t="s">
        <v>76</v>
      </c>
      <c r="E1814" t="s">
        <v>918</v>
      </c>
      <c r="F1814" t="s">
        <v>78</v>
      </c>
      <c r="G1814" t="s">
        <v>919</v>
      </c>
      <c r="H1814" t="s">
        <v>10133</v>
      </c>
      <c r="J1814">
        <v>81307</v>
      </c>
      <c r="L1814">
        <v>37370</v>
      </c>
      <c r="O1814">
        <v>130</v>
      </c>
    </row>
    <row r="1815" spans="1:15" x14ac:dyDescent="0.25">
      <c r="A1815" t="s">
        <v>564</v>
      </c>
      <c r="B1815" t="s">
        <v>30</v>
      </c>
      <c r="C1815" t="s">
        <v>473</v>
      </c>
      <c r="D1815" t="s">
        <v>76</v>
      </c>
      <c r="E1815" t="s">
        <v>912</v>
      </c>
      <c r="F1815" t="s">
        <v>78</v>
      </c>
      <c r="G1815" t="s">
        <v>913</v>
      </c>
      <c r="H1815" t="s">
        <v>10130</v>
      </c>
      <c r="J1815">
        <v>81307</v>
      </c>
      <c r="L1815">
        <v>37370</v>
      </c>
      <c r="O1815">
        <v>131</v>
      </c>
    </row>
    <row r="1816" spans="1:15" x14ac:dyDescent="0.25">
      <c r="A1816" t="s">
        <v>564</v>
      </c>
      <c r="B1816" t="s">
        <v>30</v>
      </c>
      <c r="C1816" t="s">
        <v>473</v>
      </c>
      <c r="D1816" t="s">
        <v>76</v>
      </c>
      <c r="E1816" t="s">
        <v>906</v>
      </c>
      <c r="F1816" t="s">
        <v>78</v>
      </c>
      <c r="G1816" t="s">
        <v>907</v>
      </c>
      <c r="H1816" t="s">
        <v>10122</v>
      </c>
      <c r="J1816">
        <v>81307</v>
      </c>
      <c r="L1816">
        <v>37370</v>
      </c>
      <c r="O1816">
        <v>132</v>
      </c>
    </row>
    <row r="1817" spans="1:15" x14ac:dyDescent="0.25">
      <c r="A1817" t="s">
        <v>564</v>
      </c>
      <c r="B1817" t="s">
        <v>30</v>
      </c>
      <c r="C1817" t="s">
        <v>473</v>
      </c>
      <c r="D1817" t="s">
        <v>76</v>
      </c>
      <c r="E1817" t="s">
        <v>903</v>
      </c>
      <c r="F1817" t="s">
        <v>78</v>
      </c>
      <c r="G1817" t="s">
        <v>904</v>
      </c>
      <c r="H1817" t="s">
        <v>10125</v>
      </c>
      <c r="J1817">
        <v>81307</v>
      </c>
      <c r="L1817">
        <v>37370</v>
      </c>
      <c r="O1817">
        <v>133</v>
      </c>
    </row>
    <row r="1818" spans="1:15" x14ac:dyDescent="0.25">
      <c r="A1818" t="s">
        <v>564</v>
      </c>
      <c r="B1818" t="s">
        <v>30</v>
      </c>
      <c r="C1818" t="s">
        <v>473</v>
      </c>
      <c r="D1818" t="s">
        <v>76</v>
      </c>
      <c r="E1818" t="s">
        <v>900</v>
      </c>
      <c r="F1818" t="s">
        <v>78</v>
      </c>
      <c r="G1818" t="s">
        <v>901</v>
      </c>
      <c r="H1818" t="s">
        <v>10135</v>
      </c>
      <c r="J1818">
        <v>81307</v>
      </c>
      <c r="L1818">
        <v>37370</v>
      </c>
      <c r="O1818">
        <v>134</v>
      </c>
    </row>
    <row r="1819" spans="1:15" x14ac:dyDescent="0.25">
      <c r="A1819" t="s">
        <v>564</v>
      </c>
      <c r="B1819" t="s">
        <v>30</v>
      </c>
      <c r="C1819" t="s">
        <v>473</v>
      </c>
      <c r="D1819" t="s">
        <v>76</v>
      </c>
      <c r="E1819" t="s">
        <v>682</v>
      </c>
      <c r="F1819" t="s">
        <v>78</v>
      </c>
      <c r="G1819" t="s">
        <v>683</v>
      </c>
      <c r="H1819" t="s">
        <v>10097</v>
      </c>
      <c r="J1819">
        <v>81307</v>
      </c>
      <c r="L1819">
        <v>37370</v>
      </c>
      <c r="O1819">
        <v>135</v>
      </c>
    </row>
    <row r="1820" spans="1:15" x14ac:dyDescent="0.25">
      <c r="A1820" t="s">
        <v>564</v>
      </c>
      <c r="B1820" t="s">
        <v>30</v>
      </c>
      <c r="C1820" t="s">
        <v>473</v>
      </c>
      <c r="D1820" t="s">
        <v>76</v>
      </c>
      <c r="E1820" t="s">
        <v>686</v>
      </c>
      <c r="F1820" t="s">
        <v>894</v>
      </c>
      <c r="G1820" t="s">
        <v>895</v>
      </c>
      <c r="H1820" t="s">
        <v>10178</v>
      </c>
      <c r="J1820">
        <v>81307</v>
      </c>
      <c r="L1820">
        <v>37370</v>
      </c>
      <c r="O1820">
        <v>136</v>
      </c>
    </row>
    <row r="1821" spans="1:15" x14ac:dyDescent="0.25">
      <c r="A1821" t="s">
        <v>564</v>
      </c>
      <c r="B1821" t="s">
        <v>30</v>
      </c>
      <c r="C1821" t="s">
        <v>473</v>
      </c>
      <c r="D1821" t="s">
        <v>76</v>
      </c>
      <c r="E1821" t="s">
        <v>686</v>
      </c>
      <c r="F1821" t="s">
        <v>909</v>
      </c>
      <c r="G1821" t="s">
        <v>910</v>
      </c>
      <c r="H1821" t="s">
        <v>10179</v>
      </c>
      <c r="J1821">
        <v>81307</v>
      </c>
      <c r="L1821">
        <v>37370</v>
      </c>
      <c r="O1821">
        <v>137</v>
      </c>
    </row>
    <row r="1822" spans="1:15" x14ac:dyDescent="0.25">
      <c r="A1822" t="s">
        <v>564</v>
      </c>
      <c r="B1822" t="s">
        <v>30</v>
      </c>
      <c r="C1822" t="s">
        <v>473</v>
      </c>
      <c r="D1822" t="s">
        <v>76</v>
      </c>
      <c r="E1822" t="s">
        <v>686</v>
      </c>
      <c r="F1822" t="s">
        <v>915</v>
      </c>
      <c r="G1822" t="s">
        <v>916</v>
      </c>
      <c r="H1822" t="s">
        <v>10193</v>
      </c>
      <c r="J1822">
        <v>81307</v>
      </c>
      <c r="L1822">
        <v>37370</v>
      </c>
      <c r="O1822">
        <v>138</v>
      </c>
    </row>
    <row r="1823" spans="1:15" x14ac:dyDescent="0.25">
      <c r="A1823" t="s">
        <v>564</v>
      </c>
      <c r="B1823" t="s">
        <v>30</v>
      </c>
      <c r="C1823" t="s">
        <v>473</v>
      </c>
      <c r="D1823" t="s">
        <v>76</v>
      </c>
      <c r="E1823" t="s">
        <v>686</v>
      </c>
      <c r="F1823" t="s">
        <v>921</v>
      </c>
      <c r="G1823" t="s">
        <v>922</v>
      </c>
      <c r="H1823" t="s">
        <v>10186</v>
      </c>
      <c r="J1823">
        <v>81307</v>
      </c>
      <c r="L1823">
        <v>37370</v>
      </c>
      <c r="O1823">
        <v>139</v>
      </c>
    </row>
    <row r="1824" spans="1:15" x14ac:dyDescent="0.25">
      <c r="A1824" t="s">
        <v>564</v>
      </c>
      <c r="B1824" t="s">
        <v>30</v>
      </c>
      <c r="C1824" t="s">
        <v>473</v>
      </c>
      <c r="D1824" t="s">
        <v>76</v>
      </c>
      <c r="E1824" t="s">
        <v>686</v>
      </c>
      <c r="F1824" t="s">
        <v>924</v>
      </c>
      <c r="G1824" t="s">
        <v>925</v>
      </c>
      <c r="H1824" t="s">
        <v>10181</v>
      </c>
      <c r="J1824">
        <v>81307</v>
      </c>
      <c r="L1824">
        <v>37370</v>
      </c>
      <c r="O1824">
        <v>140</v>
      </c>
    </row>
    <row r="1825" spans="1:15" x14ac:dyDescent="0.25">
      <c r="A1825" t="s">
        <v>564</v>
      </c>
      <c r="B1825" t="s">
        <v>30</v>
      </c>
      <c r="C1825" t="s">
        <v>473</v>
      </c>
      <c r="D1825" t="s">
        <v>76</v>
      </c>
      <c r="E1825" t="s">
        <v>686</v>
      </c>
      <c r="F1825" t="s">
        <v>934</v>
      </c>
      <c r="G1825" t="s">
        <v>935</v>
      </c>
      <c r="H1825" t="s">
        <v>10188</v>
      </c>
      <c r="J1825">
        <v>81307</v>
      </c>
      <c r="L1825">
        <v>37370</v>
      </c>
      <c r="O1825">
        <v>141</v>
      </c>
    </row>
    <row r="1826" spans="1:15" x14ac:dyDescent="0.25">
      <c r="A1826" t="s">
        <v>564</v>
      </c>
      <c r="B1826" t="s">
        <v>30</v>
      </c>
      <c r="C1826" t="s">
        <v>473</v>
      </c>
      <c r="D1826" t="s">
        <v>76</v>
      </c>
      <c r="E1826" t="s">
        <v>686</v>
      </c>
      <c r="F1826" t="s">
        <v>937</v>
      </c>
      <c r="G1826" t="s">
        <v>938</v>
      </c>
      <c r="H1826" t="s">
        <v>10184</v>
      </c>
      <c r="J1826">
        <v>81307</v>
      </c>
      <c r="L1826">
        <v>37370</v>
      </c>
      <c r="O1826">
        <v>142</v>
      </c>
    </row>
    <row r="1827" spans="1:15" x14ac:dyDescent="0.25">
      <c r="A1827" t="s">
        <v>564</v>
      </c>
      <c r="B1827" t="s">
        <v>30</v>
      </c>
      <c r="C1827" t="s">
        <v>473</v>
      </c>
      <c r="D1827" t="s">
        <v>76</v>
      </c>
      <c r="E1827" t="s">
        <v>686</v>
      </c>
      <c r="F1827" t="s">
        <v>940</v>
      </c>
      <c r="G1827" t="s">
        <v>941</v>
      </c>
      <c r="H1827" t="s">
        <v>10197</v>
      </c>
      <c r="J1827">
        <v>81307</v>
      </c>
      <c r="L1827">
        <v>37370</v>
      </c>
      <c r="O1827">
        <v>143</v>
      </c>
    </row>
    <row r="1828" spans="1:15" x14ac:dyDescent="0.25">
      <c r="A1828" t="s">
        <v>564</v>
      </c>
      <c r="B1828" t="s">
        <v>30</v>
      </c>
      <c r="C1828" t="s">
        <v>473</v>
      </c>
      <c r="D1828" t="s">
        <v>76</v>
      </c>
      <c r="E1828" t="s">
        <v>686</v>
      </c>
      <c r="F1828" t="s">
        <v>952</v>
      </c>
      <c r="G1828" t="s">
        <v>953</v>
      </c>
      <c r="H1828" t="s">
        <v>10187</v>
      </c>
      <c r="J1828">
        <v>81307</v>
      </c>
      <c r="L1828">
        <v>37370</v>
      </c>
      <c r="O1828">
        <v>144</v>
      </c>
    </row>
    <row r="1829" spans="1:15" x14ac:dyDescent="0.25">
      <c r="A1829" t="s">
        <v>564</v>
      </c>
      <c r="B1829" t="s">
        <v>30</v>
      </c>
      <c r="C1829" t="s">
        <v>473</v>
      </c>
      <c r="D1829" t="s">
        <v>76</v>
      </c>
      <c r="E1829" t="s">
        <v>686</v>
      </c>
      <c r="F1829" t="s">
        <v>958</v>
      </c>
      <c r="G1829" t="s">
        <v>959</v>
      </c>
      <c r="H1829" t="s">
        <v>10182</v>
      </c>
      <c r="J1829">
        <v>81307</v>
      </c>
      <c r="L1829">
        <v>37370</v>
      </c>
      <c r="O1829">
        <v>145</v>
      </c>
    </row>
    <row r="1830" spans="1:15" x14ac:dyDescent="0.25">
      <c r="A1830" t="s">
        <v>564</v>
      </c>
      <c r="B1830" t="s">
        <v>30</v>
      </c>
      <c r="C1830" t="s">
        <v>473</v>
      </c>
      <c r="D1830" t="s">
        <v>76</v>
      </c>
      <c r="E1830" t="s">
        <v>686</v>
      </c>
      <c r="F1830" t="s">
        <v>991</v>
      </c>
      <c r="G1830" t="s">
        <v>992</v>
      </c>
      <c r="H1830" t="s">
        <v>10194</v>
      </c>
      <c r="J1830">
        <v>81307</v>
      </c>
      <c r="L1830">
        <v>37370</v>
      </c>
      <c r="O1830">
        <v>146</v>
      </c>
    </row>
    <row r="1831" spans="1:15" x14ac:dyDescent="0.25">
      <c r="A1831" t="s">
        <v>564</v>
      </c>
      <c r="B1831" t="s">
        <v>30</v>
      </c>
      <c r="C1831" t="s">
        <v>473</v>
      </c>
      <c r="D1831" t="s">
        <v>76</v>
      </c>
      <c r="E1831" t="s">
        <v>686</v>
      </c>
      <c r="F1831" t="s">
        <v>1006</v>
      </c>
      <c r="G1831" t="s">
        <v>1007</v>
      </c>
      <c r="H1831" t="s">
        <v>10195</v>
      </c>
      <c r="J1831">
        <v>81307</v>
      </c>
      <c r="L1831">
        <v>37370</v>
      </c>
      <c r="O1831">
        <v>147</v>
      </c>
    </row>
    <row r="1832" spans="1:15" x14ac:dyDescent="0.25">
      <c r="A1832" t="s">
        <v>564</v>
      </c>
      <c r="B1832" t="s">
        <v>30</v>
      </c>
      <c r="C1832" t="s">
        <v>473</v>
      </c>
      <c r="D1832" t="s">
        <v>76</v>
      </c>
      <c r="E1832" t="s">
        <v>686</v>
      </c>
      <c r="F1832" t="s">
        <v>1009</v>
      </c>
      <c r="G1832" t="s">
        <v>1010</v>
      </c>
      <c r="H1832" t="s">
        <v>10196</v>
      </c>
      <c r="J1832">
        <v>81307</v>
      </c>
      <c r="L1832">
        <v>37370</v>
      </c>
      <c r="O1832">
        <v>148</v>
      </c>
    </row>
    <row r="1833" spans="1:15" x14ac:dyDescent="0.25">
      <c r="A1833" t="s">
        <v>564</v>
      </c>
      <c r="B1833" t="s">
        <v>30</v>
      </c>
      <c r="C1833" t="s">
        <v>473</v>
      </c>
      <c r="D1833" t="s">
        <v>76</v>
      </c>
      <c r="E1833" t="s">
        <v>686</v>
      </c>
      <c r="F1833" t="s">
        <v>1012</v>
      </c>
      <c r="G1833" t="s">
        <v>1013</v>
      </c>
      <c r="H1833" t="s">
        <v>10190</v>
      </c>
      <c r="J1833">
        <v>81307</v>
      </c>
      <c r="L1833">
        <v>37370</v>
      </c>
      <c r="O1833">
        <v>149</v>
      </c>
    </row>
    <row r="1834" spans="1:15" x14ac:dyDescent="0.25">
      <c r="A1834" t="s">
        <v>564</v>
      </c>
      <c r="B1834" t="s">
        <v>30</v>
      </c>
      <c r="C1834" t="s">
        <v>473</v>
      </c>
      <c r="D1834" t="s">
        <v>76</v>
      </c>
      <c r="E1834" t="s">
        <v>686</v>
      </c>
      <c r="F1834" t="s">
        <v>1021</v>
      </c>
      <c r="G1834" t="s">
        <v>1022</v>
      </c>
      <c r="H1834" t="s">
        <v>10180</v>
      </c>
      <c r="J1834">
        <v>81307</v>
      </c>
      <c r="L1834">
        <v>37370</v>
      </c>
      <c r="O1834">
        <v>150</v>
      </c>
    </row>
    <row r="1835" spans="1:15" x14ac:dyDescent="0.25">
      <c r="A1835" t="s">
        <v>564</v>
      </c>
      <c r="B1835" t="s">
        <v>30</v>
      </c>
      <c r="C1835" t="s">
        <v>473</v>
      </c>
      <c r="D1835" t="s">
        <v>76</v>
      </c>
      <c r="E1835" t="s">
        <v>686</v>
      </c>
      <c r="F1835" t="s">
        <v>1024</v>
      </c>
      <c r="G1835" t="s">
        <v>1025</v>
      </c>
      <c r="H1835" t="s">
        <v>10192</v>
      </c>
      <c r="J1835">
        <v>81307</v>
      </c>
      <c r="L1835">
        <v>37370</v>
      </c>
      <c r="O1835">
        <v>151</v>
      </c>
    </row>
    <row r="1836" spans="1:15" x14ac:dyDescent="0.25">
      <c r="A1836" t="s">
        <v>564</v>
      </c>
      <c r="B1836" t="s">
        <v>30</v>
      </c>
      <c r="C1836" t="s">
        <v>473</v>
      </c>
      <c r="D1836" t="s">
        <v>76</v>
      </c>
      <c r="E1836" t="s">
        <v>686</v>
      </c>
      <c r="F1836" t="s">
        <v>1036</v>
      </c>
      <c r="G1836" t="s">
        <v>1037</v>
      </c>
      <c r="H1836" t="s">
        <v>10189</v>
      </c>
      <c r="J1836">
        <v>81307</v>
      </c>
      <c r="L1836">
        <v>37370</v>
      </c>
      <c r="O1836">
        <v>152</v>
      </c>
    </row>
    <row r="1837" spans="1:15" x14ac:dyDescent="0.25">
      <c r="A1837" t="s">
        <v>564</v>
      </c>
      <c r="B1837" t="s">
        <v>30</v>
      </c>
      <c r="C1837" t="s">
        <v>473</v>
      </c>
      <c r="D1837" t="s">
        <v>76</v>
      </c>
      <c r="E1837" t="s">
        <v>686</v>
      </c>
      <c r="F1837" t="s">
        <v>1039</v>
      </c>
      <c r="G1837" t="s">
        <v>1040</v>
      </c>
      <c r="H1837" t="s">
        <v>10183</v>
      </c>
      <c r="J1837">
        <v>81307</v>
      </c>
      <c r="L1837">
        <v>37370</v>
      </c>
      <c r="O1837">
        <v>153</v>
      </c>
    </row>
    <row r="1838" spans="1:15" x14ac:dyDescent="0.25">
      <c r="A1838" t="s">
        <v>564</v>
      </c>
      <c r="B1838" t="s">
        <v>30</v>
      </c>
      <c r="C1838" t="s">
        <v>473</v>
      </c>
      <c r="D1838" t="s">
        <v>76</v>
      </c>
      <c r="E1838" t="s">
        <v>686</v>
      </c>
      <c r="F1838" t="s">
        <v>1045</v>
      </c>
      <c r="G1838" t="s">
        <v>1046</v>
      </c>
      <c r="H1838" t="s">
        <v>10191</v>
      </c>
      <c r="J1838">
        <v>81307</v>
      </c>
      <c r="L1838">
        <v>37370</v>
      </c>
      <c r="O1838">
        <v>154</v>
      </c>
    </row>
    <row r="1839" spans="1:15" x14ac:dyDescent="0.25">
      <c r="A1839" t="s">
        <v>564</v>
      </c>
      <c r="B1839" t="s">
        <v>30</v>
      </c>
      <c r="C1839" t="s">
        <v>473</v>
      </c>
      <c r="D1839" t="s">
        <v>76</v>
      </c>
      <c r="E1839" t="s">
        <v>686</v>
      </c>
      <c r="F1839" t="s">
        <v>1063</v>
      </c>
      <c r="G1839" t="s">
        <v>1064</v>
      </c>
      <c r="H1839" t="s">
        <v>10198</v>
      </c>
      <c r="J1839">
        <v>81307</v>
      </c>
      <c r="L1839">
        <v>37370</v>
      </c>
      <c r="O1839">
        <v>155</v>
      </c>
    </row>
    <row r="1840" spans="1:15" x14ac:dyDescent="0.25">
      <c r="A1840" t="s">
        <v>564</v>
      </c>
      <c r="B1840" t="s">
        <v>30</v>
      </c>
      <c r="C1840" t="s">
        <v>473</v>
      </c>
      <c r="D1840" t="s">
        <v>76</v>
      </c>
      <c r="E1840" t="s">
        <v>81</v>
      </c>
      <c r="F1840" t="s">
        <v>851</v>
      </c>
      <c r="G1840" t="s">
        <v>852</v>
      </c>
      <c r="H1840" t="s">
        <v>10124</v>
      </c>
      <c r="J1840">
        <v>81307</v>
      </c>
      <c r="L1840">
        <v>37370</v>
      </c>
      <c r="O1840">
        <v>156</v>
      </c>
    </row>
    <row r="1841" spans="1:17" x14ac:dyDescent="0.25">
      <c r="A1841" t="s">
        <v>564</v>
      </c>
      <c r="B1841" t="s">
        <v>30</v>
      </c>
      <c r="C1841" t="s">
        <v>473</v>
      </c>
      <c r="D1841" t="s">
        <v>76</v>
      </c>
      <c r="E1841" t="s">
        <v>602</v>
      </c>
      <c r="F1841" t="s">
        <v>1087</v>
      </c>
      <c r="G1841" t="s">
        <v>1088</v>
      </c>
      <c r="H1841" t="s">
        <v>10170</v>
      </c>
      <c r="J1841">
        <v>81307</v>
      </c>
      <c r="L1841">
        <v>37370</v>
      </c>
      <c r="O1841">
        <v>157</v>
      </c>
    </row>
    <row r="1842" spans="1:17" x14ac:dyDescent="0.25">
      <c r="A1842" t="s">
        <v>564</v>
      </c>
      <c r="B1842" t="s">
        <v>30</v>
      </c>
      <c r="C1842" t="s">
        <v>473</v>
      </c>
      <c r="D1842" t="s">
        <v>76</v>
      </c>
      <c r="E1842" t="s">
        <v>602</v>
      </c>
      <c r="F1842" t="s">
        <v>1090</v>
      </c>
      <c r="G1842" t="s">
        <v>1091</v>
      </c>
      <c r="H1842" t="s">
        <v>10174</v>
      </c>
      <c r="J1842">
        <v>81307</v>
      </c>
      <c r="L1842">
        <v>37370</v>
      </c>
      <c r="O1842">
        <v>158</v>
      </c>
    </row>
    <row r="1843" spans="1:17" x14ac:dyDescent="0.25">
      <c r="A1843" t="s">
        <v>564</v>
      </c>
      <c r="B1843" t="s">
        <v>30</v>
      </c>
      <c r="C1843" t="s">
        <v>473</v>
      </c>
      <c r="D1843" t="s">
        <v>76</v>
      </c>
      <c r="E1843" t="s">
        <v>602</v>
      </c>
      <c r="F1843" t="s">
        <v>1099</v>
      </c>
      <c r="G1843" t="s">
        <v>1100</v>
      </c>
      <c r="H1843" t="s">
        <v>10173</v>
      </c>
      <c r="J1843">
        <v>81307</v>
      </c>
      <c r="L1843">
        <v>37370</v>
      </c>
      <c r="O1843">
        <v>159</v>
      </c>
    </row>
    <row r="1844" spans="1:17" x14ac:dyDescent="0.25">
      <c r="A1844" t="s">
        <v>564</v>
      </c>
      <c r="B1844" t="s">
        <v>30</v>
      </c>
      <c r="C1844" t="s">
        <v>473</v>
      </c>
      <c r="D1844" t="s">
        <v>76</v>
      </c>
      <c r="E1844" t="s">
        <v>602</v>
      </c>
      <c r="F1844" t="s">
        <v>854</v>
      </c>
      <c r="G1844" t="s">
        <v>855</v>
      </c>
      <c r="H1844" t="s">
        <v>10176</v>
      </c>
      <c r="J1844">
        <v>81307</v>
      </c>
      <c r="L1844">
        <v>37370</v>
      </c>
      <c r="O1844">
        <v>160</v>
      </c>
    </row>
    <row r="1845" spans="1:17" x14ac:dyDescent="0.25">
      <c r="A1845" t="s">
        <v>564</v>
      </c>
      <c r="B1845" t="s">
        <v>30</v>
      </c>
      <c r="C1845" t="s">
        <v>473</v>
      </c>
      <c r="D1845" t="s">
        <v>76</v>
      </c>
      <c r="E1845" t="s">
        <v>602</v>
      </c>
      <c r="F1845" t="s">
        <v>864</v>
      </c>
      <c r="G1845" t="s">
        <v>865</v>
      </c>
      <c r="H1845" t="s">
        <v>10172</v>
      </c>
      <c r="J1845">
        <v>81307</v>
      </c>
      <c r="L1845">
        <v>37370</v>
      </c>
      <c r="O1845">
        <v>161</v>
      </c>
    </row>
    <row r="1846" spans="1:17" x14ac:dyDescent="0.25">
      <c r="A1846" t="s">
        <v>564</v>
      </c>
      <c r="B1846" t="s">
        <v>30</v>
      </c>
      <c r="C1846" t="s">
        <v>473</v>
      </c>
      <c r="D1846" t="s">
        <v>76</v>
      </c>
      <c r="E1846" t="s">
        <v>602</v>
      </c>
      <c r="F1846" t="s">
        <v>867</v>
      </c>
      <c r="G1846" t="s">
        <v>868</v>
      </c>
      <c r="H1846" t="s">
        <v>10169</v>
      </c>
      <c r="J1846">
        <v>81307</v>
      </c>
      <c r="L1846">
        <v>37370</v>
      </c>
      <c r="O1846">
        <v>162</v>
      </c>
    </row>
    <row r="1847" spans="1:17" x14ac:dyDescent="0.25">
      <c r="A1847" t="s">
        <v>564</v>
      </c>
      <c r="B1847" t="s">
        <v>30</v>
      </c>
      <c r="C1847" t="s">
        <v>473</v>
      </c>
      <c r="D1847" t="s">
        <v>76</v>
      </c>
      <c r="E1847" t="s">
        <v>602</v>
      </c>
      <c r="F1847" t="s">
        <v>870</v>
      </c>
      <c r="G1847" t="s">
        <v>871</v>
      </c>
      <c r="H1847" t="s">
        <v>10171</v>
      </c>
      <c r="J1847">
        <v>81307</v>
      </c>
      <c r="L1847">
        <v>37370</v>
      </c>
      <c r="O1847">
        <v>163</v>
      </c>
    </row>
    <row r="1848" spans="1:17" x14ac:dyDescent="0.25">
      <c r="A1848" t="s">
        <v>564</v>
      </c>
      <c r="B1848" t="s">
        <v>30</v>
      </c>
      <c r="C1848" t="s">
        <v>473</v>
      </c>
      <c r="D1848" t="s">
        <v>76</v>
      </c>
      <c r="E1848" t="s">
        <v>602</v>
      </c>
      <c r="F1848" t="s">
        <v>876</v>
      </c>
      <c r="G1848" t="s">
        <v>877</v>
      </c>
      <c r="H1848" t="s">
        <v>10175</v>
      </c>
      <c r="J1848">
        <v>81307</v>
      </c>
      <c r="L1848">
        <v>37370</v>
      </c>
      <c r="O1848">
        <v>164</v>
      </c>
    </row>
    <row r="1849" spans="1:17" x14ac:dyDescent="0.25">
      <c r="A1849" t="s">
        <v>564</v>
      </c>
      <c r="B1849" t="s">
        <v>30</v>
      </c>
      <c r="C1849" t="s">
        <v>473</v>
      </c>
      <c r="D1849" t="s">
        <v>76</v>
      </c>
      <c r="E1849" t="s">
        <v>634</v>
      </c>
      <c r="F1849" t="s">
        <v>880</v>
      </c>
      <c r="G1849" t="s">
        <v>881</v>
      </c>
      <c r="H1849" t="s">
        <v>10090</v>
      </c>
      <c r="J1849">
        <v>81307</v>
      </c>
      <c r="L1849">
        <v>37370</v>
      </c>
      <c r="O1849">
        <v>165</v>
      </c>
    </row>
    <row r="1850" spans="1:17" x14ac:dyDescent="0.25">
      <c r="A1850" t="s">
        <v>564</v>
      </c>
      <c r="B1850" t="s">
        <v>30</v>
      </c>
      <c r="C1850" t="s">
        <v>473</v>
      </c>
      <c r="D1850" t="s">
        <v>76</v>
      </c>
      <c r="E1850" t="s">
        <v>634</v>
      </c>
      <c r="F1850" t="s">
        <v>883</v>
      </c>
      <c r="G1850" t="s">
        <v>884</v>
      </c>
      <c r="H1850" t="s">
        <v>10168</v>
      </c>
      <c r="J1850">
        <v>81307</v>
      </c>
      <c r="L1850">
        <v>37370</v>
      </c>
      <c r="O1850">
        <v>166</v>
      </c>
    </row>
    <row r="1851" spans="1:17" x14ac:dyDescent="0.25">
      <c r="A1851" t="s">
        <v>564</v>
      </c>
      <c r="B1851" t="s">
        <v>30</v>
      </c>
      <c r="C1851" t="s">
        <v>473</v>
      </c>
      <c r="D1851" t="s">
        <v>59</v>
      </c>
      <c r="E1851" t="s">
        <v>78</v>
      </c>
      <c r="F1851" t="s">
        <v>78</v>
      </c>
      <c r="G1851" t="s">
        <v>696</v>
      </c>
      <c r="H1851" t="s">
        <v>10203</v>
      </c>
      <c r="I1851">
        <v>0.54038397677936711</v>
      </c>
      <c r="J1851">
        <v>81307</v>
      </c>
      <c r="K1851">
        <v>1</v>
      </c>
      <c r="L1851">
        <v>43937</v>
      </c>
      <c r="M1851">
        <v>43937</v>
      </c>
      <c r="N1851">
        <v>7.7299999999999994E-2</v>
      </c>
      <c r="O1851">
        <v>1</v>
      </c>
    </row>
    <row r="1852" spans="1:17" x14ac:dyDescent="0.25">
      <c r="A1852" t="s">
        <v>564</v>
      </c>
      <c r="B1852" t="s">
        <v>30</v>
      </c>
      <c r="C1852" t="s">
        <v>473</v>
      </c>
      <c r="D1852" t="s">
        <v>59</v>
      </c>
      <c r="E1852" t="s">
        <v>60</v>
      </c>
      <c r="F1852" t="s">
        <v>78</v>
      </c>
      <c r="G1852" t="s">
        <v>697</v>
      </c>
      <c r="H1852" t="s">
        <v>10204</v>
      </c>
      <c r="I1852">
        <v>0.43430454942378888</v>
      </c>
      <c r="J1852">
        <v>81307</v>
      </c>
      <c r="K1852">
        <v>0.80369620137924758</v>
      </c>
      <c r="L1852">
        <v>43937</v>
      </c>
      <c r="M1852">
        <v>35312</v>
      </c>
      <c r="N1852">
        <v>7.5300000000000006E-2</v>
      </c>
      <c r="O1852">
        <v>2</v>
      </c>
    </row>
    <row r="1853" spans="1:17" x14ac:dyDescent="0.25">
      <c r="A1853" t="s">
        <v>564</v>
      </c>
      <c r="B1853" t="s">
        <v>30</v>
      </c>
      <c r="C1853" t="s">
        <v>473</v>
      </c>
      <c r="D1853" t="s">
        <v>59</v>
      </c>
      <c r="E1853" t="s">
        <v>60</v>
      </c>
      <c r="F1853" t="s">
        <v>63</v>
      </c>
      <c r="G1853" t="s">
        <v>702</v>
      </c>
      <c r="H1853" t="s">
        <v>10205</v>
      </c>
      <c r="I1853">
        <v>0.20122498677850609</v>
      </c>
      <c r="J1853">
        <v>81307</v>
      </c>
      <c r="K1853">
        <v>0.37237408107062392</v>
      </c>
      <c r="L1853">
        <v>43937</v>
      </c>
      <c r="M1853">
        <v>16361</v>
      </c>
      <c r="N1853">
        <v>5.5E-2</v>
      </c>
      <c r="O1853">
        <v>3</v>
      </c>
      <c r="Q1853">
        <v>3</v>
      </c>
    </row>
    <row r="1854" spans="1:17" x14ac:dyDescent="0.25">
      <c r="A1854" t="s">
        <v>564</v>
      </c>
      <c r="B1854" t="s">
        <v>30</v>
      </c>
      <c r="C1854" t="s">
        <v>473</v>
      </c>
      <c r="D1854" t="s">
        <v>59</v>
      </c>
      <c r="E1854" t="s">
        <v>60</v>
      </c>
      <c r="F1854" t="s">
        <v>61</v>
      </c>
      <c r="G1854" t="s">
        <v>698</v>
      </c>
      <c r="H1854" t="s">
        <v>10206</v>
      </c>
      <c r="I1854">
        <v>0.18282558697283141</v>
      </c>
      <c r="J1854">
        <v>81307</v>
      </c>
      <c r="K1854">
        <v>0.33832532944898369</v>
      </c>
      <c r="L1854">
        <v>43937</v>
      </c>
      <c r="M1854">
        <v>14865</v>
      </c>
      <c r="N1854">
        <v>0.11169999999999999</v>
      </c>
      <c r="O1854">
        <v>4</v>
      </c>
      <c r="Q1854">
        <v>1</v>
      </c>
    </row>
    <row r="1855" spans="1:17" x14ac:dyDescent="0.25">
      <c r="A1855" t="s">
        <v>564</v>
      </c>
      <c r="B1855" t="s">
        <v>30</v>
      </c>
      <c r="C1855" t="s">
        <v>473</v>
      </c>
      <c r="D1855" t="s">
        <v>59</v>
      </c>
      <c r="E1855" t="s">
        <v>60</v>
      </c>
      <c r="F1855" t="s">
        <v>62</v>
      </c>
      <c r="G1855" t="s">
        <v>699</v>
      </c>
      <c r="H1855" t="s">
        <v>10207</v>
      </c>
      <c r="I1855">
        <v>0.1142460058789526</v>
      </c>
      <c r="J1855">
        <v>81307</v>
      </c>
      <c r="K1855">
        <v>0.2114163461319617</v>
      </c>
      <c r="L1855">
        <v>43937</v>
      </c>
      <c r="M1855">
        <v>9289</v>
      </c>
      <c r="N1855">
        <v>2.4E-2</v>
      </c>
      <c r="O1855">
        <v>5</v>
      </c>
      <c r="Q1855">
        <v>2</v>
      </c>
    </row>
    <row r="1856" spans="1:17" x14ac:dyDescent="0.25">
      <c r="A1856" t="s">
        <v>564</v>
      </c>
      <c r="B1856" t="s">
        <v>30</v>
      </c>
      <c r="C1856" t="s">
        <v>473</v>
      </c>
      <c r="D1856" t="s">
        <v>59</v>
      </c>
      <c r="E1856" t="s">
        <v>64</v>
      </c>
      <c r="F1856" t="s">
        <v>78</v>
      </c>
      <c r="G1856" t="s">
        <v>703</v>
      </c>
      <c r="H1856" t="s">
        <v>10208</v>
      </c>
      <c r="I1856">
        <v>8.0017710652219368E-2</v>
      </c>
      <c r="J1856">
        <v>81307</v>
      </c>
      <c r="K1856">
        <v>0.14807565377699891</v>
      </c>
      <c r="L1856">
        <v>43937</v>
      </c>
      <c r="M1856">
        <v>6506</v>
      </c>
      <c r="N1856">
        <v>0.1014</v>
      </c>
      <c r="O1856">
        <v>6</v>
      </c>
    </row>
    <row r="1857" spans="1:17" x14ac:dyDescent="0.25">
      <c r="A1857" t="s">
        <v>564</v>
      </c>
      <c r="B1857" t="s">
        <v>30</v>
      </c>
      <c r="C1857" t="s">
        <v>473</v>
      </c>
      <c r="D1857" t="s">
        <v>59</v>
      </c>
      <c r="E1857" t="s">
        <v>64</v>
      </c>
      <c r="F1857" t="s">
        <v>65</v>
      </c>
      <c r="G1857" t="s">
        <v>704</v>
      </c>
      <c r="H1857" t="s">
        <v>10209</v>
      </c>
      <c r="I1857">
        <v>8.0017710652219368E-2</v>
      </c>
      <c r="J1857">
        <v>81307</v>
      </c>
      <c r="K1857">
        <v>0.14807565377699891</v>
      </c>
      <c r="L1857">
        <v>43937</v>
      </c>
      <c r="M1857">
        <v>6506</v>
      </c>
      <c r="N1857">
        <v>0.1014</v>
      </c>
      <c r="O1857">
        <v>7</v>
      </c>
      <c r="Q1857">
        <v>4</v>
      </c>
    </row>
    <row r="1858" spans="1:17" x14ac:dyDescent="0.25">
      <c r="A1858" t="s">
        <v>564</v>
      </c>
      <c r="B1858" t="s">
        <v>30</v>
      </c>
      <c r="C1858" t="s">
        <v>473</v>
      </c>
      <c r="D1858" t="s">
        <v>59</v>
      </c>
      <c r="E1858" t="s">
        <v>72</v>
      </c>
      <c r="F1858" t="s">
        <v>78</v>
      </c>
      <c r="G1858" t="s">
        <v>705</v>
      </c>
      <c r="H1858" t="s">
        <v>10210</v>
      </c>
      <c r="I1858">
        <v>3.121502453663276E-2</v>
      </c>
      <c r="J1858">
        <v>81307</v>
      </c>
      <c r="K1858">
        <v>5.7764526481097943E-2</v>
      </c>
      <c r="L1858">
        <v>43937</v>
      </c>
      <c r="M1858">
        <v>2538</v>
      </c>
      <c r="N1858">
        <v>0.11700000000000001</v>
      </c>
      <c r="O1858">
        <v>8</v>
      </c>
    </row>
    <row r="1859" spans="1:17" x14ac:dyDescent="0.25">
      <c r="A1859" t="s">
        <v>564</v>
      </c>
      <c r="B1859" t="s">
        <v>30</v>
      </c>
      <c r="C1859" t="s">
        <v>473</v>
      </c>
      <c r="D1859" t="s">
        <v>59</v>
      </c>
      <c r="E1859" t="s">
        <v>72</v>
      </c>
      <c r="F1859" t="s">
        <v>73</v>
      </c>
      <c r="G1859" t="s">
        <v>706</v>
      </c>
      <c r="H1859" t="s">
        <v>10211</v>
      </c>
      <c r="I1859">
        <v>3.095674419176701E-2</v>
      </c>
      <c r="J1859">
        <v>81307</v>
      </c>
      <c r="K1859">
        <v>5.7286569406195233E-2</v>
      </c>
      <c r="L1859">
        <v>43937</v>
      </c>
      <c r="M1859">
        <v>2517</v>
      </c>
      <c r="N1859">
        <v>0.1179</v>
      </c>
      <c r="O1859">
        <v>9</v>
      </c>
      <c r="Q1859">
        <v>6</v>
      </c>
    </row>
    <row r="1860" spans="1:17" x14ac:dyDescent="0.25">
      <c r="A1860" t="s">
        <v>564</v>
      </c>
      <c r="B1860" t="s">
        <v>30</v>
      </c>
      <c r="C1860" t="s">
        <v>473</v>
      </c>
      <c r="D1860" t="s">
        <v>59</v>
      </c>
      <c r="E1860" t="s">
        <v>68</v>
      </c>
      <c r="F1860" t="s">
        <v>78</v>
      </c>
      <c r="G1860" t="s">
        <v>700</v>
      </c>
      <c r="H1860" t="s">
        <v>10212</v>
      </c>
      <c r="I1860">
        <v>2.939476305853125E-2</v>
      </c>
      <c r="J1860">
        <v>81307</v>
      </c>
      <c r="K1860">
        <v>5.4396067096069367E-2</v>
      </c>
      <c r="L1860">
        <v>43937</v>
      </c>
      <c r="M1860">
        <v>2390</v>
      </c>
      <c r="O1860">
        <v>10</v>
      </c>
    </row>
    <row r="1861" spans="1:17" x14ac:dyDescent="0.25">
      <c r="A1861" t="s">
        <v>564</v>
      </c>
      <c r="B1861" t="s">
        <v>30</v>
      </c>
      <c r="C1861" t="s">
        <v>473</v>
      </c>
      <c r="D1861" t="s">
        <v>59</v>
      </c>
      <c r="E1861" t="s">
        <v>68</v>
      </c>
      <c r="F1861" t="s">
        <v>69</v>
      </c>
      <c r="G1861" t="s">
        <v>701</v>
      </c>
      <c r="H1861" t="s">
        <v>10213</v>
      </c>
      <c r="I1861">
        <v>2.9382463994490019E-2</v>
      </c>
      <c r="J1861">
        <v>81307</v>
      </c>
      <c r="K1861">
        <v>5.437330723535972E-2</v>
      </c>
      <c r="L1861">
        <v>43937</v>
      </c>
      <c r="M1861">
        <v>2389</v>
      </c>
      <c r="O1861">
        <v>11</v>
      </c>
      <c r="Q1861">
        <v>11</v>
      </c>
    </row>
    <row r="1862" spans="1:17" x14ac:dyDescent="0.25">
      <c r="A1862" t="s">
        <v>564</v>
      </c>
      <c r="B1862" t="s">
        <v>30</v>
      </c>
      <c r="C1862" t="s">
        <v>473</v>
      </c>
      <c r="D1862" t="s">
        <v>59</v>
      </c>
      <c r="E1862" t="s">
        <v>72</v>
      </c>
      <c r="F1862" t="s">
        <v>75</v>
      </c>
      <c r="G1862" t="s">
        <v>710</v>
      </c>
      <c r="H1862" t="s">
        <v>10215</v>
      </c>
      <c r="I1862">
        <v>2.5828034486575569E-4</v>
      </c>
      <c r="J1862">
        <v>81307</v>
      </c>
      <c r="K1862">
        <v>4.779570749027016E-4</v>
      </c>
      <c r="L1862">
        <v>43937</v>
      </c>
      <c r="M1862">
        <v>21</v>
      </c>
      <c r="O1862">
        <v>12</v>
      </c>
      <c r="Q1862">
        <v>7</v>
      </c>
    </row>
    <row r="1863" spans="1:17" x14ac:dyDescent="0.25">
      <c r="A1863" t="s">
        <v>564</v>
      </c>
      <c r="B1863" t="s">
        <v>30</v>
      </c>
      <c r="C1863" t="s">
        <v>473</v>
      </c>
      <c r="D1863" t="s">
        <v>59</v>
      </c>
      <c r="E1863" t="s">
        <v>68</v>
      </c>
      <c r="F1863" t="s">
        <v>70</v>
      </c>
      <c r="G1863" t="s">
        <v>707</v>
      </c>
      <c r="H1863" t="s">
        <v>10217</v>
      </c>
      <c r="I1863">
        <v>1.2299064041226459E-5</v>
      </c>
      <c r="J1863">
        <v>81307</v>
      </c>
      <c r="K1863">
        <v>2.2759860709652459E-5</v>
      </c>
      <c r="L1863">
        <v>43937</v>
      </c>
      <c r="M1863">
        <v>1</v>
      </c>
      <c r="O1863">
        <v>13</v>
      </c>
      <c r="Q1863">
        <v>10</v>
      </c>
    </row>
    <row r="1864" spans="1:17" x14ac:dyDescent="0.25">
      <c r="A1864" t="s">
        <v>564</v>
      </c>
      <c r="B1864" t="s">
        <v>30</v>
      </c>
      <c r="C1864" t="s">
        <v>473</v>
      </c>
      <c r="D1864" t="s">
        <v>59</v>
      </c>
      <c r="E1864" t="s">
        <v>72</v>
      </c>
      <c r="F1864" t="s">
        <v>74</v>
      </c>
      <c r="G1864" t="s">
        <v>708</v>
      </c>
      <c r="H1864" t="s">
        <v>10216</v>
      </c>
      <c r="I1864">
        <v>1.2299064041226459E-5</v>
      </c>
      <c r="J1864">
        <v>81307</v>
      </c>
      <c r="K1864">
        <v>2.2759860709652459E-5</v>
      </c>
      <c r="L1864">
        <v>43937</v>
      </c>
      <c r="M1864">
        <v>1</v>
      </c>
      <c r="O1864">
        <v>14</v>
      </c>
      <c r="Q1864">
        <v>9</v>
      </c>
    </row>
    <row r="1865" spans="1:17" x14ac:dyDescent="0.25">
      <c r="A1865" t="s">
        <v>564</v>
      </c>
      <c r="B1865" t="s">
        <v>30</v>
      </c>
      <c r="C1865" t="s">
        <v>473</v>
      </c>
      <c r="D1865" t="s">
        <v>59</v>
      </c>
      <c r="E1865" t="s">
        <v>64</v>
      </c>
      <c r="F1865" t="s">
        <v>67</v>
      </c>
      <c r="G1865" t="s">
        <v>709</v>
      </c>
      <c r="H1865" t="s">
        <v>10222</v>
      </c>
      <c r="J1865">
        <v>81307</v>
      </c>
      <c r="L1865">
        <v>43937</v>
      </c>
      <c r="O1865">
        <v>15</v>
      </c>
      <c r="Q1865">
        <v>5</v>
      </c>
    </row>
    <row r="1866" spans="1:17" x14ac:dyDescent="0.25">
      <c r="A1866" t="s">
        <v>564</v>
      </c>
      <c r="B1866" t="s">
        <v>30</v>
      </c>
      <c r="C1866" t="s">
        <v>473</v>
      </c>
      <c r="D1866" t="s">
        <v>59</v>
      </c>
      <c r="E1866" t="s">
        <v>72</v>
      </c>
      <c r="F1866" t="s">
        <v>352</v>
      </c>
      <c r="G1866" t="s">
        <v>1117</v>
      </c>
      <c r="H1866" t="s">
        <v>10223</v>
      </c>
      <c r="J1866">
        <v>81307</v>
      </c>
      <c r="L1866">
        <v>43937</v>
      </c>
      <c r="O1866">
        <v>16</v>
      </c>
      <c r="Q1866">
        <v>8</v>
      </c>
    </row>
    <row r="1867" spans="1:17" x14ac:dyDescent="0.25">
      <c r="A1867" t="s">
        <v>564</v>
      </c>
      <c r="B1867" t="s">
        <v>30</v>
      </c>
      <c r="C1867" t="s">
        <v>473</v>
      </c>
      <c r="D1867" t="s">
        <v>59</v>
      </c>
      <c r="E1867" t="s">
        <v>68</v>
      </c>
      <c r="F1867" t="s">
        <v>71</v>
      </c>
      <c r="G1867" t="s">
        <v>8538</v>
      </c>
      <c r="H1867" t="s">
        <v>10219</v>
      </c>
      <c r="J1867">
        <v>81307</v>
      </c>
      <c r="L1867">
        <v>43937</v>
      </c>
      <c r="O1867">
        <v>17</v>
      </c>
    </row>
    <row r="1868" spans="1:17" x14ac:dyDescent="0.25">
      <c r="A1868" t="s">
        <v>564</v>
      </c>
      <c r="B1868" t="s">
        <v>30</v>
      </c>
      <c r="C1868" t="s">
        <v>473</v>
      </c>
      <c r="D1868" t="s">
        <v>59</v>
      </c>
      <c r="E1868" t="s">
        <v>64</v>
      </c>
      <c r="F1868" t="s">
        <v>8543</v>
      </c>
      <c r="G1868" t="s">
        <v>8544</v>
      </c>
      <c r="H1868" t="s">
        <v>10220</v>
      </c>
      <c r="J1868">
        <v>81307</v>
      </c>
      <c r="L1868">
        <v>43937</v>
      </c>
      <c r="O1868">
        <v>18</v>
      </c>
    </row>
    <row r="1869" spans="1:17" x14ac:dyDescent="0.25">
      <c r="A1869" t="s">
        <v>564</v>
      </c>
      <c r="B1869" t="s">
        <v>30</v>
      </c>
      <c r="C1869" t="s">
        <v>473</v>
      </c>
      <c r="D1869" t="s">
        <v>59</v>
      </c>
      <c r="E1869" t="s">
        <v>64</v>
      </c>
      <c r="F1869" t="s">
        <v>8535</v>
      </c>
      <c r="G1869" t="s">
        <v>8536</v>
      </c>
      <c r="H1869" t="s">
        <v>10221</v>
      </c>
      <c r="J1869">
        <v>81307</v>
      </c>
      <c r="L1869">
        <v>43937</v>
      </c>
      <c r="O1869">
        <v>19</v>
      </c>
    </row>
    <row r="1870" spans="1:17" x14ac:dyDescent="0.25">
      <c r="A1870" t="s">
        <v>564</v>
      </c>
      <c r="B1870" t="s">
        <v>30</v>
      </c>
      <c r="C1870" t="s">
        <v>473</v>
      </c>
      <c r="D1870" t="s">
        <v>59</v>
      </c>
      <c r="E1870" t="s">
        <v>64</v>
      </c>
      <c r="F1870" t="s">
        <v>470</v>
      </c>
      <c r="G1870" t="s">
        <v>8540</v>
      </c>
      <c r="H1870" t="s">
        <v>10214</v>
      </c>
      <c r="J1870">
        <v>81307</v>
      </c>
      <c r="L1870">
        <v>43937</v>
      </c>
      <c r="O1870">
        <v>20</v>
      </c>
    </row>
    <row r="1871" spans="1:17" x14ac:dyDescent="0.25">
      <c r="A1871" t="s">
        <v>564</v>
      </c>
      <c r="B1871" t="s">
        <v>30</v>
      </c>
      <c r="C1871" t="s">
        <v>473</v>
      </c>
      <c r="D1871" t="s">
        <v>59</v>
      </c>
      <c r="E1871" t="s">
        <v>64</v>
      </c>
      <c r="F1871" t="s">
        <v>8547</v>
      </c>
      <c r="G1871" t="s">
        <v>8548</v>
      </c>
      <c r="H1871" t="s">
        <v>10218</v>
      </c>
      <c r="J1871">
        <v>81307</v>
      </c>
      <c r="L1871">
        <v>43937</v>
      </c>
      <c r="O1871">
        <v>21</v>
      </c>
    </row>
    <row r="1872" spans="1:17" x14ac:dyDescent="0.25">
      <c r="A1872" t="s">
        <v>564</v>
      </c>
      <c r="B1872" t="s">
        <v>30</v>
      </c>
      <c r="C1872" t="s">
        <v>394</v>
      </c>
      <c r="D1872" t="s">
        <v>76</v>
      </c>
      <c r="E1872" t="s">
        <v>78</v>
      </c>
      <c r="F1872" t="s">
        <v>78</v>
      </c>
      <c r="G1872" t="s">
        <v>575</v>
      </c>
      <c r="H1872" t="s">
        <v>10224</v>
      </c>
      <c r="I1872">
        <v>0.4207531834191276</v>
      </c>
      <c r="J1872">
        <v>47983</v>
      </c>
      <c r="K1872">
        <v>1</v>
      </c>
      <c r="L1872">
        <v>20189</v>
      </c>
      <c r="M1872">
        <v>20189</v>
      </c>
      <c r="N1872">
        <v>0.13150000000000001</v>
      </c>
      <c r="O1872">
        <v>1</v>
      </c>
    </row>
    <row r="1873" spans="1:16" x14ac:dyDescent="0.25">
      <c r="A1873" t="s">
        <v>564</v>
      </c>
      <c r="B1873" t="s">
        <v>30</v>
      </c>
      <c r="C1873" t="s">
        <v>394</v>
      </c>
      <c r="D1873" t="s">
        <v>76</v>
      </c>
      <c r="E1873" t="s">
        <v>80</v>
      </c>
      <c r="F1873" t="s">
        <v>78</v>
      </c>
      <c r="G1873" t="s">
        <v>576</v>
      </c>
      <c r="H1873" t="s">
        <v>10225</v>
      </c>
      <c r="I1873">
        <v>0.13486026300981599</v>
      </c>
      <c r="J1873">
        <v>47983</v>
      </c>
      <c r="K1873">
        <v>0.32052107583337458</v>
      </c>
      <c r="L1873">
        <v>20189</v>
      </c>
      <c r="M1873">
        <v>6471</v>
      </c>
      <c r="N1873">
        <v>9.7799999999999998E-2</v>
      </c>
      <c r="O1873">
        <v>2</v>
      </c>
      <c r="P1873">
        <v>1</v>
      </c>
    </row>
    <row r="1874" spans="1:16" x14ac:dyDescent="0.25">
      <c r="A1874" t="s">
        <v>564</v>
      </c>
      <c r="B1874" t="s">
        <v>30</v>
      </c>
      <c r="C1874" t="s">
        <v>394</v>
      </c>
      <c r="D1874" t="s">
        <v>76</v>
      </c>
      <c r="E1874" t="s">
        <v>80</v>
      </c>
      <c r="F1874" t="s">
        <v>8326</v>
      </c>
      <c r="G1874" t="s">
        <v>8327</v>
      </c>
      <c r="H1874" t="s">
        <v>10226</v>
      </c>
      <c r="I1874">
        <v>0.1324635808515516</v>
      </c>
      <c r="J1874">
        <v>47983</v>
      </c>
      <c r="K1874">
        <v>0.31482490465104762</v>
      </c>
      <c r="L1874">
        <v>20189</v>
      </c>
      <c r="M1874">
        <v>6356</v>
      </c>
      <c r="N1874">
        <v>9.9099999999999994E-2</v>
      </c>
      <c r="O1874">
        <v>3</v>
      </c>
    </row>
    <row r="1875" spans="1:16" x14ac:dyDescent="0.25">
      <c r="A1875" t="s">
        <v>564</v>
      </c>
      <c r="B1875" t="s">
        <v>30</v>
      </c>
      <c r="C1875" t="s">
        <v>394</v>
      </c>
      <c r="D1875" t="s">
        <v>76</v>
      </c>
      <c r="E1875" t="s">
        <v>81</v>
      </c>
      <c r="F1875" t="s">
        <v>78</v>
      </c>
      <c r="G1875" t="s">
        <v>578</v>
      </c>
      <c r="H1875" t="s">
        <v>10229</v>
      </c>
      <c r="I1875">
        <v>0.113456849300794</v>
      </c>
      <c r="J1875">
        <v>47983</v>
      </c>
      <c r="K1875">
        <v>0.26965179057902822</v>
      </c>
      <c r="L1875">
        <v>20189</v>
      </c>
      <c r="M1875">
        <v>5444</v>
      </c>
      <c r="N1875">
        <v>1.4999999999999999E-2</v>
      </c>
      <c r="O1875">
        <v>4</v>
      </c>
      <c r="P1875">
        <v>6</v>
      </c>
    </row>
    <row r="1876" spans="1:16" x14ac:dyDescent="0.25">
      <c r="A1876" t="s">
        <v>564</v>
      </c>
      <c r="B1876" t="s">
        <v>30</v>
      </c>
      <c r="C1876" t="s">
        <v>394</v>
      </c>
      <c r="D1876" t="s">
        <v>76</v>
      </c>
      <c r="E1876" t="s">
        <v>83</v>
      </c>
      <c r="F1876" t="s">
        <v>78</v>
      </c>
      <c r="G1876" t="s">
        <v>580</v>
      </c>
      <c r="H1876" t="s">
        <v>10228</v>
      </c>
      <c r="I1876">
        <v>9.2178479878290226E-2</v>
      </c>
      <c r="J1876">
        <v>47983</v>
      </c>
      <c r="K1876">
        <v>0.21907969686462919</v>
      </c>
      <c r="L1876">
        <v>20189</v>
      </c>
      <c r="M1876">
        <v>4423</v>
      </c>
      <c r="N1876">
        <v>0.37209999999999999</v>
      </c>
      <c r="O1876">
        <v>5</v>
      </c>
      <c r="P1876">
        <v>2</v>
      </c>
    </row>
    <row r="1877" spans="1:16" x14ac:dyDescent="0.25">
      <c r="A1877" t="s">
        <v>564</v>
      </c>
      <c r="B1877" t="s">
        <v>30</v>
      </c>
      <c r="C1877" t="s">
        <v>394</v>
      </c>
      <c r="D1877" t="s">
        <v>76</v>
      </c>
      <c r="E1877" t="s">
        <v>81</v>
      </c>
      <c r="F1877" t="s">
        <v>585</v>
      </c>
      <c r="G1877" t="s">
        <v>586</v>
      </c>
      <c r="H1877" t="s">
        <v>10233</v>
      </c>
      <c r="I1877">
        <v>9.0948877727528493E-2</v>
      </c>
      <c r="J1877">
        <v>47983</v>
      </c>
      <c r="K1877">
        <v>0.21615731338847891</v>
      </c>
      <c r="L1877">
        <v>20189</v>
      </c>
      <c r="M1877">
        <v>4364</v>
      </c>
      <c r="N1877">
        <v>3.0000000000000001E-3</v>
      </c>
      <c r="O1877">
        <v>6</v>
      </c>
    </row>
    <row r="1878" spans="1:16" x14ac:dyDescent="0.25">
      <c r="A1878" t="s">
        <v>564</v>
      </c>
      <c r="B1878" t="s">
        <v>30</v>
      </c>
      <c r="C1878" t="s">
        <v>394</v>
      </c>
      <c r="D1878" t="s">
        <v>76</v>
      </c>
      <c r="E1878" t="s">
        <v>82</v>
      </c>
      <c r="F1878" t="s">
        <v>78</v>
      </c>
      <c r="G1878" t="s">
        <v>579</v>
      </c>
      <c r="H1878" t="s">
        <v>10227</v>
      </c>
      <c r="I1878">
        <v>6.8440906154262973E-2</v>
      </c>
      <c r="J1878">
        <v>47983</v>
      </c>
      <c r="K1878">
        <v>0.16266283619792959</v>
      </c>
      <c r="L1878">
        <v>20189</v>
      </c>
      <c r="M1878">
        <v>3284</v>
      </c>
      <c r="N1878">
        <v>0.158</v>
      </c>
      <c r="O1878">
        <v>7</v>
      </c>
      <c r="P1878">
        <v>3</v>
      </c>
    </row>
    <row r="1879" spans="1:16" x14ac:dyDescent="0.25">
      <c r="A1879" t="s">
        <v>564</v>
      </c>
      <c r="B1879" t="s">
        <v>30</v>
      </c>
      <c r="C1879" t="s">
        <v>394</v>
      </c>
      <c r="D1879" t="s">
        <v>76</v>
      </c>
      <c r="E1879" t="s">
        <v>77</v>
      </c>
      <c r="F1879" t="s">
        <v>78</v>
      </c>
      <c r="G1879" t="s">
        <v>581</v>
      </c>
      <c r="H1879" t="s">
        <v>10231</v>
      </c>
      <c r="I1879">
        <v>4.422399599858283E-2</v>
      </c>
      <c r="J1879">
        <v>47983</v>
      </c>
      <c r="K1879">
        <v>0.10510674129476449</v>
      </c>
      <c r="L1879">
        <v>20189</v>
      </c>
      <c r="M1879">
        <v>2122</v>
      </c>
      <c r="N1879">
        <v>0.1517</v>
      </c>
      <c r="O1879">
        <v>8</v>
      </c>
      <c r="P1879">
        <v>4</v>
      </c>
    </row>
    <row r="1880" spans="1:16" x14ac:dyDescent="0.25">
      <c r="A1880" t="s">
        <v>564</v>
      </c>
      <c r="B1880" t="s">
        <v>30</v>
      </c>
      <c r="C1880" t="s">
        <v>394</v>
      </c>
      <c r="D1880" t="s">
        <v>76</v>
      </c>
      <c r="E1880" t="s">
        <v>84</v>
      </c>
      <c r="F1880" t="s">
        <v>78</v>
      </c>
      <c r="G1880" t="s">
        <v>589</v>
      </c>
      <c r="H1880" t="s">
        <v>10230</v>
      </c>
      <c r="I1880">
        <v>3.4074568076193662E-2</v>
      </c>
      <c r="J1880">
        <v>47983</v>
      </c>
      <c r="K1880">
        <v>8.0984694635692703E-2</v>
      </c>
      <c r="L1880">
        <v>20189</v>
      </c>
      <c r="M1880">
        <v>1635</v>
      </c>
      <c r="N1880">
        <v>0.1613</v>
      </c>
      <c r="O1880">
        <v>9</v>
      </c>
      <c r="P1880">
        <v>7</v>
      </c>
    </row>
    <row r="1881" spans="1:16" x14ac:dyDescent="0.25">
      <c r="A1881" t="s">
        <v>564</v>
      </c>
      <c r="B1881" t="s">
        <v>30</v>
      </c>
      <c r="C1881" t="s">
        <v>394</v>
      </c>
      <c r="D1881" t="s">
        <v>76</v>
      </c>
      <c r="E1881" t="s">
        <v>79</v>
      </c>
      <c r="F1881" t="s">
        <v>78</v>
      </c>
      <c r="G1881" t="s">
        <v>577</v>
      </c>
      <c r="H1881" t="s">
        <v>10234</v>
      </c>
      <c r="I1881">
        <v>1.836066940374716E-2</v>
      </c>
      <c r="J1881">
        <v>47983</v>
      </c>
      <c r="K1881">
        <v>4.363762444895735E-2</v>
      </c>
      <c r="L1881">
        <v>20189</v>
      </c>
      <c r="M1881">
        <v>881</v>
      </c>
      <c r="N1881">
        <v>0.1043</v>
      </c>
      <c r="O1881">
        <v>10</v>
      </c>
      <c r="P1881">
        <v>5</v>
      </c>
    </row>
    <row r="1882" spans="1:16" x14ac:dyDescent="0.25">
      <c r="A1882" t="s">
        <v>564</v>
      </c>
      <c r="B1882" t="s">
        <v>30</v>
      </c>
      <c r="C1882" t="s">
        <v>394</v>
      </c>
      <c r="D1882" t="s">
        <v>76</v>
      </c>
      <c r="E1882" t="s">
        <v>600</v>
      </c>
      <c r="F1882" t="s">
        <v>78</v>
      </c>
      <c r="G1882" t="s">
        <v>601</v>
      </c>
      <c r="H1882" t="s">
        <v>10239</v>
      </c>
      <c r="I1882">
        <v>1.4338411520746931E-2</v>
      </c>
      <c r="J1882">
        <v>47983</v>
      </c>
      <c r="K1882">
        <v>3.4077963247312902E-2</v>
      </c>
      <c r="L1882">
        <v>20189</v>
      </c>
      <c r="M1882">
        <v>688</v>
      </c>
      <c r="N1882">
        <v>0.1016</v>
      </c>
      <c r="O1882">
        <v>11</v>
      </c>
    </row>
    <row r="1883" spans="1:16" x14ac:dyDescent="0.25">
      <c r="A1883" t="s">
        <v>564</v>
      </c>
      <c r="B1883" t="s">
        <v>30</v>
      </c>
      <c r="C1883" t="s">
        <v>394</v>
      </c>
      <c r="D1883" t="s">
        <v>76</v>
      </c>
      <c r="E1883" t="s">
        <v>608</v>
      </c>
      <c r="F1883" t="s">
        <v>78</v>
      </c>
      <c r="G1883" t="s">
        <v>609</v>
      </c>
      <c r="H1883" t="s">
        <v>10237</v>
      </c>
      <c r="I1883">
        <v>1.260863222391264E-2</v>
      </c>
      <c r="J1883">
        <v>47983</v>
      </c>
      <c r="K1883">
        <v>2.9966813611372531E-2</v>
      </c>
      <c r="L1883">
        <v>20189</v>
      </c>
      <c r="M1883">
        <v>605</v>
      </c>
      <c r="N1883">
        <v>0.48520000000000002</v>
      </c>
      <c r="O1883">
        <v>12</v>
      </c>
    </row>
    <row r="1884" spans="1:16" x14ac:dyDescent="0.25">
      <c r="A1884" t="s">
        <v>564</v>
      </c>
      <c r="B1884" t="s">
        <v>30</v>
      </c>
      <c r="C1884" t="s">
        <v>394</v>
      </c>
      <c r="D1884" t="s">
        <v>76</v>
      </c>
      <c r="E1884" t="s">
        <v>81</v>
      </c>
      <c r="F1884" t="s">
        <v>590</v>
      </c>
      <c r="G1884" t="s">
        <v>591</v>
      </c>
      <c r="H1884" t="s">
        <v>10243</v>
      </c>
      <c r="I1884">
        <v>1.202509222016131E-2</v>
      </c>
      <c r="J1884">
        <v>47983</v>
      </c>
      <c r="K1884">
        <v>2.8579919758284219E-2</v>
      </c>
      <c r="L1884">
        <v>20189</v>
      </c>
      <c r="M1884">
        <v>577</v>
      </c>
      <c r="N1884">
        <v>9.5200000000000007E-2</v>
      </c>
      <c r="O1884">
        <v>13</v>
      </c>
    </row>
    <row r="1885" spans="1:16" x14ac:dyDescent="0.25">
      <c r="A1885" t="s">
        <v>564</v>
      </c>
      <c r="B1885" t="s">
        <v>30</v>
      </c>
      <c r="C1885" t="s">
        <v>394</v>
      </c>
      <c r="D1885" t="s">
        <v>76</v>
      </c>
      <c r="E1885" t="s">
        <v>606</v>
      </c>
      <c r="F1885" t="s">
        <v>78</v>
      </c>
      <c r="G1885" t="s">
        <v>607</v>
      </c>
      <c r="H1885" t="s">
        <v>10238</v>
      </c>
      <c r="I1885">
        <v>1.006606506471042E-2</v>
      </c>
      <c r="J1885">
        <v>47983</v>
      </c>
      <c r="K1885">
        <v>2.3923918965773439E-2</v>
      </c>
      <c r="L1885">
        <v>20189</v>
      </c>
      <c r="M1885">
        <v>483</v>
      </c>
      <c r="N1885">
        <v>0.1694</v>
      </c>
      <c r="O1885">
        <v>14</v>
      </c>
    </row>
    <row r="1886" spans="1:16" x14ac:dyDescent="0.25">
      <c r="A1886" t="s">
        <v>564</v>
      </c>
      <c r="B1886" t="s">
        <v>30</v>
      </c>
      <c r="C1886" t="s">
        <v>394</v>
      </c>
      <c r="D1886" t="s">
        <v>76</v>
      </c>
      <c r="E1886" t="s">
        <v>346</v>
      </c>
      <c r="F1886" t="s">
        <v>78</v>
      </c>
      <c r="G1886" t="s">
        <v>584</v>
      </c>
      <c r="H1886" t="s">
        <v>10235</v>
      </c>
      <c r="I1886">
        <v>1.0045224350290731E-2</v>
      </c>
      <c r="J1886">
        <v>47983</v>
      </c>
      <c r="K1886">
        <v>2.3874387042448861E-2</v>
      </c>
      <c r="L1886">
        <v>20189</v>
      </c>
      <c r="M1886">
        <v>482</v>
      </c>
      <c r="N1886">
        <v>9.7299999999999998E-2</v>
      </c>
      <c r="O1886">
        <v>15</v>
      </c>
    </row>
    <row r="1887" spans="1:16" x14ac:dyDescent="0.25">
      <c r="A1887" t="s">
        <v>564</v>
      </c>
      <c r="B1887" t="s">
        <v>30</v>
      </c>
      <c r="C1887" t="s">
        <v>394</v>
      </c>
      <c r="D1887" t="s">
        <v>76</v>
      </c>
      <c r="E1887" t="s">
        <v>81</v>
      </c>
      <c r="F1887" t="s">
        <v>582</v>
      </c>
      <c r="G1887" t="s">
        <v>583</v>
      </c>
      <c r="H1887" t="s">
        <v>10232</v>
      </c>
      <c r="I1887">
        <v>9.3157993456015678E-3</v>
      </c>
      <c r="J1887">
        <v>47983</v>
      </c>
      <c r="K1887">
        <v>2.2140769726088461E-2</v>
      </c>
      <c r="L1887">
        <v>20189</v>
      </c>
      <c r="M1887">
        <v>447</v>
      </c>
      <c r="N1887">
        <v>3.1300000000000001E-2</v>
      </c>
      <c r="O1887">
        <v>16</v>
      </c>
    </row>
    <row r="1888" spans="1:16" x14ac:dyDescent="0.25">
      <c r="A1888" t="s">
        <v>564</v>
      </c>
      <c r="B1888" t="s">
        <v>30</v>
      </c>
      <c r="C1888" t="s">
        <v>394</v>
      </c>
      <c r="D1888" t="s">
        <v>76</v>
      </c>
      <c r="E1888" t="s">
        <v>600</v>
      </c>
      <c r="F1888" t="s">
        <v>614</v>
      </c>
      <c r="G1888" t="s">
        <v>615</v>
      </c>
      <c r="H1888" t="s">
        <v>10251</v>
      </c>
      <c r="I1888">
        <v>9.0865514869849732E-3</v>
      </c>
      <c r="J1888">
        <v>47983</v>
      </c>
      <c r="K1888">
        <v>2.1595918569518049E-2</v>
      </c>
      <c r="L1888">
        <v>20189</v>
      </c>
      <c r="M1888">
        <v>436</v>
      </c>
      <c r="N1888">
        <v>6.6400000000000001E-2</v>
      </c>
      <c r="O1888">
        <v>17</v>
      </c>
    </row>
    <row r="1889" spans="1:15" x14ac:dyDescent="0.25">
      <c r="A1889" t="s">
        <v>564</v>
      </c>
      <c r="B1889" t="s">
        <v>30</v>
      </c>
      <c r="C1889" t="s">
        <v>394</v>
      </c>
      <c r="D1889" t="s">
        <v>76</v>
      </c>
      <c r="E1889" t="s">
        <v>592</v>
      </c>
      <c r="F1889" t="s">
        <v>78</v>
      </c>
      <c r="G1889" t="s">
        <v>593</v>
      </c>
      <c r="H1889" t="s">
        <v>10240</v>
      </c>
      <c r="I1889">
        <v>7.6693829064460326E-3</v>
      </c>
      <c r="J1889">
        <v>47983</v>
      </c>
      <c r="K1889">
        <v>1.8227747783446432E-2</v>
      </c>
      <c r="L1889">
        <v>20189</v>
      </c>
      <c r="M1889">
        <v>368</v>
      </c>
      <c r="N1889">
        <v>5.96E-2</v>
      </c>
      <c r="O1889">
        <v>18</v>
      </c>
    </row>
    <row r="1890" spans="1:15" x14ac:dyDescent="0.25">
      <c r="A1890" t="s">
        <v>564</v>
      </c>
      <c r="B1890" t="s">
        <v>30</v>
      </c>
      <c r="C1890" t="s">
        <v>394</v>
      </c>
      <c r="D1890" t="s">
        <v>76</v>
      </c>
      <c r="E1890" t="s">
        <v>602</v>
      </c>
      <c r="F1890" t="s">
        <v>78</v>
      </c>
      <c r="G1890" t="s">
        <v>603</v>
      </c>
      <c r="H1890" t="s">
        <v>10236</v>
      </c>
      <c r="I1890">
        <v>6.9399579017568724E-3</v>
      </c>
      <c r="J1890">
        <v>47983</v>
      </c>
      <c r="K1890">
        <v>1.6494130467086039E-2</v>
      </c>
      <c r="L1890">
        <v>20189</v>
      </c>
      <c r="M1890">
        <v>333</v>
      </c>
      <c r="N1890">
        <v>0.13469999999999999</v>
      </c>
      <c r="O1890">
        <v>19</v>
      </c>
    </row>
    <row r="1891" spans="1:15" x14ac:dyDescent="0.25">
      <c r="A1891" t="s">
        <v>564</v>
      </c>
      <c r="B1891" t="s">
        <v>30</v>
      </c>
      <c r="C1891" t="s">
        <v>394</v>
      </c>
      <c r="D1891" t="s">
        <v>76</v>
      </c>
      <c r="E1891" t="s">
        <v>594</v>
      </c>
      <c r="F1891" t="s">
        <v>78</v>
      </c>
      <c r="G1891" t="s">
        <v>595</v>
      </c>
      <c r="H1891" t="s">
        <v>10247</v>
      </c>
      <c r="I1891">
        <v>5.5227893212179318E-3</v>
      </c>
      <c r="J1891">
        <v>47983</v>
      </c>
      <c r="K1891">
        <v>1.3125959681014409E-2</v>
      </c>
      <c r="L1891">
        <v>20189</v>
      </c>
      <c r="M1891">
        <v>265</v>
      </c>
      <c r="N1891">
        <v>6.0199999999999997E-2</v>
      </c>
      <c r="O1891">
        <v>20</v>
      </c>
    </row>
    <row r="1892" spans="1:15" x14ac:dyDescent="0.25">
      <c r="A1892" t="s">
        <v>564</v>
      </c>
      <c r="B1892" t="s">
        <v>30</v>
      </c>
      <c r="C1892" t="s">
        <v>394</v>
      </c>
      <c r="D1892" t="s">
        <v>76</v>
      </c>
      <c r="E1892" t="s">
        <v>600</v>
      </c>
      <c r="F1892" t="s">
        <v>612</v>
      </c>
      <c r="G1892" t="s">
        <v>613</v>
      </c>
      <c r="H1892" t="s">
        <v>10245</v>
      </c>
      <c r="I1892">
        <v>5.356063605860409E-3</v>
      </c>
      <c r="J1892">
        <v>47983</v>
      </c>
      <c r="K1892">
        <v>1.272970429441775E-2</v>
      </c>
      <c r="L1892">
        <v>20189</v>
      </c>
      <c r="M1892">
        <v>257</v>
      </c>
      <c r="N1892">
        <v>0.15890000000000001</v>
      </c>
      <c r="O1892">
        <v>21</v>
      </c>
    </row>
    <row r="1893" spans="1:15" x14ac:dyDescent="0.25">
      <c r="A1893" t="s">
        <v>564</v>
      </c>
      <c r="B1893" t="s">
        <v>30</v>
      </c>
      <c r="C1893" t="s">
        <v>394</v>
      </c>
      <c r="D1893" t="s">
        <v>76</v>
      </c>
      <c r="E1893" t="s">
        <v>592</v>
      </c>
      <c r="F1893" t="s">
        <v>624</v>
      </c>
      <c r="G1893" t="s">
        <v>625</v>
      </c>
      <c r="H1893" t="s">
        <v>10248</v>
      </c>
      <c r="I1893">
        <v>4.9600900318862934E-3</v>
      </c>
      <c r="J1893">
        <v>47983</v>
      </c>
      <c r="K1893">
        <v>1.1788597751250679E-2</v>
      </c>
      <c r="L1893">
        <v>20189</v>
      </c>
      <c r="M1893">
        <v>238</v>
      </c>
      <c r="N1893">
        <v>6.7000000000000004E-2</v>
      </c>
      <c r="O1893">
        <v>22</v>
      </c>
    </row>
    <row r="1894" spans="1:15" x14ac:dyDescent="0.25">
      <c r="A1894" t="s">
        <v>564</v>
      </c>
      <c r="B1894" t="s">
        <v>30</v>
      </c>
      <c r="C1894" t="s">
        <v>394</v>
      </c>
      <c r="D1894" t="s">
        <v>76</v>
      </c>
      <c r="E1894" t="s">
        <v>644</v>
      </c>
      <c r="F1894" t="s">
        <v>78</v>
      </c>
      <c r="G1894" t="s">
        <v>645</v>
      </c>
      <c r="H1894" t="s">
        <v>10252</v>
      </c>
      <c r="I1894">
        <v>4.75168288768939E-3</v>
      </c>
      <c r="J1894">
        <v>47983</v>
      </c>
      <c r="K1894">
        <v>1.1293278518004849E-2</v>
      </c>
      <c r="L1894">
        <v>20189</v>
      </c>
      <c r="M1894">
        <v>228</v>
      </c>
      <c r="N1894">
        <v>8.6999999999999994E-3</v>
      </c>
      <c r="O1894">
        <v>23</v>
      </c>
    </row>
    <row r="1895" spans="1:15" x14ac:dyDescent="0.25">
      <c r="A1895" t="s">
        <v>564</v>
      </c>
      <c r="B1895" t="s">
        <v>30</v>
      </c>
      <c r="C1895" t="s">
        <v>394</v>
      </c>
      <c r="D1895" t="s">
        <v>76</v>
      </c>
      <c r="E1895" t="s">
        <v>80</v>
      </c>
      <c r="F1895" t="s">
        <v>8354</v>
      </c>
      <c r="G1895" t="s">
        <v>8355</v>
      </c>
      <c r="H1895" t="s">
        <v>10250</v>
      </c>
      <c r="I1895">
        <v>3.2094700206323069E-3</v>
      </c>
      <c r="J1895">
        <v>47983</v>
      </c>
      <c r="K1895">
        <v>7.6279161919857348E-3</v>
      </c>
      <c r="L1895">
        <v>20189</v>
      </c>
      <c r="M1895">
        <v>154</v>
      </c>
      <c r="N1895">
        <v>3.8699999999999998E-2</v>
      </c>
      <c r="O1895">
        <v>24</v>
      </c>
    </row>
    <row r="1896" spans="1:15" x14ac:dyDescent="0.25">
      <c r="A1896" t="s">
        <v>564</v>
      </c>
      <c r="B1896" t="s">
        <v>30</v>
      </c>
      <c r="C1896" t="s">
        <v>394</v>
      </c>
      <c r="D1896" t="s">
        <v>76</v>
      </c>
      <c r="E1896" t="s">
        <v>634</v>
      </c>
      <c r="F1896" t="s">
        <v>78</v>
      </c>
      <c r="G1896" t="s">
        <v>635</v>
      </c>
      <c r="H1896" t="s">
        <v>10241</v>
      </c>
      <c r="I1896">
        <v>3.188629306212617E-3</v>
      </c>
      <c r="J1896">
        <v>47983</v>
      </c>
      <c r="K1896">
        <v>7.578384268661152E-3</v>
      </c>
      <c r="L1896">
        <v>20189</v>
      </c>
      <c r="M1896">
        <v>153</v>
      </c>
      <c r="N1896">
        <v>8.4400000000000003E-2</v>
      </c>
      <c r="O1896">
        <v>25</v>
      </c>
    </row>
    <row r="1897" spans="1:15" x14ac:dyDescent="0.25">
      <c r="A1897" t="s">
        <v>564</v>
      </c>
      <c r="B1897" t="s">
        <v>30</v>
      </c>
      <c r="C1897" t="s">
        <v>394</v>
      </c>
      <c r="D1897" t="s">
        <v>76</v>
      </c>
      <c r="E1897" t="s">
        <v>602</v>
      </c>
      <c r="F1897" t="s">
        <v>616</v>
      </c>
      <c r="G1897" t="s">
        <v>617</v>
      </c>
      <c r="H1897" t="s">
        <v>10246</v>
      </c>
      <c r="I1897">
        <v>3.1052664485338561E-3</v>
      </c>
      <c r="J1897">
        <v>47983</v>
      </c>
      <c r="K1897">
        <v>7.3802565753628216E-3</v>
      </c>
      <c r="L1897">
        <v>20189</v>
      </c>
      <c r="M1897">
        <v>149</v>
      </c>
      <c r="N1897">
        <v>0.14660000000000001</v>
      </c>
      <c r="O1897">
        <v>26</v>
      </c>
    </row>
    <row r="1898" spans="1:15" x14ac:dyDescent="0.25">
      <c r="A1898" t="s">
        <v>564</v>
      </c>
      <c r="B1898" t="s">
        <v>30</v>
      </c>
      <c r="C1898" t="s">
        <v>394</v>
      </c>
      <c r="D1898" t="s">
        <v>76</v>
      </c>
      <c r="E1898" t="s">
        <v>610</v>
      </c>
      <c r="F1898" t="s">
        <v>78</v>
      </c>
      <c r="G1898" t="s">
        <v>611</v>
      </c>
      <c r="H1898" t="s">
        <v>10258</v>
      </c>
      <c r="I1898">
        <v>3.063585019694475E-3</v>
      </c>
      <c r="J1898">
        <v>47983</v>
      </c>
      <c r="K1898">
        <v>7.281192728713656E-3</v>
      </c>
      <c r="L1898">
        <v>20189</v>
      </c>
      <c r="M1898">
        <v>147</v>
      </c>
      <c r="N1898">
        <v>0.1351</v>
      </c>
      <c r="O1898">
        <v>27</v>
      </c>
    </row>
    <row r="1899" spans="1:15" x14ac:dyDescent="0.25">
      <c r="A1899" t="s">
        <v>564</v>
      </c>
      <c r="B1899" t="s">
        <v>30</v>
      </c>
      <c r="C1899" t="s">
        <v>394</v>
      </c>
      <c r="D1899" t="s">
        <v>76</v>
      </c>
      <c r="E1899" t="s">
        <v>598</v>
      </c>
      <c r="F1899" t="s">
        <v>78</v>
      </c>
      <c r="G1899" t="s">
        <v>599</v>
      </c>
      <c r="H1899" t="s">
        <v>10260</v>
      </c>
      <c r="I1899">
        <v>3.0010628764354039E-3</v>
      </c>
      <c r="J1899">
        <v>47983</v>
      </c>
      <c r="K1899">
        <v>7.1325969587399084E-3</v>
      </c>
      <c r="L1899">
        <v>20189</v>
      </c>
      <c r="M1899">
        <v>144</v>
      </c>
      <c r="N1899">
        <v>1.38E-2</v>
      </c>
      <c r="O1899">
        <v>28</v>
      </c>
    </row>
    <row r="1900" spans="1:15" x14ac:dyDescent="0.25">
      <c r="A1900" t="s">
        <v>564</v>
      </c>
      <c r="B1900" t="s">
        <v>30</v>
      </c>
      <c r="C1900" t="s">
        <v>394</v>
      </c>
      <c r="D1900" t="s">
        <v>76</v>
      </c>
      <c r="E1900" t="s">
        <v>81</v>
      </c>
      <c r="F1900" t="s">
        <v>622</v>
      </c>
      <c r="G1900" t="s">
        <v>623</v>
      </c>
      <c r="H1900" t="s">
        <v>10249</v>
      </c>
      <c r="I1900">
        <v>2.7718150178188111E-3</v>
      </c>
      <c r="J1900">
        <v>47983</v>
      </c>
      <c r="K1900">
        <v>6.5877458021694982E-3</v>
      </c>
      <c r="L1900">
        <v>20189</v>
      </c>
      <c r="M1900">
        <v>133</v>
      </c>
      <c r="O1900">
        <v>29</v>
      </c>
    </row>
    <row r="1901" spans="1:15" x14ac:dyDescent="0.25">
      <c r="A1901" t="s">
        <v>564</v>
      </c>
      <c r="B1901" t="s">
        <v>30</v>
      </c>
      <c r="C1901" t="s">
        <v>394</v>
      </c>
      <c r="D1901" t="s">
        <v>76</v>
      </c>
      <c r="E1901" t="s">
        <v>620</v>
      </c>
      <c r="F1901" t="s">
        <v>78</v>
      </c>
      <c r="G1901" t="s">
        <v>621</v>
      </c>
      <c r="H1901" t="s">
        <v>10254</v>
      </c>
      <c r="I1901">
        <v>2.4175228726840761E-3</v>
      </c>
      <c r="J1901">
        <v>47983</v>
      </c>
      <c r="K1901">
        <v>5.7457031056515921E-3</v>
      </c>
      <c r="L1901">
        <v>20189</v>
      </c>
      <c r="M1901">
        <v>116</v>
      </c>
      <c r="N1901">
        <v>0.26500000000000001</v>
      </c>
      <c r="O1901">
        <v>30</v>
      </c>
    </row>
    <row r="1902" spans="1:15" x14ac:dyDescent="0.25">
      <c r="A1902" t="s">
        <v>564</v>
      </c>
      <c r="B1902" t="s">
        <v>30</v>
      </c>
      <c r="C1902" t="s">
        <v>394</v>
      </c>
      <c r="D1902" t="s">
        <v>76</v>
      </c>
      <c r="E1902" t="s">
        <v>634</v>
      </c>
      <c r="F1902" t="s">
        <v>658</v>
      </c>
      <c r="G1902" t="s">
        <v>659</v>
      </c>
      <c r="H1902" t="s">
        <v>10242</v>
      </c>
      <c r="I1902">
        <v>2.0632307275493399E-3</v>
      </c>
      <c r="J1902">
        <v>47983</v>
      </c>
      <c r="K1902">
        <v>4.9036604091336868E-3</v>
      </c>
      <c r="L1902">
        <v>20189</v>
      </c>
      <c r="M1902">
        <v>99</v>
      </c>
      <c r="N1902">
        <v>0.08</v>
      </c>
      <c r="O1902">
        <v>31</v>
      </c>
    </row>
    <row r="1903" spans="1:15" x14ac:dyDescent="0.25">
      <c r="A1903" t="s">
        <v>564</v>
      </c>
      <c r="B1903" t="s">
        <v>30</v>
      </c>
      <c r="C1903" t="s">
        <v>394</v>
      </c>
      <c r="D1903" t="s">
        <v>76</v>
      </c>
      <c r="E1903" t="s">
        <v>596</v>
      </c>
      <c r="F1903" t="s">
        <v>78</v>
      </c>
      <c r="G1903" t="s">
        <v>597</v>
      </c>
      <c r="H1903" t="s">
        <v>10244</v>
      </c>
      <c r="I1903">
        <v>2.04239001312965E-3</v>
      </c>
      <c r="J1903">
        <v>47983</v>
      </c>
      <c r="K1903">
        <v>4.854128485809104E-3</v>
      </c>
      <c r="L1903">
        <v>20189</v>
      </c>
      <c r="M1903">
        <v>98</v>
      </c>
      <c r="N1903">
        <v>4.0399999999999998E-2</v>
      </c>
      <c r="O1903">
        <v>32</v>
      </c>
    </row>
    <row r="1904" spans="1:15" x14ac:dyDescent="0.25">
      <c r="A1904" t="s">
        <v>564</v>
      </c>
      <c r="B1904" t="s">
        <v>30</v>
      </c>
      <c r="C1904" t="s">
        <v>394</v>
      </c>
      <c r="D1904" t="s">
        <v>76</v>
      </c>
      <c r="E1904" t="s">
        <v>602</v>
      </c>
      <c r="F1904" t="s">
        <v>628</v>
      </c>
      <c r="G1904" t="s">
        <v>629</v>
      </c>
      <c r="H1904" t="s">
        <v>10257</v>
      </c>
      <c r="I1904">
        <v>1.979867869870579E-3</v>
      </c>
      <c r="J1904">
        <v>47983</v>
      </c>
      <c r="K1904">
        <v>4.7055327158353564E-3</v>
      </c>
      <c r="L1904">
        <v>20189</v>
      </c>
      <c r="M1904">
        <v>95</v>
      </c>
      <c r="N1904">
        <v>0.1875</v>
      </c>
      <c r="O1904">
        <v>33</v>
      </c>
    </row>
    <row r="1905" spans="1:15" x14ac:dyDescent="0.25">
      <c r="A1905" t="s">
        <v>564</v>
      </c>
      <c r="B1905" t="s">
        <v>30</v>
      </c>
      <c r="C1905" t="s">
        <v>394</v>
      </c>
      <c r="D1905" t="s">
        <v>76</v>
      </c>
      <c r="E1905" t="s">
        <v>618</v>
      </c>
      <c r="F1905" t="s">
        <v>78</v>
      </c>
      <c r="G1905" t="s">
        <v>619</v>
      </c>
      <c r="H1905" t="s">
        <v>10262</v>
      </c>
      <c r="I1905">
        <v>1.9173457266115079E-3</v>
      </c>
      <c r="J1905">
        <v>47983</v>
      </c>
      <c r="K1905">
        <v>4.5569369458616079E-3</v>
      </c>
      <c r="L1905">
        <v>20189</v>
      </c>
      <c r="M1905">
        <v>92</v>
      </c>
      <c r="N1905">
        <v>0.1075</v>
      </c>
      <c r="O1905">
        <v>34</v>
      </c>
    </row>
    <row r="1906" spans="1:15" x14ac:dyDescent="0.25">
      <c r="A1906" t="s">
        <v>564</v>
      </c>
      <c r="B1906" t="s">
        <v>30</v>
      </c>
      <c r="C1906" t="s">
        <v>394</v>
      </c>
      <c r="D1906" t="s">
        <v>76</v>
      </c>
      <c r="E1906" t="s">
        <v>602</v>
      </c>
      <c r="F1906" t="s">
        <v>640</v>
      </c>
      <c r="G1906" t="s">
        <v>641</v>
      </c>
      <c r="H1906" t="s">
        <v>10264</v>
      </c>
      <c r="I1906">
        <v>1.667257153575224E-3</v>
      </c>
      <c r="J1906">
        <v>47983</v>
      </c>
      <c r="K1906">
        <v>3.9625538659666159E-3</v>
      </c>
      <c r="L1906">
        <v>20189</v>
      </c>
      <c r="M1906">
        <v>80</v>
      </c>
      <c r="N1906">
        <v>1.23E-2</v>
      </c>
      <c r="O1906">
        <v>35</v>
      </c>
    </row>
    <row r="1907" spans="1:15" x14ac:dyDescent="0.25">
      <c r="A1907" t="s">
        <v>564</v>
      </c>
      <c r="B1907" t="s">
        <v>30</v>
      </c>
      <c r="C1907" t="s">
        <v>394</v>
      </c>
      <c r="D1907" t="s">
        <v>76</v>
      </c>
      <c r="E1907" t="s">
        <v>626</v>
      </c>
      <c r="F1907" t="s">
        <v>78</v>
      </c>
      <c r="G1907" t="s">
        <v>627</v>
      </c>
      <c r="H1907" t="s">
        <v>10259</v>
      </c>
      <c r="I1907">
        <v>1.6047350103161539E-3</v>
      </c>
      <c r="J1907">
        <v>47983</v>
      </c>
      <c r="K1907">
        <v>3.813958095992867E-3</v>
      </c>
      <c r="L1907">
        <v>20189</v>
      </c>
      <c r="M1907">
        <v>77</v>
      </c>
      <c r="N1907">
        <v>0.17949999999999999</v>
      </c>
      <c r="O1907">
        <v>36</v>
      </c>
    </row>
    <row r="1908" spans="1:15" x14ac:dyDescent="0.25">
      <c r="A1908" t="s">
        <v>564</v>
      </c>
      <c r="B1908" t="s">
        <v>30</v>
      </c>
      <c r="C1908" t="s">
        <v>394</v>
      </c>
      <c r="D1908" t="s">
        <v>76</v>
      </c>
      <c r="E1908" t="s">
        <v>592</v>
      </c>
      <c r="F1908" t="s">
        <v>811</v>
      </c>
      <c r="G1908" t="s">
        <v>812</v>
      </c>
      <c r="H1908" t="s">
        <v>10255</v>
      </c>
      <c r="I1908">
        <v>1.5838942958964629E-3</v>
      </c>
      <c r="J1908">
        <v>47983</v>
      </c>
      <c r="K1908">
        <v>3.764426172668285E-3</v>
      </c>
      <c r="L1908">
        <v>20189</v>
      </c>
      <c r="M1908">
        <v>76</v>
      </c>
      <c r="N1908">
        <v>9.0899999999999995E-2</v>
      </c>
      <c r="O1908">
        <v>37</v>
      </c>
    </row>
    <row r="1909" spans="1:15" x14ac:dyDescent="0.25">
      <c r="A1909" t="s">
        <v>564</v>
      </c>
      <c r="B1909" t="s">
        <v>30</v>
      </c>
      <c r="C1909" t="s">
        <v>394</v>
      </c>
      <c r="D1909" t="s">
        <v>76</v>
      </c>
      <c r="E1909" t="s">
        <v>632</v>
      </c>
      <c r="F1909" t="s">
        <v>78</v>
      </c>
      <c r="G1909" t="s">
        <v>633</v>
      </c>
      <c r="H1909" t="s">
        <v>10268</v>
      </c>
      <c r="I1909">
        <v>1.1670800075026569E-3</v>
      </c>
      <c r="J1909">
        <v>47983</v>
      </c>
      <c r="K1909">
        <v>2.7737877061766308E-3</v>
      </c>
      <c r="L1909">
        <v>20189</v>
      </c>
      <c r="M1909">
        <v>56</v>
      </c>
      <c r="N1909">
        <v>3.5099999999999999E-2</v>
      </c>
      <c r="O1909">
        <v>38</v>
      </c>
    </row>
    <row r="1910" spans="1:15" x14ac:dyDescent="0.25">
      <c r="A1910" t="s">
        <v>564</v>
      </c>
      <c r="B1910" t="s">
        <v>30</v>
      </c>
      <c r="C1910" t="s">
        <v>394</v>
      </c>
      <c r="D1910" t="s">
        <v>76</v>
      </c>
      <c r="E1910" t="s">
        <v>630</v>
      </c>
      <c r="F1910" t="s">
        <v>78</v>
      </c>
      <c r="G1910" t="s">
        <v>631</v>
      </c>
      <c r="H1910" t="s">
        <v>10266</v>
      </c>
      <c r="I1910">
        <v>1.146239293082967E-3</v>
      </c>
      <c r="J1910">
        <v>47983</v>
      </c>
      <c r="K1910">
        <v>2.724255782852048E-3</v>
      </c>
      <c r="L1910">
        <v>20189</v>
      </c>
      <c r="M1910">
        <v>55</v>
      </c>
      <c r="N1910">
        <v>3.5700000000000003E-2</v>
      </c>
      <c r="O1910">
        <v>39</v>
      </c>
    </row>
    <row r="1911" spans="1:15" x14ac:dyDescent="0.25">
      <c r="A1911" t="s">
        <v>564</v>
      </c>
      <c r="B1911" t="s">
        <v>30</v>
      </c>
      <c r="C1911" t="s">
        <v>394</v>
      </c>
      <c r="D1911" t="s">
        <v>76</v>
      </c>
      <c r="E1911" t="s">
        <v>592</v>
      </c>
      <c r="F1911" t="s">
        <v>803</v>
      </c>
      <c r="G1911" t="s">
        <v>804</v>
      </c>
      <c r="H1911" t="s">
        <v>10256</v>
      </c>
      <c r="I1911">
        <v>1.146239293082967E-3</v>
      </c>
      <c r="J1911">
        <v>47983</v>
      </c>
      <c r="K1911">
        <v>2.724255782852048E-3</v>
      </c>
      <c r="L1911">
        <v>20189</v>
      </c>
      <c r="M1911">
        <v>55</v>
      </c>
      <c r="O1911">
        <v>40</v>
      </c>
    </row>
    <row r="1912" spans="1:15" x14ac:dyDescent="0.25">
      <c r="A1912" t="s">
        <v>564</v>
      </c>
      <c r="B1912" t="s">
        <v>30</v>
      </c>
      <c r="C1912" t="s">
        <v>394</v>
      </c>
      <c r="D1912" t="s">
        <v>76</v>
      </c>
      <c r="E1912" t="s">
        <v>634</v>
      </c>
      <c r="F1912" t="s">
        <v>638</v>
      </c>
      <c r="G1912" t="s">
        <v>639</v>
      </c>
      <c r="H1912" t="s">
        <v>10263</v>
      </c>
      <c r="I1912">
        <v>1.146239293082967E-3</v>
      </c>
      <c r="J1912">
        <v>47983</v>
      </c>
      <c r="K1912">
        <v>2.724255782852048E-3</v>
      </c>
      <c r="L1912">
        <v>20189</v>
      </c>
      <c r="M1912">
        <v>55</v>
      </c>
      <c r="N1912">
        <v>8.9300000000000004E-2</v>
      </c>
      <c r="O1912">
        <v>41</v>
      </c>
    </row>
    <row r="1913" spans="1:15" x14ac:dyDescent="0.25">
      <c r="A1913" t="s">
        <v>564</v>
      </c>
      <c r="B1913" t="s">
        <v>30</v>
      </c>
      <c r="C1913" t="s">
        <v>394</v>
      </c>
      <c r="D1913" t="s">
        <v>76</v>
      </c>
      <c r="E1913" t="s">
        <v>8368</v>
      </c>
      <c r="F1913" t="s">
        <v>78</v>
      </c>
      <c r="G1913" t="s">
        <v>8369</v>
      </c>
      <c r="H1913" t="s">
        <v>10261</v>
      </c>
      <c r="I1913">
        <v>5.8354000375132858E-4</v>
      </c>
      <c r="J1913">
        <v>47983</v>
      </c>
      <c r="K1913">
        <v>1.386893853088315E-3</v>
      </c>
      <c r="L1913">
        <v>20189</v>
      </c>
      <c r="M1913">
        <v>28</v>
      </c>
      <c r="N1913">
        <v>3.4500000000000003E-2</v>
      </c>
      <c r="O1913">
        <v>42</v>
      </c>
    </row>
    <row r="1914" spans="1:15" x14ac:dyDescent="0.25">
      <c r="A1914" t="s">
        <v>564</v>
      </c>
      <c r="B1914" t="s">
        <v>30</v>
      </c>
      <c r="C1914" t="s">
        <v>394</v>
      </c>
      <c r="D1914" t="s">
        <v>76</v>
      </c>
      <c r="E1914" t="s">
        <v>602</v>
      </c>
      <c r="F1914" t="s">
        <v>650</v>
      </c>
      <c r="G1914" t="s">
        <v>651</v>
      </c>
      <c r="H1914" t="s">
        <v>10253</v>
      </c>
      <c r="I1914">
        <v>4.1681428839380612E-4</v>
      </c>
      <c r="J1914">
        <v>47983</v>
      </c>
      <c r="K1914">
        <v>9.9063846649165396E-4</v>
      </c>
      <c r="L1914">
        <v>20189</v>
      </c>
      <c r="M1914">
        <v>20</v>
      </c>
      <c r="N1914">
        <v>0.3</v>
      </c>
      <c r="O1914">
        <v>43</v>
      </c>
    </row>
    <row r="1915" spans="1:15" x14ac:dyDescent="0.25">
      <c r="A1915" t="s">
        <v>564</v>
      </c>
      <c r="B1915" t="s">
        <v>30</v>
      </c>
      <c r="C1915" t="s">
        <v>394</v>
      </c>
      <c r="D1915" t="s">
        <v>76</v>
      </c>
      <c r="E1915" t="s">
        <v>80</v>
      </c>
      <c r="F1915" t="s">
        <v>8371</v>
      </c>
      <c r="G1915" t="s">
        <v>8372</v>
      </c>
      <c r="H1915" t="s">
        <v>10269</v>
      </c>
      <c r="I1915">
        <v>3.9597357397411578E-4</v>
      </c>
      <c r="J1915">
        <v>47983</v>
      </c>
      <c r="K1915">
        <v>9.4110654316707115E-4</v>
      </c>
      <c r="L1915">
        <v>20189</v>
      </c>
      <c r="M1915">
        <v>19</v>
      </c>
      <c r="O1915">
        <v>44</v>
      </c>
    </row>
    <row r="1916" spans="1:15" x14ac:dyDescent="0.25">
      <c r="A1916" t="s">
        <v>564</v>
      </c>
      <c r="B1916" t="s">
        <v>30</v>
      </c>
      <c r="C1916" t="s">
        <v>394</v>
      </c>
      <c r="D1916" t="s">
        <v>76</v>
      </c>
      <c r="E1916" t="s">
        <v>602</v>
      </c>
      <c r="F1916" t="s">
        <v>648</v>
      </c>
      <c r="G1916" t="s">
        <v>649</v>
      </c>
      <c r="H1916" t="s">
        <v>10265</v>
      </c>
      <c r="I1916">
        <v>3.3345143071504492E-4</v>
      </c>
      <c r="J1916">
        <v>47983</v>
      </c>
      <c r="K1916">
        <v>7.9251077319332313E-4</v>
      </c>
      <c r="L1916">
        <v>20189</v>
      </c>
      <c r="M1916">
        <v>16</v>
      </c>
      <c r="N1916">
        <v>6.25E-2</v>
      </c>
      <c r="O1916">
        <v>45</v>
      </c>
    </row>
    <row r="1917" spans="1:15" x14ac:dyDescent="0.25">
      <c r="A1917" t="s">
        <v>564</v>
      </c>
      <c r="B1917" t="s">
        <v>30</v>
      </c>
      <c r="C1917" t="s">
        <v>394</v>
      </c>
      <c r="D1917" t="s">
        <v>76</v>
      </c>
      <c r="E1917" t="s">
        <v>81</v>
      </c>
      <c r="F1917" t="s">
        <v>646</v>
      </c>
      <c r="G1917" t="s">
        <v>647</v>
      </c>
      <c r="H1917" t="s">
        <v>10273</v>
      </c>
      <c r="I1917">
        <v>2.9177000187566429E-4</v>
      </c>
      <c r="J1917">
        <v>47983</v>
      </c>
      <c r="K1917">
        <v>6.9344692654415771E-4</v>
      </c>
      <c r="L1917">
        <v>20189</v>
      </c>
      <c r="M1917">
        <v>14</v>
      </c>
      <c r="O1917">
        <v>46</v>
      </c>
    </row>
    <row r="1918" spans="1:15" x14ac:dyDescent="0.25">
      <c r="A1918" t="s">
        <v>564</v>
      </c>
      <c r="B1918" t="s">
        <v>30</v>
      </c>
      <c r="C1918" t="s">
        <v>394</v>
      </c>
      <c r="D1918" t="s">
        <v>76</v>
      </c>
      <c r="E1918" t="s">
        <v>642</v>
      </c>
      <c r="F1918" t="s">
        <v>78</v>
      </c>
      <c r="G1918" t="s">
        <v>643</v>
      </c>
      <c r="H1918" t="s">
        <v>10278</v>
      </c>
      <c r="I1918">
        <v>2.0840714419690309E-4</v>
      </c>
      <c r="J1918">
        <v>47983</v>
      </c>
      <c r="K1918">
        <v>4.9531923324582698E-4</v>
      </c>
      <c r="L1918">
        <v>20189</v>
      </c>
      <c r="M1918">
        <v>10</v>
      </c>
      <c r="N1918">
        <v>0.1</v>
      </c>
      <c r="O1918">
        <v>47</v>
      </c>
    </row>
    <row r="1919" spans="1:15" x14ac:dyDescent="0.25">
      <c r="A1919" t="s">
        <v>564</v>
      </c>
      <c r="B1919" t="s">
        <v>30</v>
      </c>
      <c r="C1919" t="s">
        <v>394</v>
      </c>
      <c r="D1919" t="s">
        <v>76</v>
      </c>
      <c r="E1919" t="s">
        <v>654</v>
      </c>
      <c r="F1919" t="s">
        <v>78</v>
      </c>
      <c r="G1919" t="s">
        <v>655</v>
      </c>
      <c r="H1919" t="s">
        <v>10274</v>
      </c>
      <c r="I1919">
        <v>2.0840714419690309E-4</v>
      </c>
      <c r="J1919">
        <v>47983</v>
      </c>
      <c r="K1919">
        <v>4.9531923324582698E-4</v>
      </c>
      <c r="L1919">
        <v>20189</v>
      </c>
      <c r="M1919">
        <v>10</v>
      </c>
      <c r="O1919">
        <v>48</v>
      </c>
    </row>
    <row r="1920" spans="1:15" x14ac:dyDescent="0.25">
      <c r="A1920" t="s">
        <v>564</v>
      </c>
      <c r="B1920" t="s">
        <v>30</v>
      </c>
      <c r="C1920" t="s">
        <v>394</v>
      </c>
      <c r="D1920" t="s">
        <v>76</v>
      </c>
      <c r="E1920" t="s">
        <v>602</v>
      </c>
      <c r="F1920" t="s">
        <v>670</v>
      </c>
      <c r="G1920" t="s">
        <v>671</v>
      </c>
      <c r="H1920" t="s">
        <v>10267</v>
      </c>
      <c r="I1920">
        <v>1.875664297772128E-4</v>
      </c>
      <c r="J1920">
        <v>47983</v>
      </c>
      <c r="K1920">
        <v>4.4578730992124422E-4</v>
      </c>
      <c r="L1920">
        <v>20189</v>
      </c>
      <c r="M1920">
        <v>9</v>
      </c>
      <c r="N1920">
        <v>0.33339999999999997</v>
      </c>
      <c r="O1920">
        <v>49</v>
      </c>
    </row>
    <row r="1921" spans="1:15" x14ac:dyDescent="0.25">
      <c r="A1921" t="s">
        <v>564</v>
      </c>
      <c r="B1921" t="s">
        <v>30</v>
      </c>
      <c r="C1921" t="s">
        <v>394</v>
      </c>
      <c r="D1921" t="s">
        <v>76</v>
      </c>
      <c r="E1921" t="s">
        <v>676</v>
      </c>
      <c r="F1921" t="s">
        <v>78</v>
      </c>
      <c r="G1921" t="s">
        <v>677</v>
      </c>
      <c r="H1921" t="s">
        <v>10279</v>
      </c>
      <c r="I1921">
        <v>1.4588500093783209E-4</v>
      </c>
      <c r="J1921">
        <v>47983</v>
      </c>
      <c r="K1921">
        <v>3.4672346327207891E-4</v>
      </c>
      <c r="L1921">
        <v>20189</v>
      </c>
      <c r="M1921">
        <v>7</v>
      </c>
      <c r="O1921">
        <v>50</v>
      </c>
    </row>
    <row r="1922" spans="1:15" x14ac:dyDescent="0.25">
      <c r="A1922" t="s">
        <v>564</v>
      </c>
      <c r="B1922" t="s">
        <v>30</v>
      </c>
      <c r="C1922" t="s">
        <v>394</v>
      </c>
      <c r="D1922" t="s">
        <v>76</v>
      </c>
      <c r="E1922" t="s">
        <v>654</v>
      </c>
      <c r="F1922" t="s">
        <v>8392</v>
      </c>
      <c r="G1922" t="s">
        <v>8393</v>
      </c>
      <c r="H1922" t="s">
        <v>10280</v>
      </c>
      <c r="I1922">
        <v>1.4588500093783209E-4</v>
      </c>
      <c r="J1922">
        <v>47983</v>
      </c>
      <c r="K1922">
        <v>3.4672346327207891E-4</v>
      </c>
      <c r="L1922">
        <v>20189</v>
      </c>
      <c r="M1922">
        <v>7</v>
      </c>
      <c r="O1922">
        <v>51</v>
      </c>
    </row>
    <row r="1923" spans="1:15" x14ac:dyDescent="0.25">
      <c r="A1923" t="s">
        <v>564</v>
      </c>
      <c r="B1923" t="s">
        <v>30</v>
      </c>
      <c r="C1923" t="s">
        <v>394</v>
      </c>
      <c r="D1923" t="s">
        <v>76</v>
      </c>
      <c r="E1923" t="s">
        <v>587</v>
      </c>
      <c r="F1923" t="s">
        <v>78</v>
      </c>
      <c r="G1923" t="s">
        <v>588</v>
      </c>
      <c r="H1923" t="s">
        <v>10271</v>
      </c>
      <c r="I1923">
        <v>1.4588500093783209E-4</v>
      </c>
      <c r="J1923">
        <v>47983</v>
      </c>
      <c r="K1923">
        <v>3.4672346327207891E-4</v>
      </c>
      <c r="L1923">
        <v>20189</v>
      </c>
      <c r="M1923">
        <v>7</v>
      </c>
      <c r="O1923">
        <v>52</v>
      </c>
    </row>
    <row r="1924" spans="1:15" x14ac:dyDescent="0.25">
      <c r="A1924" t="s">
        <v>564</v>
      </c>
      <c r="B1924" t="s">
        <v>30</v>
      </c>
      <c r="C1924" t="s">
        <v>394</v>
      </c>
      <c r="D1924" t="s">
        <v>76</v>
      </c>
      <c r="E1924" t="s">
        <v>674</v>
      </c>
      <c r="F1924" t="s">
        <v>78</v>
      </c>
      <c r="G1924" t="s">
        <v>675</v>
      </c>
      <c r="H1924" t="s">
        <v>10281</v>
      </c>
      <c r="I1924">
        <v>1.250442865181418E-4</v>
      </c>
      <c r="J1924">
        <v>47983</v>
      </c>
      <c r="K1924">
        <v>2.9719153994749609E-4</v>
      </c>
      <c r="L1924">
        <v>20189</v>
      </c>
      <c r="M1924">
        <v>6</v>
      </c>
      <c r="N1924">
        <v>0.1666</v>
      </c>
      <c r="O1924">
        <v>53</v>
      </c>
    </row>
    <row r="1925" spans="1:15" x14ac:dyDescent="0.25">
      <c r="A1925" t="s">
        <v>564</v>
      </c>
      <c r="B1925" t="s">
        <v>30</v>
      </c>
      <c r="C1925" t="s">
        <v>394</v>
      </c>
      <c r="D1925" t="s">
        <v>76</v>
      </c>
      <c r="E1925" t="s">
        <v>660</v>
      </c>
      <c r="F1925" t="s">
        <v>78</v>
      </c>
      <c r="G1925" t="s">
        <v>661</v>
      </c>
      <c r="H1925" t="s">
        <v>10276</v>
      </c>
      <c r="I1925">
        <v>8.336285767876123E-5</v>
      </c>
      <c r="J1925">
        <v>47983</v>
      </c>
      <c r="K1925">
        <v>1.9812769329833081E-4</v>
      </c>
      <c r="L1925">
        <v>20189</v>
      </c>
      <c r="M1925">
        <v>4</v>
      </c>
      <c r="O1925">
        <v>54</v>
      </c>
    </row>
    <row r="1926" spans="1:15" x14ac:dyDescent="0.25">
      <c r="A1926" t="s">
        <v>564</v>
      </c>
      <c r="B1926" t="s">
        <v>30</v>
      </c>
      <c r="C1926" t="s">
        <v>394</v>
      </c>
      <c r="D1926" t="s">
        <v>76</v>
      </c>
      <c r="E1926" t="s">
        <v>664</v>
      </c>
      <c r="F1926" t="s">
        <v>78</v>
      </c>
      <c r="G1926" t="s">
        <v>665</v>
      </c>
      <c r="H1926" t="s">
        <v>10291</v>
      </c>
      <c r="I1926">
        <v>8.336285767876123E-5</v>
      </c>
      <c r="J1926">
        <v>47983</v>
      </c>
      <c r="K1926">
        <v>1.9812769329833081E-4</v>
      </c>
      <c r="L1926">
        <v>20189</v>
      </c>
      <c r="M1926">
        <v>4</v>
      </c>
      <c r="O1926">
        <v>55</v>
      </c>
    </row>
    <row r="1927" spans="1:15" x14ac:dyDescent="0.25">
      <c r="A1927" t="s">
        <v>564</v>
      </c>
      <c r="B1927" t="s">
        <v>30</v>
      </c>
      <c r="C1927" t="s">
        <v>394</v>
      </c>
      <c r="D1927" t="s">
        <v>76</v>
      </c>
      <c r="E1927" t="s">
        <v>672</v>
      </c>
      <c r="F1927" t="s">
        <v>78</v>
      </c>
      <c r="G1927" t="s">
        <v>673</v>
      </c>
      <c r="H1927" t="s">
        <v>10328</v>
      </c>
      <c r="I1927">
        <v>8.336285767876123E-5</v>
      </c>
      <c r="J1927">
        <v>47983</v>
      </c>
      <c r="K1927">
        <v>1.9812769329833081E-4</v>
      </c>
      <c r="L1927">
        <v>20189</v>
      </c>
      <c r="M1927">
        <v>4</v>
      </c>
      <c r="O1927">
        <v>56</v>
      </c>
    </row>
    <row r="1928" spans="1:15" x14ac:dyDescent="0.25">
      <c r="A1928" t="s">
        <v>564</v>
      </c>
      <c r="B1928" t="s">
        <v>30</v>
      </c>
      <c r="C1928" t="s">
        <v>394</v>
      </c>
      <c r="D1928" t="s">
        <v>76</v>
      </c>
      <c r="E1928" t="s">
        <v>602</v>
      </c>
      <c r="F1928" t="s">
        <v>652</v>
      </c>
      <c r="G1928" t="s">
        <v>653</v>
      </c>
      <c r="H1928" t="s">
        <v>10270</v>
      </c>
      <c r="I1928">
        <v>8.336285767876123E-5</v>
      </c>
      <c r="J1928">
        <v>47983</v>
      </c>
      <c r="K1928">
        <v>1.9812769329833081E-4</v>
      </c>
      <c r="L1928">
        <v>20189</v>
      </c>
      <c r="M1928">
        <v>4</v>
      </c>
      <c r="O1928">
        <v>57</v>
      </c>
    </row>
    <row r="1929" spans="1:15" x14ac:dyDescent="0.25">
      <c r="A1929" t="s">
        <v>564</v>
      </c>
      <c r="B1929" t="s">
        <v>30</v>
      </c>
      <c r="C1929" t="s">
        <v>394</v>
      </c>
      <c r="D1929" t="s">
        <v>76</v>
      </c>
      <c r="E1929" t="s">
        <v>668</v>
      </c>
      <c r="F1929" t="s">
        <v>78</v>
      </c>
      <c r="G1929" t="s">
        <v>669</v>
      </c>
      <c r="H1929" t="s">
        <v>10272</v>
      </c>
      <c r="I1929">
        <v>8.336285767876123E-5</v>
      </c>
      <c r="J1929">
        <v>47983</v>
      </c>
      <c r="K1929">
        <v>1.9812769329833081E-4</v>
      </c>
      <c r="L1929">
        <v>20189</v>
      </c>
      <c r="M1929">
        <v>4</v>
      </c>
      <c r="O1929">
        <v>58</v>
      </c>
    </row>
    <row r="1930" spans="1:15" x14ac:dyDescent="0.25">
      <c r="A1930" t="s">
        <v>564</v>
      </c>
      <c r="B1930" t="s">
        <v>30</v>
      </c>
      <c r="C1930" t="s">
        <v>394</v>
      </c>
      <c r="D1930" t="s">
        <v>76</v>
      </c>
      <c r="E1930" t="s">
        <v>662</v>
      </c>
      <c r="F1930" t="s">
        <v>78</v>
      </c>
      <c r="G1930" t="s">
        <v>663</v>
      </c>
      <c r="H1930" t="s">
        <v>10275</v>
      </c>
      <c r="I1930">
        <v>8.336285767876123E-5</v>
      </c>
      <c r="J1930">
        <v>47983</v>
      </c>
      <c r="K1930">
        <v>1.9812769329833081E-4</v>
      </c>
      <c r="L1930">
        <v>20189</v>
      </c>
      <c r="M1930">
        <v>4</v>
      </c>
      <c r="O1930">
        <v>59</v>
      </c>
    </row>
    <row r="1931" spans="1:15" x14ac:dyDescent="0.25">
      <c r="A1931" t="s">
        <v>564</v>
      </c>
      <c r="B1931" t="s">
        <v>30</v>
      </c>
      <c r="C1931" t="s">
        <v>394</v>
      </c>
      <c r="D1931" t="s">
        <v>76</v>
      </c>
      <c r="E1931" t="s">
        <v>654</v>
      </c>
      <c r="F1931" t="s">
        <v>8395</v>
      </c>
      <c r="G1931" t="s">
        <v>8396</v>
      </c>
      <c r="H1931" t="s">
        <v>10282</v>
      </c>
      <c r="I1931">
        <v>4.1681428839380608E-5</v>
      </c>
      <c r="J1931">
        <v>47983</v>
      </c>
      <c r="K1931">
        <v>9.9063846649165391E-5</v>
      </c>
      <c r="L1931">
        <v>20189</v>
      </c>
      <c r="M1931">
        <v>2</v>
      </c>
      <c r="O1931">
        <v>60</v>
      </c>
    </row>
    <row r="1932" spans="1:15" x14ac:dyDescent="0.25">
      <c r="A1932" t="s">
        <v>564</v>
      </c>
      <c r="B1932" t="s">
        <v>30</v>
      </c>
      <c r="C1932" t="s">
        <v>394</v>
      </c>
      <c r="D1932" t="s">
        <v>76</v>
      </c>
      <c r="E1932" t="s">
        <v>602</v>
      </c>
      <c r="F1932" t="s">
        <v>666</v>
      </c>
      <c r="G1932" t="s">
        <v>667</v>
      </c>
      <c r="H1932" t="s">
        <v>10356</v>
      </c>
      <c r="I1932">
        <v>4.1681428839380608E-5</v>
      </c>
      <c r="J1932">
        <v>47983</v>
      </c>
      <c r="K1932">
        <v>9.9063846649165391E-5</v>
      </c>
      <c r="L1932">
        <v>20189</v>
      </c>
      <c r="M1932">
        <v>2</v>
      </c>
      <c r="O1932">
        <v>61</v>
      </c>
    </row>
    <row r="1933" spans="1:15" x14ac:dyDescent="0.25">
      <c r="A1933" t="s">
        <v>564</v>
      </c>
      <c r="B1933" t="s">
        <v>30</v>
      </c>
      <c r="C1933" t="s">
        <v>394</v>
      </c>
      <c r="D1933" t="s">
        <v>76</v>
      </c>
      <c r="E1933" t="s">
        <v>654</v>
      </c>
      <c r="F1933" t="s">
        <v>8507</v>
      </c>
      <c r="G1933" t="s">
        <v>8508</v>
      </c>
      <c r="H1933" t="s">
        <v>10293</v>
      </c>
      <c r="I1933">
        <v>2.0840714419690311E-5</v>
      </c>
      <c r="J1933">
        <v>47983</v>
      </c>
      <c r="K1933">
        <v>4.9531923324582702E-5</v>
      </c>
      <c r="L1933">
        <v>20189</v>
      </c>
      <c r="M1933">
        <v>1</v>
      </c>
      <c r="O1933">
        <v>62</v>
      </c>
    </row>
    <row r="1934" spans="1:15" x14ac:dyDescent="0.25">
      <c r="A1934" t="s">
        <v>564</v>
      </c>
      <c r="B1934" t="s">
        <v>30</v>
      </c>
      <c r="C1934" t="s">
        <v>394</v>
      </c>
      <c r="D1934" t="s">
        <v>76</v>
      </c>
      <c r="E1934" t="s">
        <v>654</v>
      </c>
      <c r="F1934" t="s">
        <v>8388</v>
      </c>
      <c r="G1934" t="s">
        <v>8389</v>
      </c>
      <c r="H1934" t="s">
        <v>10277</v>
      </c>
      <c r="I1934">
        <v>2.0840714419690311E-5</v>
      </c>
      <c r="J1934">
        <v>47983</v>
      </c>
      <c r="K1934">
        <v>4.9531923324582702E-5</v>
      </c>
      <c r="L1934">
        <v>20189</v>
      </c>
      <c r="M1934">
        <v>1</v>
      </c>
      <c r="O1934">
        <v>63</v>
      </c>
    </row>
    <row r="1935" spans="1:15" x14ac:dyDescent="0.25">
      <c r="A1935" t="s">
        <v>564</v>
      </c>
      <c r="B1935" t="s">
        <v>30</v>
      </c>
      <c r="C1935" t="s">
        <v>394</v>
      </c>
      <c r="D1935" t="s">
        <v>76</v>
      </c>
      <c r="E1935" t="s">
        <v>682</v>
      </c>
      <c r="F1935" t="s">
        <v>78</v>
      </c>
      <c r="G1935" t="s">
        <v>683</v>
      </c>
      <c r="H1935" t="s">
        <v>10302</v>
      </c>
      <c r="I1935">
        <v>2.0840714419690311E-5</v>
      </c>
      <c r="J1935">
        <v>47983</v>
      </c>
      <c r="K1935">
        <v>4.9531923324582702E-5</v>
      </c>
      <c r="L1935">
        <v>20189</v>
      </c>
      <c r="M1935">
        <v>1</v>
      </c>
      <c r="N1935">
        <v>1</v>
      </c>
      <c r="O1935">
        <v>64</v>
      </c>
    </row>
    <row r="1936" spans="1:15" x14ac:dyDescent="0.25">
      <c r="A1936" t="s">
        <v>564</v>
      </c>
      <c r="B1936" t="s">
        <v>30</v>
      </c>
      <c r="C1936" t="s">
        <v>394</v>
      </c>
      <c r="D1936" t="s">
        <v>76</v>
      </c>
      <c r="E1936" t="s">
        <v>997</v>
      </c>
      <c r="F1936" t="s">
        <v>78</v>
      </c>
      <c r="G1936" t="s">
        <v>998</v>
      </c>
      <c r="H1936" t="s">
        <v>10339</v>
      </c>
      <c r="J1936">
        <v>47983</v>
      </c>
      <c r="L1936">
        <v>20189</v>
      </c>
      <c r="O1936">
        <v>65</v>
      </c>
    </row>
    <row r="1937" spans="1:15" x14ac:dyDescent="0.25">
      <c r="A1937" t="s">
        <v>564</v>
      </c>
      <c r="B1937" t="s">
        <v>30</v>
      </c>
      <c r="C1937" t="s">
        <v>394</v>
      </c>
      <c r="D1937" t="s">
        <v>76</v>
      </c>
      <c r="E1937" t="s">
        <v>988</v>
      </c>
      <c r="F1937" t="s">
        <v>78</v>
      </c>
      <c r="G1937" t="s">
        <v>989</v>
      </c>
      <c r="H1937" t="s">
        <v>10340</v>
      </c>
      <c r="J1937">
        <v>47983</v>
      </c>
      <c r="L1937">
        <v>20189</v>
      </c>
      <c r="O1937">
        <v>66</v>
      </c>
    </row>
    <row r="1938" spans="1:15" x14ac:dyDescent="0.25">
      <c r="A1938" t="s">
        <v>564</v>
      </c>
      <c r="B1938" t="s">
        <v>30</v>
      </c>
      <c r="C1938" t="s">
        <v>394</v>
      </c>
      <c r="D1938" t="s">
        <v>76</v>
      </c>
      <c r="E1938" t="s">
        <v>985</v>
      </c>
      <c r="F1938" t="s">
        <v>78</v>
      </c>
      <c r="G1938" t="s">
        <v>986</v>
      </c>
      <c r="H1938" t="s">
        <v>10346</v>
      </c>
      <c r="J1938">
        <v>47983</v>
      </c>
      <c r="L1938">
        <v>20189</v>
      </c>
      <c r="O1938">
        <v>67</v>
      </c>
    </row>
    <row r="1939" spans="1:15" x14ac:dyDescent="0.25">
      <c r="A1939" t="s">
        <v>564</v>
      </c>
      <c r="B1939" t="s">
        <v>30</v>
      </c>
      <c r="C1939" t="s">
        <v>394</v>
      </c>
      <c r="D1939" t="s">
        <v>76</v>
      </c>
      <c r="E1939" t="s">
        <v>982</v>
      </c>
      <c r="F1939" t="s">
        <v>78</v>
      </c>
      <c r="G1939" t="s">
        <v>983</v>
      </c>
      <c r="H1939" t="s">
        <v>10326</v>
      </c>
      <c r="J1939">
        <v>47983</v>
      </c>
      <c r="L1939">
        <v>20189</v>
      </c>
      <c r="O1939">
        <v>68</v>
      </c>
    </row>
    <row r="1940" spans="1:15" x14ac:dyDescent="0.25">
      <c r="A1940" t="s">
        <v>564</v>
      </c>
      <c r="B1940" t="s">
        <v>30</v>
      </c>
      <c r="C1940" t="s">
        <v>394</v>
      </c>
      <c r="D1940" t="s">
        <v>76</v>
      </c>
      <c r="E1940" t="s">
        <v>979</v>
      </c>
      <c r="F1940" t="s">
        <v>78</v>
      </c>
      <c r="G1940" t="s">
        <v>980</v>
      </c>
      <c r="H1940" t="s">
        <v>10329</v>
      </c>
      <c r="J1940">
        <v>47983</v>
      </c>
      <c r="L1940">
        <v>20189</v>
      </c>
      <c r="O1940">
        <v>69</v>
      </c>
    </row>
    <row r="1941" spans="1:15" x14ac:dyDescent="0.25">
      <c r="A1941" t="s">
        <v>564</v>
      </c>
      <c r="B1941" t="s">
        <v>30</v>
      </c>
      <c r="C1941" t="s">
        <v>394</v>
      </c>
      <c r="D1941" t="s">
        <v>76</v>
      </c>
      <c r="E1941" t="s">
        <v>976</v>
      </c>
      <c r="F1941" t="s">
        <v>78</v>
      </c>
      <c r="G1941" t="s">
        <v>977</v>
      </c>
      <c r="H1941" t="s">
        <v>10336</v>
      </c>
      <c r="J1941">
        <v>47983</v>
      </c>
      <c r="L1941">
        <v>20189</v>
      </c>
      <c r="O1941">
        <v>70</v>
      </c>
    </row>
    <row r="1942" spans="1:15" x14ac:dyDescent="0.25">
      <c r="A1942" t="s">
        <v>564</v>
      </c>
      <c r="B1942" t="s">
        <v>30</v>
      </c>
      <c r="C1942" t="s">
        <v>394</v>
      </c>
      <c r="D1942" t="s">
        <v>76</v>
      </c>
      <c r="E1942" t="s">
        <v>973</v>
      </c>
      <c r="F1942" t="s">
        <v>78</v>
      </c>
      <c r="G1942" t="s">
        <v>974</v>
      </c>
      <c r="H1942" t="s">
        <v>10347</v>
      </c>
      <c r="J1942">
        <v>47983</v>
      </c>
      <c r="L1942">
        <v>20189</v>
      </c>
      <c r="O1942">
        <v>71</v>
      </c>
    </row>
    <row r="1943" spans="1:15" x14ac:dyDescent="0.25">
      <c r="A1943" t="s">
        <v>564</v>
      </c>
      <c r="B1943" t="s">
        <v>30</v>
      </c>
      <c r="C1943" t="s">
        <v>394</v>
      </c>
      <c r="D1943" t="s">
        <v>76</v>
      </c>
      <c r="E1943" t="s">
        <v>970</v>
      </c>
      <c r="F1943" t="s">
        <v>78</v>
      </c>
      <c r="G1943" t="s">
        <v>971</v>
      </c>
      <c r="H1943" t="s">
        <v>10337</v>
      </c>
      <c r="J1943">
        <v>47983</v>
      </c>
      <c r="L1943">
        <v>20189</v>
      </c>
      <c r="O1943">
        <v>72</v>
      </c>
    </row>
    <row r="1944" spans="1:15" x14ac:dyDescent="0.25">
      <c r="A1944" t="s">
        <v>564</v>
      </c>
      <c r="B1944" t="s">
        <v>30</v>
      </c>
      <c r="C1944" t="s">
        <v>394</v>
      </c>
      <c r="D1944" t="s">
        <v>76</v>
      </c>
      <c r="E1944" t="s">
        <v>967</v>
      </c>
      <c r="F1944" t="s">
        <v>78</v>
      </c>
      <c r="G1944" t="s">
        <v>968</v>
      </c>
      <c r="H1944" t="s">
        <v>10343</v>
      </c>
      <c r="J1944">
        <v>47983</v>
      </c>
      <c r="L1944">
        <v>20189</v>
      </c>
      <c r="O1944">
        <v>73</v>
      </c>
    </row>
    <row r="1945" spans="1:15" x14ac:dyDescent="0.25">
      <c r="A1945" t="s">
        <v>564</v>
      </c>
      <c r="B1945" t="s">
        <v>30</v>
      </c>
      <c r="C1945" t="s">
        <v>394</v>
      </c>
      <c r="D1945" t="s">
        <v>76</v>
      </c>
      <c r="E1945" t="s">
        <v>964</v>
      </c>
      <c r="F1945" t="s">
        <v>78</v>
      </c>
      <c r="G1945" t="s">
        <v>965</v>
      </c>
      <c r="H1945" t="s">
        <v>10325</v>
      </c>
      <c r="J1945">
        <v>47983</v>
      </c>
      <c r="L1945">
        <v>20189</v>
      </c>
      <c r="O1945">
        <v>74</v>
      </c>
    </row>
    <row r="1946" spans="1:15" x14ac:dyDescent="0.25">
      <c r="A1946" t="s">
        <v>564</v>
      </c>
      <c r="B1946" t="s">
        <v>30</v>
      </c>
      <c r="C1946" t="s">
        <v>394</v>
      </c>
      <c r="D1946" t="s">
        <v>76</v>
      </c>
      <c r="E1946" t="s">
        <v>961</v>
      </c>
      <c r="F1946" t="s">
        <v>78</v>
      </c>
      <c r="G1946" t="s">
        <v>962</v>
      </c>
      <c r="H1946" t="s">
        <v>10303</v>
      </c>
      <c r="J1946">
        <v>47983</v>
      </c>
      <c r="L1946">
        <v>20189</v>
      </c>
      <c r="O1946">
        <v>75</v>
      </c>
    </row>
    <row r="1947" spans="1:15" x14ac:dyDescent="0.25">
      <c r="A1947" t="s">
        <v>564</v>
      </c>
      <c r="B1947" t="s">
        <v>30</v>
      </c>
      <c r="C1947" t="s">
        <v>394</v>
      </c>
      <c r="D1947" t="s">
        <v>76</v>
      </c>
      <c r="E1947" t="s">
        <v>955</v>
      </c>
      <c r="F1947" t="s">
        <v>78</v>
      </c>
      <c r="G1947" t="s">
        <v>956</v>
      </c>
      <c r="H1947" t="s">
        <v>10330</v>
      </c>
      <c r="J1947">
        <v>47983</v>
      </c>
      <c r="L1947">
        <v>20189</v>
      </c>
      <c r="O1947">
        <v>76</v>
      </c>
    </row>
    <row r="1948" spans="1:15" x14ac:dyDescent="0.25">
      <c r="A1948" t="s">
        <v>564</v>
      </c>
      <c r="B1948" t="s">
        <v>30</v>
      </c>
      <c r="C1948" t="s">
        <v>394</v>
      </c>
      <c r="D1948" t="s">
        <v>76</v>
      </c>
      <c r="E1948" t="s">
        <v>680</v>
      </c>
      <c r="F1948" t="s">
        <v>78</v>
      </c>
      <c r="G1948" t="s">
        <v>681</v>
      </c>
      <c r="H1948" t="s">
        <v>10335</v>
      </c>
      <c r="J1948">
        <v>47983</v>
      </c>
      <c r="L1948">
        <v>20189</v>
      </c>
      <c r="O1948">
        <v>77</v>
      </c>
    </row>
    <row r="1949" spans="1:15" x14ac:dyDescent="0.25">
      <c r="A1949" t="s">
        <v>564</v>
      </c>
      <c r="B1949" t="s">
        <v>30</v>
      </c>
      <c r="C1949" t="s">
        <v>394</v>
      </c>
      <c r="D1949" t="s">
        <v>76</v>
      </c>
      <c r="E1949" t="s">
        <v>949</v>
      </c>
      <c r="F1949" t="s">
        <v>78</v>
      </c>
      <c r="G1949" t="s">
        <v>950</v>
      </c>
      <c r="H1949" t="s">
        <v>10332</v>
      </c>
      <c r="J1949">
        <v>47983</v>
      </c>
      <c r="L1949">
        <v>20189</v>
      </c>
      <c r="O1949">
        <v>78</v>
      </c>
    </row>
    <row r="1950" spans="1:15" x14ac:dyDescent="0.25">
      <c r="A1950" t="s">
        <v>564</v>
      </c>
      <c r="B1950" t="s">
        <v>30</v>
      </c>
      <c r="C1950" t="s">
        <v>394</v>
      </c>
      <c r="D1950" t="s">
        <v>76</v>
      </c>
      <c r="E1950" t="s">
        <v>946</v>
      </c>
      <c r="F1950" t="s">
        <v>78</v>
      </c>
      <c r="G1950" t="s">
        <v>947</v>
      </c>
      <c r="H1950" t="s">
        <v>10333</v>
      </c>
      <c r="J1950">
        <v>47983</v>
      </c>
      <c r="L1950">
        <v>20189</v>
      </c>
      <c r="O1950">
        <v>79</v>
      </c>
    </row>
    <row r="1951" spans="1:15" x14ac:dyDescent="0.25">
      <c r="A1951" t="s">
        <v>564</v>
      </c>
      <c r="B1951" t="s">
        <v>30</v>
      </c>
      <c r="C1951" t="s">
        <v>394</v>
      </c>
      <c r="D1951" t="s">
        <v>76</v>
      </c>
      <c r="E1951" t="s">
        <v>943</v>
      </c>
      <c r="F1951" t="s">
        <v>78</v>
      </c>
      <c r="G1951" t="s">
        <v>944</v>
      </c>
      <c r="H1951" t="s">
        <v>10289</v>
      </c>
      <c r="J1951">
        <v>47983</v>
      </c>
      <c r="L1951">
        <v>20189</v>
      </c>
      <c r="O1951">
        <v>80</v>
      </c>
    </row>
    <row r="1952" spans="1:15" x14ac:dyDescent="0.25">
      <c r="A1952" t="s">
        <v>564</v>
      </c>
      <c r="B1952" t="s">
        <v>30</v>
      </c>
      <c r="C1952" t="s">
        <v>394</v>
      </c>
      <c r="D1952" t="s">
        <v>76</v>
      </c>
      <c r="E1952" t="s">
        <v>931</v>
      </c>
      <c r="F1952" t="s">
        <v>78</v>
      </c>
      <c r="G1952" t="s">
        <v>932</v>
      </c>
      <c r="H1952" t="s">
        <v>10288</v>
      </c>
      <c r="J1952">
        <v>47983</v>
      </c>
      <c r="L1952">
        <v>20189</v>
      </c>
      <c r="O1952">
        <v>81</v>
      </c>
    </row>
    <row r="1953" spans="1:15" x14ac:dyDescent="0.25">
      <c r="A1953" t="s">
        <v>564</v>
      </c>
      <c r="B1953" t="s">
        <v>30</v>
      </c>
      <c r="C1953" t="s">
        <v>394</v>
      </c>
      <c r="D1953" t="s">
        <v>76</v>
      </c>
      <c r="E1953" t="s">
        <v>690</v>
      </c>
      <c r="F1953" t="s">
        <v>78</v>
      </c>
      <c r="G1953" t="s">
        <v>691</v>
      </c>
      <c r="H1953" t="s">
        <v>10306</v>
      </c>
      <c r="J1953">
        <v>47983</v>
      </c>
      <c r="L1953">
        <v>20189</v>
      </c>
      <c r="O1953">
        <v>82</v>
      </c>
    </row>
    <row r="1954" spans="1:15" x14ac:dyDescent="0.25">
      <c r="A1954" t="s">
        <v>564</v>
      </c>
      <c r="B1954" t="s">
        <v>30</v>
      </c>
      <c r="C1954" t="s">
        <v>394</v>
      </c>
      <c r="D1954" t="s">
        <v>76</v>
      </c>
      <c r="E1954" t="s">
        <v>927</v>
      </c>
      <c r="F1954" t="s">
        <v>78</v>
      </c>
      <c r="G1954" t="s">
        <v>928</v>
      </c>
      <c r="H1954" t="s">
        <v>10310</v>
      </c>
      <c r="J1954">
        <v>47983</v>
      </c>
      <c r="L1954">
        <v>20189</v>
      </c>
      <c r="O1954">
        <v>83</v>
      </c>
    </row>
    <row r="1955" spans="1:15" x14ac:dyDescent="0.25">
      <c r="A1955" t="s">
        <v>564</v>
      </c>
      <c r="B1955" t="s">
        <v>30</v>
      </c>
      <c r="C1955" t="s">
        <v>394</v>
      </c>
      <c r="D1955" t="s">
        <v>76</v>
      </c>
      <c r="E1955" t="s">
        <v>918</v>
      </c>
      <c r="F1955" t="s">
        <v>78</v>
      </c>
      <c r="G1955" t="s">
        <v>919</v>
      </c>
      <c r="H1955" t="s">
        <v>10311</v>
      </c>
      <c r="J1955">
        <v>47983</v>
      </c>
      <c r="L1955">
        <v>20189</v>
      </c>
      <c r="O1955">
        <v>84</v>
      </c>
    </row>
    <row r="1956" spans="1:15" x14ac:dyDescent="0.25">
      <c r="A1956" t="s">
        <v>564</v>
      </c>
      <c r="B1956" t="s">
        <v>30</v>
      </c>
      <c r="C1956" t="s">
        <v>394</v>
      </c>
      <c r="D1956" t="s">
        <v>76</v>
      </c>
      <c r="E1956" t="s">
        <v>912</v>
      </c>
      <c r="F1956" t="s">
        <v>78</v>
      </c>
      <c r="G1956" t="s">
        <v>913</v>
      </c>
      <c r="H1956" t="s">
        <v>10308</v>
      </c>
      <c r="J1956">
        <v>47983</v>
      </c>
      <c r="L1956">
        <v>20189</v>
      </c>
      <c r="O1956">
        <v>85</v>
      </c>
    </row>
    <row r="1957" spans="1:15" x14ac:dyDescent="0.25">
      <c r="A1957" t="s">
        <v>564</v>
      </c>
      <c r="B1957" t="s">
        <v>30</v>
      </c>
      <c r="C1957" t="s">
        <v>394</v>
      </c>
      <c r="D1957" t="s">
        <v>76</v>
      </c>
      <c r="E1957" t="s">
        <v>906</v>
      </c>
      <c r="F1957" t="s">
        <v>78</v>
      </c>
      <c r="G1957" t="s">
        <v>907</v>
      </c>
      <c r="H1957" t="s">
        <v>10297</v>
      </c>
      <c r="J1957">
        <v>47983</v>
      </c>
      <c r="L1957">
        <v>20189</v>
      </c>
      <c r="O1957">
        <v>86</v>
      </c>
    </row>
    <row r="1958" spans="1:15" x14ac:dyDescent="0.25">
      <c r="A1958" t="s">
        <v>564</v>
      </c>
      <c r="B1958" t="s">
        <v>30</v>
      </c>
      <c r="C1958" t="s">
        <v>394</v>
      </c>
      <c r="D1958" t="s">
        <v>76</v>
      </c>
      <c r="E1958" t="s">
        <v>903</v>
      </c>
      <c r="F1958" t="s">
        <v>78</v>
      </c>
      <c r="G1958" t="s">
        <v>904</v>
      </c>
      <c r="H1958" t="s">
        <v>10301</v>
      </c>
      <c r="J1958">
        <v>47983</v>
      </c>
      <c r="L1958">
        <v>20189</v>
      </c>
      <c r="O1958">
        <v>87</v>
      </c>
    </row>
    <row r="1959" spans="1:15" x14ac:dyDescent="0.25">
      <c r="A1959" t="s">
        <v>564</v>
      </c>
      <c r="B1959" t="s">
        <v>30</v>
      </c>
      <c r="C1959" t="s">
        <v>394</v>
      </c>
      <c r="D1959" t="s">
        <v>76</v>
      </c>
      <c r="E1959" t="s">
        <v>900</v>
      </c>
      <c r="F1959" t="s">
        <v>78</v>
      </c>
      <c r="G1959" t="s">
        <v>901</v>
      </c>
      <c r="H1959" t="s">
        <v>10313</v>
      </c>
      <c r="J1959">
        <v>47983</v>
      </c>
      <c r="L1959">
        <v>20189</v>
      </c>
      <c r="O1959">
        <v>88</v>
      </c>
    </row>
    <row r="1960" spans="1:15" x14ac:dyDescent="0.25">
      <c r="A1960" t="s">
        <v>564</v>
      </c>
      <c r="B1960" t="s">
        <v>30</v>
      </c>
      <c r="C1960" t="s">
        <v>394</v>
      </c>
      <c r="D1960" t="s">
        <v>76</v>
      </c>
      <c r="E1960" t="s">
        <v>897</v>
      </c>
      <c r="F1960" t="s">
        <v>78</v>
      </c>
      <c r="G1960" t="s">
        <v>898</v>
      </c>
      <c r="H1960" t="s">
        <v>10315</v>
      </c>
      <c r="J1960">
        <v>47983</v>
      </c>
      <c r="L1960">
        <v>20189</v>
      </c>
      <c r="O1960">
        <v>89</v>
      </c>
    </row>
    <row r="1961" spans="1:15" x14ac:dyDescent="0.25">
      <c r="A1961" t="s">
        <v>564</v>
      </c>
      <c r="B1961" t="s">
        <v>30</v>
      </c>
      <c r="C1961" t="s">
        <v>394</v>
      </c>
      <c r="D1961" t="s">
        <v>76</v>
      </c>
      <c r="E1961" t="s">
        <v>686</v>
      </c>
      <c r="F1961" t="s">
        <v>894</v>
      </c>
      <c r="G1961" t="s">
        <v>895</v>
      </c>
      <c r="H1961" t="s">
        <v>10359</v>
      </c>
      <c r="J1961">
        <v>47983</v>
      </c>
      <c r="L1961">
        <v>20189</v>
      </c>
      <c r="O1961">
        <v>90</v>
      </c>
    </row>
    <row r="1962" spans="1:15" x14ac:dyDescent="0.25">
      <c r="A1962" t="s">
        <v>564</v>
      </c>
      <c r="B1962" t="s">
        <v>30</v>
      </c>
      <c r="C1962" t="s">
        <v>394</v>
      </c>
      <c r="D1962" t="s">
        <v>76</v>
      </c>
      <c r="E1962" t="s">
        <v>686</v>
      </c>
      <c r="F1962" t="s">
        <v>909</v>
      </c>
      <c r="G1962" t="s">
        <v>910</v>
      </c>
      <c r="H1962" t="s">
        <v>10360</v>
      </c>
      <c r="J1962">
        <v>47983</v>
      </c>
      <c r="L1962">
        <v>20189</v>
      </c>
      <c r="O1962">
        <v>91</v>
      </c>
    </row>
    <row r="1963" spans="1:15" x14ac:dyDescent="0.25">
      <c r="A1963" t="s">
        <v>564</v>
      </c>
      <c r="B1963" t="s">
        <v>30</v>
      </c>
      <c r="C1963" t="s">
        <v>394</v>
      </c>
      <c r="D1963" t="s">
        <v>76</v>
      </c>
      <c r="E1963" t="s">
        <v>686</v>
      </c>
      <c r="F1963" t="s">
        <v>915</v>
      </c>
      <c r="G1963" t="s">
        <v>916</v>
      </c>
      <c r="H1963" t="s">
        <v>10374</v>
      </c>
      <c r="J1963">
        <v>47983</v>
      </c>
      <c r="L1963">
        <v>20189</v>
      </c>
      <c r="O1963">
        <v>92</v>
      </c>
    </row>
    <row r="1964" spans="1:15" x14ac:dyDescent="0.25">
      <c r="A1964" t="s">
        <v>564</v>
      </c>
      <c r="B1964" t="s">
        <v>30</v>
      </c>
      <c r="C1964" t="s">
        <v>394</v>
      </c>
      <c r="D1964" t="s">
        <v>76</v>
      </c>
      <c r="E1964" t="s">
        <v>686</v>
      </c>
      <c r="F1964" t="s">
        <v>921</v>
      </c>
      <c r="G1964" t="s">
        <v>922</v>
      </c>
      <c r="H1964" t="s">
        <v>10367</v>
      </c>
      <c r="J1964">
        <v>47983</v>
      </c>
      <c r="L1964">
        <v>20189</v>
      </c>
      <c r="O1964">
        <v>93</v>
      </c>
    </row>
    <row r="1965" spans="1:15" x14ac:dyDescent="0.25">
      <c r="A1965" t="s">
        <v>564</v>
      </c>
      <c r="B1965" t="s">
        <v>30</v>
      </c>
      <c r="C1965" t="s">
        <v>394</v>
      </c>
      <c r="D1965" t="s">
        <v>76</v>
      </c>
      <c r="E1965" t="s">
        <v>686</v>
      </c>
      <c r="F1965" t="s">
        <v>924</v>
      </c>
      <c r="G1965" t="s">
        <v>925</v>
      </c>
      <c r="H1965" t="s">
        <v>10362</v>
      </c>
      <c r="J1965">
        <v>47983</v>
      </c>
      <c r="L1965">
        <v>20189</v>
      </c>
      <c r="O1965">
        <v>94</v>
      </c>
    </row>
    <row r="1966" spans="1:15" x14ac:dyDescent="0.25">
      <c r="A1966" t="s">
        <v>564</v>
      </c>
      <c r="B1966" t="s">
        <v>30</v>
      </c>
      <c r="C1966" t="s">
        <v>394</v>
      </c>
      <c r="D1966" t="s">
        <v>76</v>
      </c>
      <c r="E1966" t="s">
        <v>686</v>
      </c>
      <c r="F1966" t="s">
        <v>934</v>
      </c>
      <c r="G1966" t="s">
        <v>935</v>
      </c>
      <c r="H1966" t="s">
        <v>10369</v>
      </c>
      <c r="J1966">
        <v>47983</v>
      </c>
      <c r="L1966">
        <v>20189</v>
      </c>
      <c r="O1966">
        <v>95</v>
      </c>
    </row>
    <row r="1967" spans="1:15" x14ac:dyDescent="0.25">
      <c r="A1967" t="s">
        <v>564</v>
      </c>
      <c r="B1967" t="s">
        <v>30</v>
      </c>
      <c r="C1967" t="s">
        <v>394</v>
      </c>
      <c r="D1967" t="s">
        <v>76</v>
      </c>
      <c r="E1967" t="s">
        <v>686</v>
      </c>
      <c r="F1967" t="s">
        <v>937</v>
      </c>
      <c r="G1967" t="s">
        <v>938</v>
      </c>
      <c r="H1967" t="s">
        <v>10365</v>
      </c>
      <c r="J1967">
        <v>47983</v>
      </c>
      <c r="L1967">
        <v>20189</v>
      </c>
      <c r="O1967">
        <v>96</v>
      </c>
    </row>
    <row r="1968" spans="1:15" x14ac:dyDescent="0.25">
      <c r="A1968" t="s">
        <v>564</v>
      </c>
      <c r="B1968" t="s">
        <v>30</v>
      </c>
      <c r="C1968" t="s">
        <v>394</v>
      </c>
      <c r="D1968" t="s">
        <v>76</v>
      </c>
      <c r="E1968" t="s">
        <v>686</v>
      </c>
      <c r="F1968" t="s">
        <v>940</v>
      </c>
      <c r="G1968" t="s">
        <v>941</v>
      </c>
      <c r="H1968" t="s">
        <v>10378</v>
      </c>
      <c r="J1968">
        <v>47983</v>
      </c>
      <c r="L1968">
        <v>20189</v>
      </c>
      <c r="O1968">
        <v>97</v>
      </c>
    </row>
    <row r="1969" spans="1:15" x14ac:dyDescent="0.25">
      <c r="A1969" t="s">
        <v>564</v>
      </c>
      <c r="B1969" t="s">
        <v>30</v>
      </c>
      <c r="C1969" t="s">
        <v>394</v>
      </c>
      <c r="D1969" t="s">
        <v>76</v>
      </c>
      <c r="E1969" t="s">
        <v>686</v>
      </c>
      <c r="F1969" t="s">
        <v>952</v>
      </c>
      <c r="G1969" t="s">
        <v>953</v>
      </c>
      <c r="H1969" t="s">
        <v>10368</v>
      </c>
      <c r="J1969">
        <v>47983</v>
      </c>
      <c r="L1969">
        <v>20189</v>
      </c>
      <c r="O1969">
        <v>98</v>
      </c>
    </row>
    <row r="1970" spans="1:15" x14ac:dyDescent="0.25">
      <c r="A1970" t="s">
        <v>564</v>
      </c>
      <c r="B1970" t="s">
        <v>30</v>
      </c>
      <c r="C1970" t="s">
        <v>394</v>
      </c>
      <c r="D1970" t="s">
        <v>76</v>
      </c>
      <c r="E1970" t="s">
        <v>686</v>
      </c>
      <c r="F1970" t="s">
        <v>958</v>
      </c>
      <c r="G1970" t="s">
        <v>959</v>
      </c>
      <c r="H1970" t="s">
        <v>10363</v>
      </c>
      <c r="J1970">
        <v>47983</v>
      </c>
      <c r="L1970">
        <v>20189</v>
      </c>
      <c r="O1970">
        <v>99</v>
      </c>
    </row>
    <row r="1971" spans="1:15" x14ac:dyDescent="0.25">
      <c r="A1971" t="s">
        <v>564</v>
      </c>
      <c r="B1971" t="s">
        <v>30</v>
      </c>
      <c r="C1971" t="s">
        <v>394</v>
      </c>
      <c r="D1971" t="s">
        <v>76</v>
      </c>
      <c r="E1971" t="s">
        <v>686</v>
      </c>
      <c r="F1971" t="s">
        <v>991</v>
      </c>
      <c r="G1971" t="s">
        <v>992</v>
      </c>
      <c r="H1971" t="s">
        <v>10375</v>
      </c>
      <c r="J1971">
        <v>47983</v>
      </c>
      <c r="L1971">
        <v>20189</v>
      </c>
      <c r="O1971">
        <v>100</v>
      </c>
    </row>
    <row r="1972" spans="1:15" x14ac:dyDescent="0.25">
      <c r="A1972" t="s">
        <v>564</v>
      </c>
      <c r="B1972" t="s">
        <v>30</v>
      </c>
      <c r="C1972" t="s">
        <v>394</v>
      </c>
      <c r="D1972" t="s">
        <v>76</v>
      </c>
      <c r="E1972" t="s">
        <v>686</v>
      </c>
      <c r="F1972" t="s">
        <v>1006</v>
      </c>
      <c r="G1972" t="s">
        <v>1007</v>
      </c>
      <c r="H1972" t="s">
        <v>10376</v>
      </c>
      <c r="J1972">
        <v>47983</v>
      </c>
      <c r="L1972">
        <v>20189</v>
      </c>
      <c r="O1972">
        <v>101</v>
      </c>
    </row>
    <row r="1973" spans="1:15" x14ac:dyDescent="0.25">
      <c r="A1973" t="s">
        <v>564</v>
      </c>
      <c r="B1973" t="s">
        <v>30</v>
      </c>
      <c r="C1973" t="s">
        <v>394</v>
      </c>
      <c r="D1973" t="s">
        <v>76</v>
      </c>
      <c r="E1973" t="s">
        <v>686</v>
      </c>
      <c r="F1973" t="s">
        <v>1009</v>
      </c>
      <c r="G1973" t="s">
        <v>1010</v>
      </c>
      <c r="H1973" t="s">
        <v>10377</v>
      </c>
      <c r="J1973">
        <v>47983</v>
      </c>
      <c r="L1973">
        <v>20189</v>
      </c>
      <c r="O1973">
        <v>102</v>
      </c>
    </row>
    <row r="1974" spans="1:15" x14ac:dyDescent="0.25">
      <c r="A1974" t="s">
        <v>564</v>
      </c>
      <c r="B1974" t="s">
        <v>30</v>
      </c>
      <c r="C1974" t="s">
        <v>394</v>
      </c>
      <c r="D1974" t="s">
        <v>76</v>
      </c>
      <c r="E1974" t="s">
        <v>686</v>
      </c>
      <c r="F1974" t="s">
        <v>1012</v>
      </c>
      <c r="G1974" t="s">
        <v>1013</v>
      </c>
      <c r="H1974" t="s">
        <v>10371</v>
      </c>
      <c r="J1974">
        <v>47983</v>
      </c>
      <c r="L1974">
        <v>20189</v>
      </c>
      <c r="O1974">
        <v>103</v>
      </c>
    </row>
    <row r="1975" spans="1:15" x14ac:dyDescent="0.25">
      <c r="A1975" t="s">
        <v>564</v>
      </c>
      <c r="B1975" t="s">
        <v>30</v>
      </c>
      <c r="C1975" t="s">
        <v>394</v>
      </c>
      <c r="D1975" t="s">
        <v>76</v>
      </c>
      <c r="E1975" t="s">
        <v>686</v>
      </c>
      <c r="F1975" t="s">
        <v>1021</v>
      </c>
      <c r="G1975" t="s">
        <v>1022</v>
      </c>
      <c r="H1975" t="s">
        <v>10361</v>
      </c>
      <c r="J1975">
        <v>47983</v>
      </c>
      <c r="L1975">
        <v>20189</v>
      </c>
      <c r="O1975">
        <v>104</v>
      </c>
    </row>
    <row r="1976" spans="1:15" x14ac:dyDescent="0.25">
      <c r="A1976" t="s">
        <v>564</v>
      </c>
      <c r="B1976" t="s">
        <v>30</v>
      </c>
      <c r="C1976" t="s">
        <v>394</v>
      </c>
      <c r="D1976" t="s">
        <v>76</v>
      </c>
      <c r="E1976" t="s">
        <v>686</v>
      </c>
      <c r="F1976" t="s">
        <v>1024</v>
      </c>
      <c r="G1976" t="s">
        <v>1025</v>
      </c>
      <c r="H1976" t="s">
        <v>10373</v>
      </c>
      <c r="J1976">
        <v>47983</v>
      </c>
      <c r="L1976">
        <v>20189</v>
      </c>
      <c r="O1976">
        <v>105</v>
      </c>
    </row>
    <row r="1977" spans="1:15" x14ac:dyDescent="0.25">
      <c r="A1977" t="s">
        <v>564</v>
      </c>
      <c r="B1977" t="s">
        <v>30</v>
      </c>
      <c r="C1977" t="s">
        <v>394</v>
      </c>
      <c r="D1977" t="s">
        <v>76</v>
      </c>
      <c r="E1977" t="s">
        <v>686</v>
      </c>
      <c r="F1977" t="s">
        <v>1036</v>
      </c>
      <c r="G1977" t="s">
        <v>1037</v>
      </c>
      <c r="H1977" t="s">
        <v>10370</v>
      </c>
      <c r="J1977">
        <v>47983</v>
      </c>
      <c r="L1977">
        <v>20189</v>
      </c>
      <c r="O1977">
        <v>106</v>
      </c>
    </row>
    <row r="1978" spans="1:15" x14ac:dyDescent="0.25">
      <c r="A1978" t="s">
        <v>564</v>
      </c>
      <c r="B1978" t="s">
        <v>30</v>
      </c>
      <c r="C1978" t="s">
        <v>394</v>
      </c>
      <c r="D1978" t="s">
        <v>76</v>
      </c>
      <c r="E1978" t="s">
        <v>686</v>
      </c>
      <c r="F1978" t="s">
        <v>1039</v>
      </c>
      <c r="G1978" t="s">
        <v>1040</v>
      </c>
      <c r="H1978" t="s">
        <v>10364</v>
      </c>
      <c r="J1978">
        <v>47983</v>
      </c>
      <c r="L1978">
        <v>20189</v>
      </c>
      <c r="O1978">
        <v>107</v>
      </c>
    </row>
    <row r="1979" spans="1:15" x14ac:dyDescent="0.25">
      <c r="A1979" t="s">
        <v>564</v>
      </c>
      <c r="B1979" t="s">
        <v>30</v>
      </c>
      <c r="C1979" t="s">
        <v>394</v>
      </c>
      <c r="D1979" t="s">
        <v>76</v>
      </c>
      <c r="E1979" t="s">
        <v>686</v>
      </c>
      <c r="F1979" t="s">
        <v>1045</v>
      </c>
      <c r="G1979" t="s">
        <v>1046</v>
      </c>
      <c r="H1979" t="s">
        <v>10372</v>
      </c>
      <c r="J1979">
        <v>47983</v>
      </c>
      <c r="L1979">
        <v>20189</v>
      </c>
      <c r="O1979">
        <v>108</v>
      </c>
    </row>
    <row r="1980" spans="1:15" x14ac:dyDescent="0.25">
      <c r="A1980" t="s">
        <v>564</v>
      </c>
      <c r="B1980" t="s">
        <v>30</v>
      </c>
      <c r="C1980" t="s">
        <v>394</v>
      </c>
      <c r="D1980" t="s">
        <v>76</v>
      </c>
      <c r="E1980" t="s">
        <v>686</v>
      </c>
      <c r="F1980" t="s">
        <v>1063</v>
      </c>
      <c r="G1980" t="s">
        <v>1064</v>
      </c>
      <c r="H1980" t="s">
        <v>10379</v>
      </c>
      <c r="J1980">
        <v>47983</v>
      </c>
      <c r="L1980">
        <v>20189</v>
      </c>
      <c r="O1980">
        <v>109</v>
      </c>
    </row>
    <row r="1981" spans="1:15" x14ac:dyDescent="0.25">
      <c r="A1981" t="s">
        <v>564</v>
      </c>
      <c r="B1981" t="s">
        <v>30</v>
      </c>
      <c r="C1981" t="s">
        <v>394</v>
      </c>
      <c r="D1981" t="s">
        <v>76</v>
      </c>
      <c r="E1981" t="s">
        <v>686</v>
      </c>
      <c r="F1981" t="s">
        <v>1069</v>
      </c>
      <c r="G1981" t="s">
        <v>1070</v>
      </c>
      <c r="H1981" t="s">
        <v>10380</v>
      </c>
      <c r="J1981">
        <v>47983</v>
      </c>
      <c r="L1981">
        <v>20189</v>
      </c>
      <c r="O1981">
        <v>110</v>
      </c>
    </row>
    <row r="1982" spans="1:15" x14ac:dyDescent="0.25">
      <c r="A1982" t="s">
        <v>564</v>
      </c>
      <c r="B1982" t="s">
        <v>30</v>
      </c>
      <c r="C1982" t="s">
        <v>394</v>
      </c>
      <c r="D1982" t="s">
        <v>76</v>
      </c>
      <c r="E1982" t="s">
        <v>686</v>
      </c>
      <c r="F1982" t="s">
        <v>1084</v>
      </c>
      <c r="G1982" t="s">
        <v>1085</v>
      </c>
      <c r="H1982" t="s">
        <v>10366</v>
      </c>
      <c r="J1982">
        <v>47983</v>
      </c>
      <c r="L1982">
        <v>20189</v>
      </c>
      <c r="O1982">
        <v>111</v>
      </c>
    </row>
    <row r="1983" spans="1:15" x14ac:dyDescent="0.25">
      <c r="A1983" t="s">
        <v>564</v>
      </c>
      <c r="B1983" t="s">
        <v>30</v>
      </c>
      <c r="C1983" t="s">
        <v>394</v>
      </c>
      <c r="D1983" t="s">
        <v>76</v>
      </c>
      <c r="E1983" t="s">
        <v>886</v>
      </c>
      <c r="F1983" t="s">
        <v>8504</v>
      </c>
      <c r="G1983" t="s">
        <v>8505</v>
      </c>
      <c r="H1983" t="s">
        <v>10383</v>
      </c>
      <c r="J1983">
        <v>47983</v>
      </c>
      <c r="L1983">
        <v>20189</v>
      </c>
      <c r="O1983">
        <v>112</v>
      </c>
    </row>
    <row r="1984" spans="1:15" x14ac:dyDescent="0.25">
      <c r="A1984" t="s">
        <v>564</v>
      </c>
      <c r="B1984" t="s">
        <v>30</v>
      </c>
      <c r="C1984" t="s">
        <v>394</v>
      </c>
      <c r="D1984" t="s">
        <v>76</v>
      </c>
      <c r="E1984" t="s">
        <v>886</v>
      </c>
      <c r="F1984" t="s">
        <v>8495</v>
      </c>
      <c r="G1984" t="s">
        <v>8496</v>
      </c>
      <c r="H1984" t="s">
        <v>10382</v>
      </c>
      <c r="J1984">
        <v>47983</v>
      </c>
      <c r="L1984">
        <v>20189</v>
      </c>
      <c r="O1984">
        <v>113</v>
      </c>
    </row>
    <row r="1985" spans="1:15" x14ac:dyDescent="0.25">
      <c r="A1985" t="s">
        <v>564</v>
      </c>
      <c r="B1985" t="s">
        <v>30</v>
      </c>
      <c r="C1985" t="s">
        <v>394</v>
      </c>
      <c r="D1985" t="s">
        <v>76</v>
      </c>
      <c r="E1985" t="s">
        <v>886</v>
      </c>
      <c r="F1985" t="s">
        <v>8512</v>
      </c>
      <c r="G1985" t="s">
        <v>8513</v>
      </c>
      <c r="H1985" t="s">
        <v>10384</v>
      </c>
      <c r="J1985">
        <v>47983</v>
      </c>
      <c r="L1985">
        <v>20189</v>
      </c>
      <c r="O1985">
        <v>114</v>
      </c>
    </row>
    <row r="1986" spans="1:15" x14ac:dyDescent="0.25">
      <c r="A1986" t="s">
        <v>564</v>
      </c>
      <c r="B1986" t="s">
        <v>30</v>
      </c>
      <c r="C1986" t="s">
        <v>394</v>
      </c>
      <c r="D1986" t="s">
        <v>76</v>
      </c>
      <c r="E1986" t="s">
        <v>654</v>
      </c>
      <c r="F1986" t="s">
        <v>8465</v>
      </c>
      <c r="G1986" t="s">
        <v>8466</v>
      </c>
      <c r="H1986" t="s">
        <v>10295</v>
      </c>
      <c r="J1986">
        <v>47983</v>
      </c>
      <c r="L1986">
        <v>20189</v>
      </c>
      <c r="O1986">
        <v>115</v>
      </c>
    </row>
    <row r="1987" spans="1:15" x14ac:dyDescent="0.25">
      <c r="A1987" t="s">
        <v>564</v>
      </c>
      <c r="B1987" t="s">
        <v>30</v>
      </c>
      <c r="C1987" t="s">
        <v>394</v>
      </c>
      <c r="D1987" t="s">
        <v>76</v>
      </c>
      <c r="E1987" t="s">
        <v>654</v>
      </c>
      <c r="F1987" t="s">
        <v>8471</v>
      </c>
      <c r="G1987" t="s">
        <v>8472</v>
      </c>
      <c r="H1987" t="s">
        <v>10296</v>
      </c>
      <c r="J1987">
        <v>47983</v>
      </c>
      <c r="L1987">
        <v>20189</v>
      </c>
      <c r="O1987">
        <v>116</v>
      </c>
    </row>
    <row r="1988" spans="1:15" x14ac:dyDescent="0.25">
      <c r="A1988" t="s">
        <v>564</v>
      </c>
      <c r="B1988" t="s">
        <v>30</v>
      </c>
      <c r="C1988" t="s">
        <v>394</v>
      </c>
      <c r="D1988" t="s">
        <v>76</v>
      </c>
      <c r="E1988" t="s">
        <v>654</v>
      </c>
      <c r="F1988" t="s">
        <v>8518</v>
      </c>
      <c r="G1988" t="s">
        <v>8519</v>
      </c>
      <c r="H1988" t="s">
        <v>10294</v>
      </c>
      <c r="J1988">
        <v>47983</v>
      </c>
      <c r="L1988">
        <v>20189</v>
      </c>
      <c r="O1988">
        <v>117</v>
      </c>
    </row>
    <row r="1989" spans="1:15" x14ac:dyDescent="0.25">
      <c r="A1989" t="s">
        <v>564</v>
      </c>
      <c r="B1989" t="s">
        <v>30</v>
      </c>
      <c r="C1989" t="s">
        <v>394</v>
      </c>
      <c r="D1989" t="s">
        <v>76</v>
      </c>
      <c r="E1989" t="s">
        <v>81</v>
      </c>
      <c r="F1989" t="s">
        <v>604</v>
      </c>
      <c r="G1989" t="s">
        <v>605</v>
      </c>
      <c r="H1989" t="s">
        <v>10299</v>
      </c>
      <c r="J1989">
        <v>47983</v>
      </c>
      <c r="L1989">
        <v>20189</v>
      </c>
      <c r="O1989">
        <v>118</v>
      </c>
    </row>
    <row r="1990" spans="1:15" x14ac:dyDescent="0.25">
      <c r="A1990" t="s">
        <v>564</v>
      </c>
      <c r="B1990" t="s">
        <v>30</v>
      </c>
      <c r="C1990" t="s">
        <v>394</v>
      </c>
      <c r="D1990" t="s">
        <v>76</v>
      </c>
      <c r="E1990" t="s">
        <v>81</v>
      </c>
      <c r="F1990" t="s">
        <v>851</v>
      </c>
      <c r="G1990" t="s">
        <v>852</v>
      </c>
      <c r="H1990" t="s">
        <v>10300</v>
      </c>
      <c r="J1990">
        <v>47983</v>
      </c>
      <c r="L1990">
        <v>20189</v>
      </c>
      <c r="O1990">
        <v>119</v>
      </c>
    </row>
    <row r="1991" spans="1:15" x14ac:dyDescent="0.25">
      <c r="A1991" t="s">
        <v>564</v>
      </c>
      <c r="B1991" t="s">
        <v>30</v>
      </c>
      <c r="C1991" t="s">
        <v>394</v>
      </c>
      <c r="D1991" t="s">
        <v>76</v>
      </c>
      <c r="E1991" t="s">
        <v>602</v>
      </c>
      <c r="F1991" t="s">
        <v>1087</v>
      </c>
      <c r="G1991" t="s">
        <v>1088</v>
      </c>
      <c r="H1991" t="s">
        <v>10351</v>
      </c>
      <c r="J1991">
        <v>47983</v>
      </c>
      <c r="L1991">
        <v>20189</v>
      </c>
      <c r="O1991">
        <v>120</v>
      </c>
    </row>
    <row r="1992" spans="1:15" x14ac:dyDescent="0.25">
      <c r="A1992" t="s">
        <v>564</v>
      </c>
      <c r="B1992" t="s">
        <v>30</v>
      </c>
      <c r="C1992" t="s">
        <v>394</v>
      </c>
      <c r="D1992" t="s">
        <v>76</v>
      </c>
      <c r="E1992" t="s">
        <v>634</v>
      </c>
      <c r="F1992" t="s">
        <v>883</v>
      </c>
      <c r="G1992" t="s">
        <v>884</v>
      </c>
      <c r="H1992" t="s">
        <v>10349</v>
      </c>
      <c r="J1992">
        <v>47983</v>
      </c>
      <c r="L1992">
        <v>20189</v>
      </c>
      <c r="O1992">
        <v>121</v>
      </c>
    </row>
    <row r="1993" spans="1:15" x14ac:dyDescent="0.25">
      <c r="A1993" t="s">
        <v>564</v>
      </c>
      <c r="B1993" t="s">
        <v>30</v>
      </c>
      <c r="C1993" t="s">
        <v>394</v>
      </c>
      <c r="D1993" t="s">
        <v>76</v>
      </c>
      <c r="E1993" t="s">
        <v>634</v>
      </c>
      <c r="F1993" t="s">
        <v>880</v>
      </c>
      <c r="G1993" t="s">
        <v>881</v>
      </c>
      <c r="H1993" t="s">
        <v>10283</v>
      </c>
      <c r="J1993">
        <v>47983</v>
      </c>
      <c r="L1993">
        <v>20189</v>
      </c>
      <c r="O1993">
        <v>122</v>
      </c>
    </row>
    <row r="1994" spans="1:15" x14ac:dyDescent="0.25">
      <c r="A1994" t="s">
        <v>564</v>
      </c>
      <c r="B1994" t="s">
        <v>30</v>
      </c>
      <c r="C1994" t="s">
        <v>394</v>
      </c>
      <c r="D1994" t="s">
        <v>76</v>
      </c>
      <c r="E1994" t="s">
        <v>602</v>
      </c>
      <c r="F1994" t="s">
        <v>876</v>
      </c>
      <c r="G1994" t="s">
        <v>877</v>
      </c>
      <c r="H1994" t="s">
        <v>10357</v>
      </c>
      <c r="J1994">
        <v>47983</v>
      </c>
      <c r="L1994">
        <v>20189</v>
      </c>
      <c r="O1994">
        <v>123</v>
      </c>
    </row>
    <row r="1995" spans="1:15" x14ac:dyDescent="0.25">
      <c r="A1995" t="s">
        <v>564</v>
      </c>
      <c r="B1995" t="s">
        <v>30</v>
      </c>
      <c r="C1995" t="s">
        <v>394</v>
      </c>
      <c r="D1995" t="s">
        <v>76</v>
      </c>
      <c r="E1995" t="s">
        <v>602</v>
      </c>
      <c r="F1995" t="s">
        <v>870</v>
      </c>
      <c r="G1995" t="s">
        <v>871</v>
      </c>
      <c r="H1995" t="s">
        <v>10352</v>
      </c>
      <c r="J1995">
        <v>47983</v>
      </c>
      <c r="L1995">
        <v>20189</v>
      </c>
      <c r="O1995">
        <v>124</v>
      </c>
    </row>
    <row r="1996" spans="1:15" x14ac:dyDescent="0.25">
      <c r="A1996" t="s">
        <v>564</v>
      </c>
      <c r="B1996" t="s">
        <v>30</v>
      </c>
      <c r="C1996" t="s">
        <v>394</v>
      </c>
      <c r="D1996" t="s">
        <v>76</v>
      </c>
      <c r="E1996" t="s">
        <v>602</v>
      </c>
      <c r="F1996" t="s">
        <v>867</v>
      </c>
      <c r="G1996" t="s">
        <v>868</v>
      </c>
      <c r="H1996" t="s">
        <v>10350</v>
      </c>
      <c r="J1996">
        <v>47983</v>
      </c>
      <c r="L1996">
        <v>20189</v>
      </c>
      <c r="O1996">
        <v>125</v>
      </c>
    </row>
    <row r="1997" spans="1:15" x14ac:dyDescent="0.25">
      <c r="A1997" t="s">
        <v>564</v>
      </c>
      <c r="B1997" t="s">
        <v>30</v>
      </c>
      <c r="C1997" t="s">
        <v>394</v>
      </c>
      <c r="D1997" t="s">
        <v>76</v>
      </c>
      <c r="E1997" t="s">
        <v>602</v>
      </c>
      <c r="F1997" t="s">
        <v>864</v>
      </c>
      <c r="G1997" t="s">
        <v>865</v>
      </c>
      <c r="H1997" t="s">
        <v>10353</v>
      </c>
      <c r="J1997">
        <v>47983</v>
      </c>
      <c r="L1997">
        <v>20189</v>
      </c>
      <c r="O1997">
        <v>126</v>
      </c>
    </row>
    <row r="1998" spans="1:15" x14ac:dyDescent="0.25">
      <c r="A1998" t="s">
        <v>564</v>
      </c>
      <c r="B1998" t="s">
        <v>30</v>
      </c>
      <c r="C1998" t="s">
        <v>394</v>
      </c>
      <c r="D1998" t="s">
        <v>76</v>
      </c>
      <c r="E1998" t="s">
        <v>602</v>
      </c>
      <c r="F1998" t="s">
        <v>854</v>
      </c>
      <c r="G1998" t="s">
        <v>855</v>
      </c>
      <c r="H1998" t="s">
        <v>10358</v>
      </c>
      <c r="J1998">
        <v>47983</v>
      </c>
      <c r="L1998">
        <v>20189</v>
      </c>
      <c r="O1998">
        <v>127</v>
      </c>
    </row>
    <row r="1999" spans="1:15" x14ac:dyDescent="0.25">
      <c r="A1999" t="s">
        <v>564</v>
      </c>
      <c r="B1999" t="s">
        <v>30</v>
      </c>
      <c r="C1999" t="s">
        <v>394</v>
      </c>
      <c r="D1999" t="s">
        <v>76</v>
      </c>
      <c r="E1999" t="s">
        <v>602</v>
      </c>
      <c r="F1999" t="s">
        <v>1099</v>
      </c>
      <c r="G1999" t="s">
        <v>1100</v>
      </c>
      <c r="H1999" t="s">
        <v>10354</v>
      </c>
      <c r="J1999">
        <v>47983</v>
      </c>
      <c r="L1999">
        <v>20189</v>
      </c>
      <c r="O1999">
        <v>128</v>
      </c>
    </row>
    <row r="2000" spans="1:15" x14ac:dyDescent="0.25">
      <c r="A2000" t="s">
        <v>564</v>
      </c>
      <c r="B2000" t="s">
        <v>30</v>
      </c>
      <c r="C2000" t="s">
        <v>394</v>
      </c>
      <c r="D2000" t="s">
        <v>76</v>
      </c>
      <c r="E2000" t="s">
        <v>686</v>
      </c>
      <c r="F2000" t="s">
        <v>78</v>
      </c>
      <c r="G2000" t="s">
        <v>687</v>
      </c>
      <c r="H2000" t="s">
        <v>10284</v>
      </c>
      <c r="J2000">
        <v>47983</v>
      </c>
      <c r="L2000">
        <v>20189</v>
      </c>
      <c r="O2000">
        <v>129</v>
      </c>
    </row>
    <row r="2001" spans="1:15" x14ac:dyDescent="0.25">
      <c r="A2001" t="s">
        <v>564</v>
      </c>
      <c r="B2001" t="s">
        <v>30</v>
      </c>
      <c r="C2001" t="s">
        <v>394</v>
      </c>
      <c r="D2001" t="s">
        <v>76</v>
      </c>
      <c r="E2001" t="s">
        <v>890</v>
      </c>
      <c r="F2001" t="s">
        <v>78</v>
      </c>
      <c r="G2001" t="s">
        <v>891</v>
      </c>
      <c r="H2001" t="s">
        <v>10285</v>
      </c>
      <c r="J2001">
        <v>47983</v>
      </c>
      <c r="L2001">
        <v>20189</v>
      </c>
      <c r="O2001">
        <v>130</v>
      </c>
    </row>
    <row r="2002" spans="1:15" x14ac:dyDescent="0.25">
      <c r="A2002" t="s">
        <v>564</v>
      </c>
      <c r="B2002" t="s">
        <v>30</v>
      </c>
      <c r="C2002" t="s">
        <v>394</v>
      </c>
      <c r="D2002" t="s">
        <v>76</v>
      </c>
      <c r="E2002" t="s">
        <v>684</v>
      </c>
      <c r="F2002" t="s">
        <v>78</v>
      </c>
      <c r="G2002" t="s">
        <v>685</v>
      </c>
      <c r="H2002" t="s">
        <v>10338</v>
      </c>
      <c r="J2002">
        <v>47983</v>
      </c>
      <c r="L2002">
        <v>20189</v>
      </c>
      <c r="O2002">
        <v>131</v>
      </c>
    </row>
    <row r="2003" spans="1:15" x14ac:dyDescent="0.25">
      <c r="A2003" t="s">
        <v>564</v>
      </c>
      <c r="B2003" t="s">
        <v>30</v>
      </c>
      <c r="C2003" t="s">
        <v>394</v>
      </c>
      <c r="D2003" t="s">
        <v>76</v>
      </c>
      <c r="E2003" t="s">
        <v>886</v>
      </c>
      <c r="F2003" t="s">
        <v>78</v>
      </c>
      <c r="G2003" t="s">
        <v>887</v>
      </c>
      <c r="H2003" t="s">
        <v>10381</v>
      </c>
      <c r="J2003">
        <v>47983</v>
      </c>
      <c r="L2003">
        <v>20189</v>
      </c>
      <c r="O2003">
        <v>132</v>
      </c>
    </row>
    <row r="2004" spans="1:15" x14ac:dyDescent="0.25">
      <c r="A2004" t="s">
        <v>564</v>
      </c>
      <c r="B2004" t="s">
        <v>30</v>
      </c>
      <c r="C2004" t="s">
        <v>394</v>
      </c>
      <c r="D2004" t="s">
        <v>76</v>
      </c>
      <c r="E2004" t="s">
        <v>602</v>
      </c>
      <c r="F2004" t="s">
        <v>1090</v>
      </c>
      <c r="G2004" t="s">
        <v>1091</v>
      </c>
      <c r="H2004" t="s">
        <v>10355</v>
      </c>
      <c r="J2004">
        <v>47983</v>
      </c>
      <c r="L2004">
        <v>20189</v>
      </c>
      <c r="O2004">
        <v>133</v>
      </c>
    </row>
    <row r="2005" spans="1:15" x14ac:dyDescent="0.25">
      <c r="A2005" t="s">
        <v>564</v>
      </c>
      <c r="B2005" t="s">
        <v>30</v>
      </c>
      <c r="C2005" t="s">
        <v>394</v>
      </c>
      <c r="D2005" t="s">
        <v>76</v>
      </c>
      <c r="E2005" t="s">
        <v>694</v>
      </c>
      <c r="F2005" t="s">
        <v>78</v>
      </c>
      <c r="G2005" t="s">
        <v>695</v>
      </c>
      <c r="H2005" t="s">
        <v>10292</v>
      </c>
      <c r="J2005">
        <v>47983</v>
      </c>
      <c r="L2005">
        <v>20189</v>
      </c>
      <c r="O2005">
        <v>134</v>
      </c>
    </row>
    <row r="2006" spans="1:15" x14ac:dyDescent="0.25">
      <c r="A2006" t="s">
        <v>564</v>
      </c>
      <c r="B2006" t="s">
        <v>30</v>
      </c>
      <c r="C2006" t="s">
        <v>394</v>
      </c>
      <c r="D2006" t="s">
        <v>76</v>
      </c>
      <c r="E2006" t="s">
        <v>636</v>
      </c>
      <c r="F2006" t="s">
        <v>78</v>
      </c>
      <c r="G2006" t="s">
        <v>637</v>
      </c>
      <c r="H2006" t="s">
        <v>10388</v>
      </c>
      <c r="J2006">
        <v>47983</v>
      </c>
      <c r="L2006">
        <v>20189</v>
      </c>
      <c r="O2006">
        <v>135</v>
      </c>
    </row>
    <row r="2007" spans="1:15" x14ac:dyDescent="0.25">
      <c r="A2007" t="s">
        <v>564</v>
      </c>
      <c r="B2007" t="s">
        <v>30</v>
      </c>
      <c r="C2007" t="s">
        <v>394</v>
      </c>
      <c r="D2007" t="s">
        <v>76</v>
      </c>
      <c r="E2007" t="s">
        <v>873</v>
      </c>
      <c r="F2007" t="s">
        <v>78</v>
      </c>
      <c r="G2007" t="s">
        <v>874</v>
      </c>
      <c r="H2007" t="s">
        <v>10387</v>
      </c>
      <c r="J2007">
        <v>47983</v>
      </c>
      <c r="L2007">
        <v>20189</v>
      </c>
      <c r="O2007">
        <v>136</v>
      </c>
    </row>
    <row r="2008" spans="1:15" x14ac:dyDescent="0.25">
      <c r="A2008" t="s">
        <v>564</v>
      </c>
      <c r="B2008" t="s">
        <v>30</v>
      </c>
      <c r="C2008" t="s">
        <v>394</v>
      </c>
      <c r="D2008" t="s">
        <v>76</v>
      </c>
      <c r="E2008" t="s">
        <v>861</v>
      </c>
      <c r="F2008" t="s">
        <v>78</v>
      </c>
      <c r="G2008" t="s">
        <v>862</v>
      </c>
      <c r="H2008" t="s">
        <v>10307</v>
      </c>
      <c r="J2008">
        <v>47983</v>
      </c>
      <c r="L2008">
        <v>20189</v>
      </c>
      <c r="O2008">
        <v>137</v>
      </c>
    </row>
    <row r="2009" spans="1:15" x14ac:dyDescent="0.25">
      <c r="A2009" t="s">
        <v>564</v>
      </c>
      <c r="B2009" t="s">
        <v>30</v>
      </c>
      <c r="C2009" t="s">
        <v>394</v>
      </c>
      <c r="D2009" t="s">
        <v>76</v>
      </c>
      <c r="E2009" t="s">
        <v>8399</v>
      </c>
      <c r="F2009" t="s">
        <v>78</v>
      </c>
      <c r="G2009" t="s">
        <v>8400</v>
      </c>
      <c r="H2009" t="s">
        <v>10386</v>
      </c>
      <c r="J2009">
        <v>47983</v>
      </c>
      <c r="L2009">
        <v>20189</v>
      </c>
      <c r="O2009">
        <v>138</v>
      </c>
    </row>
    <row r="2010" spans="1:15" x14ac:dyDescent="0.25">
      <c r="A2010" t="s">
        <v>564</v>
      </c>
      <c r="B2010" t="s">
        <v>30</v>
      </c>
      <c r="C2010" t="s">
        <v>394</v>
      </c>
      <c r="D2010" t="s">
        <v>76</v>
      </c>
      <c r="E2010" t="s">
        <v>858</v>
      </c>
      <c r="F2010" t="s">
        <v>78</v>
      </c>
      <c r="G2010" t="s">
        <v>859</v>
      </c>
      <c r="H2010" t="s">
        <v>10312</v>
      </c>
      <c r="J2010">
        <v>47983</v>
      </c>
      <c r="L2010">
        <v>20189</v>
      </c>
      <c r="O2010">
        <v>139</v>
      </c>
    </row>
    <row r="2011" spans="1:15" x14ac:dyDescent="0.25">
      <c r="A2011" t="s">
        <v>564</v>
      </c>
      <c r="B2011" t="s">
        <v>30</v>
      </c>
      <c r="C2011" t="s">
        <v>394</v>
      </c>
      <c r="D2011" t="s">
        <v>76</v>
      </c>
      <c r="E2011" t="s">
        <v>688</v>
      </c>
      <c r="F2011" t="s">
        <v>78</v>
      </c>
      <c r="G2011" t="s">
        <v>689</v>
      </c>
      <c r="H2011" t="s">
        <v>10309</v>
      </c>
      <c r="J2011">
        <v>47983</v>
      </c>
      <c r="L2011">
        <v>20189</v>
      </c>
      <c r="O2011">
        <v>140</v>
      </c>
    </row>
    <row r="2012" spans="1:15" x14ac:dyDescent="0.25">
      <c r="A2012" t="s">
        <v>564</v>
      </c>
      <c r="B2012" t="s">
        <v>30</v>
      </c>
      <c r="C2012" t="s">
        <v>394</v>
      </c>
      <c r="D2012" t="s">
        <v>76</v>
      </c>
      <c r="E2012" t="s">
        <v>656</v>
      </c>
      <c r="F2012" t="s">
        <v>78</v>
      </c>
      <c r="G2012" t="s">
        <v>657</v>
      </c>
      <c r="H2012" t="s">
        <v>10305</v>
      </c>
      <c r="J2012">
        <v>47983</v>
      </c>
      <c r="L2012">
        <v>20189</v>
      </c>
      <c r="O2012">
        <v>141</v>
      </c>
    </row>
    <row r="2013" spans="1:15" x14ac:dyDescent="0.25">
      <c r="A2013" t="s">
        <v>564</v>
      </c>
      <c r="B2013" t="s">
        <v>30</v>
      </c>
      <c r="C2013" t="s">
        <v>394</v>
      </c>
      <c r="D2013" t="s">
        <v>76</v>
      </c>
      <c r="E2013" t="s">
        <v>8468</v>
      </c>
      <c r="F2013" t="s">
        <v>78</v>
      </c>
      <c r="G2013" t="s">
        <v>8469</v>
      </c>
      <c r="H2013" t="s">
        <v>10385</v>
      </c>
      <c r="J2013">
        <v>47983</v>
      </c>
      <c r="L2013">
        <v>20189</v>
      </c>
      <c r="O2013">
        <v>142</v>
      </c>
    </row>
    <row r="2014" spans="1:15" x14ac:dyDescent="0.25">
      <c r="A2014" t="s">
        <v>564</v>
      </c>
      <c r="B2014" t="s">
        <v>30</v>
      </c>
      <c r="C2014" t="s">
        <v>394</v>
      </c>
      <c r="D2014" t="s">
        <v>76</v>
      </c>
      <c r="E2014" t="s">
        <v>1096</v>
      </c>
      <c r="F2014" t="s">
        <v>78</v>
      </c>
      <c r="G2014" t="s">
        <v>1097</v>
      </c>
      <c r="H2014" t="s">
        <v>10314</v>
      </c>
      <c r="J2014">
        <v>47983</v>
      </c>
      <c r="L2014">
        <v>20189</v>
      </c>
      <c r="O2014">
        <v>143</v>
      </c>
    </row>
    <row r="2015" spans="1:15" x14ac:dyDescent="0.25">
      <c r="A2015" t="s">
        <v>564</v>
      </c>
      <c r="B2015" t="s">
        <v>30</v>
      </c>
      <c r="C2015" t="s">
        <v>394</v>
      </c>
      <c r="D2015" t="s">
        <v>76</v>
      </c>
      <c r="E2015" t="s">
        <v>1093</v>
      </c>
      <c r="F2015" t="s">
        <v>78</v>
      </c>
      <c r="G2015" t="s">
        <v>1094</v>
      </c>
      <c r="H2015" t="s">
        <v>10287</v>
      </c>
      <c r="J2015">
        <v>47983</v>
      </c>
      <c r="L2015">
        <v>20189</v>
      </c>
      <c r="O2015">
        <v>144</v>
      </c>
    </row>
    <row r="2016" spans="1:15" x14ac:dyDescent="0.25">
      <c r="A2016" t="s">
        <v>564</v>
      </c>
      <c r="B2016" t="s">
        <v>30</v>
      </c>
      <c r="C2016" t="s">
        <v>394</v>
      </c>
      <c r="D2016" t="s">
        <v>76</v>
      </c>
      <c r="E2016" t="s">
        <v>1081</v>
      </c>
      <c r="F2016" t="s">
        <v>78</v>
      </c>
      <c r="G2016" t="s">
        <v>1082</v>
      </c>
      <c r="H2016" t="s">
        <v>10286</v>
      </c>
      <c r="J2016">
        <v>47983</v>
      </c>
      <c r="L2016">
        <v>20189</v>
      </c>
      <c r="O2016">
        <v>145</v>
      </c>
    </row>
    <row r="2017" spans="1:15" x14ac:dyDescent="0.25">
      <c r="A2017" t="s">
        <v>564</v>
      </c>
      <c r="B2017" t="s">
        <v>30</v>
      </c>
      <c r="C2017" t="s">
        <v>394</v>
      </c>
      <c r="D2017" t="s">
        <v>76</v>
      </c>
      <c r="E2017" t="s">
        <v>1078</v>
      </c>
      <c r="F2017" t="s">
        <v>78</v>
      </c>
      <c r="G2017" t="s">
        <v>1079</v>
      </c>
      <c r="H2017" t="s">
        <v>10298</v>
      </c>
      <c r="J2017">
        <v>47983</v>
      </c>
      <c r="L2017">
        <v>20189</v>
      </c>
      <c r="O2017">
        <v>146</v>
      </c>
    </row>
    <row r="2018" spans="1:15" x14ac:dyDescent="0.25">
      <c r="A2018" t="s">
        <v>564</v>
      </c>
      <c r="B2018" t="s">
        <v>30</v>
      </c>
      <c r="C2018" t="s">
        <v>394</v>
      </c>
      <c r="D2018" t="s">
        <v>76</v>
      </c>
      <c r="E2018" t="s">
        <v>1075</v>
      </c>
      <c r="F2018" t="s">
        <v>78</v>
      </c>
      <c r="G2018" t="s">
        <v>1076</v>
      </c>
      <c r="H2018" t="s">
        <v>10316</v>
      </c>
      <c r="J2018">
        <v>47983</v>
      </c>
      <c r="L2018">
        <v>20189</v>
      </c>
      <c r="O2018">
        <v>147</v>
      </c>
    </row>
    <row r="2019" spans="1:15" x14ac:dyDescent="0.25">
      <c r="A2019" t="s">
        <v>564</v>
      </c>
      <c r="B2019" t="s">
        <v>30</v>
      </c>
      <c r="C2019" t="s">
        <v>394</v>
      </c>
      <c r="D2019" t="s">
        <v>76</v>
      </c>
      <c r="E2019" t="s">
        <v>1072</v>
      </c>
      <c r="F2019" t="s">
        <v>78</v>
      </c>
      <c r="G2019" t="s">
        <v>1073</v>
      </c>
      <c r="H2019" t="s">
        <v>10317</v>
      </c>
      <c r="J2019">
        <v>47983</v>
      </c>
      <c r="L2019">
        <v>20189</v>
      </c>
      <c r="O2019">
        <v>148</v>
      </c>
    </row>
    <row r="2020" spans="1:15" x14ac:dyDescent="0.25">
      <c r="A2020" t="s">
        <v>564</v>
      </c>
      <c r="B2020" t="s">
        <v>30</v>
      </c>
      <c r="C2020" t="s">
        <v>394</v>
      </c>
      <c r="D2020" t="s">
        <v>76</v>
      </c>
      <c r="E2020" t="s">
        <v>1066</v>
      </c>
      <c r="F2020" t="s">
        <v>78</v>
      </c>
      <c r="G2020" t="s">
        <v>1067</v>
      </c>
      <c r="H2020" t="s">
        <v>10318</v>
      </c>
      <c r="J2020">
        <v>47983</v>
      </c>
      <c r="L2020">
        <v>20189</v>
      </c>
      <c r="O2020">
        <v>149</v>
      </c>
    </row>
    <row r="2021" spans="1:15" x14ac:dyDescent="0.25">
      <c r="A2021" t="s">
        <v>564</v>
      </c>
      <c r="B2021" t="s">
        <v>30</v>
      </c>
      <c r="C2021" t="s">
        <v>394</v>
      </c>
      <c r="D2021" t="s">
        <v>76</v>
      </c>
      <c r="E2021" t="s">
        <v>1060</v>
      </c>
      <c r="F2021" t="s">
        <v>78</v>
      </c>
      <c r="G2021" t="s">
        <v>1061</v>
      </c>
      <c r="H2021" t="s">
        <v>10322</v>
      </c>
      <c r="J2021">
        <v>47983</v>
      </c>
      <c r="L2021">
        <v>20189</v>
      </c>
      <c r="O2021">
        <v>150</v>
      </c>
    </row>
    <row r="2022" spans="1:15" x14ac:dyDescent="0.25">
      <c r="A2022" t="s">
        <v>564</v>
      </c>
      <c r="B2022" t="s">
        <v>30</v>
      </c>
      <c r="C2022" t="s">
        <v>394</v>
      </c>
      <c r="D2022" t="s">
        <v>76</v>
      </c>
      <c r="E2022" t="s">
        <v>1057</v>
      </c>
      <c r="F2022" t="s">
        <v>78</v>
      </c>
      <c r="G2022" t="s">
        <v>1058</v>
      </c>
      <c r="H2022" t="s">
        <v>10331</v>
      </c>
      <c r="J2022">
        <v>47983</v>
      </c>
      <c r="L2022">
        <v>20189</v>
      </c>
      <c r="O2022">
        <v>151</v>
      </c>
    </row>
    <row r="2023" spans="1:15" x14ac:dyDescent="0.25">
      <c r="A2023" t="s">
        <v>564</v>
      </c>
      <c r="B2023" t="s">
        <v>30</v>
      </c>
      <c r="C2023" t="s">
        <v>394</v>
      </c>
      <c r="D2023" t="s">
        <v>76</v>
      </c>
      <c r="E2023" t="s">
        <v>1054</v>
      </c>
      <c r="F2023" t="s">
        <v>78</v>
      </c>
      <c r="G2023" t="s">
        <v>1055</v>
      </c>
      <c r="H2023" t="s">
        <v>10323</v>
      </c>
      <c r="J2023">
        <v>47983</v>
      </c>
      <c r="L2023">
        <v>20189</v>
      </c>
      <c r="O2023">
        <v>152</v>
      </c>
    </row>
    <row r="2024" spans="1:15" x14ac:dyDescent="0.25">
      <c r="A2024" t="s">
        <v>564</v>
      </c>
      <c r="B2024" t="s">
        <v>30</v>
      </c>
      <c r="C2024" t="s">
        <v>394</v>
      </c>
      <c r="D2024" t="s">
        <v>76</v>
      </c>
      <c r="E2024" t="s">
        <v>1051</v>
      </c>
      <c r="F2024" t="s">
        <v>78</v>
      </c>
      <c r="G2024" t="s">
        <v>1052</v>
      </c>
      <c r="H2024" t="s">
        <v>10341</v>
      </c>
      <c r="J2024">
        <v>47983</v>
      </c>
      <c r="L2024">
        <v>20189</v>
      </c>
      <c r="O2024">
        <v>153</v>
      </c>
    </row>
    <row r="2025" spans="1:15" x14ac:dyDescent="0.25">
      <c r="A2025" t="s">
        <v>564</v>
      </c>
      <c r="B2025" t="s">
        <v>30</v>
      </c>
      <c r="C2025" t="s">
        <v>394</v>
      </c>
      <c r="D2025" t="s">
        <v>76</v>
      </c>
      <c r="E2025" t="s">
        <v>1048</v>
      </c>
      <c r="F2025" t="s">
        <v>78</v>
      </c>
      <c r="G2025" t="s">
        <v>1049</v>
      </c>
      <c r="H2025" t="s">
        <v>10344</v>
      </c>
      <c r="J2025">
        <v>47983</v>
      </c>
      <c r="L2025">
        <v>20189</v>
      </c>
      <c r="O2025">
        <v>154</v>
      </c>
    </row>
    <row r="2026" spans="1:15" x14ac:dyDescent="0.25">
      <c r="A2026" t="s">
        <v>564</v>
      </c>
      <c r="B2026" t="s">
        <v>30</v>
      </c>
      <c r="C2026" t="s">
        <v>394</v>
      </c>
      <c r="D2026" t="s">
        <v>76</v>
      </c>
      <c r="E2026" t="s">
        <v>10855</v>
      </c>
      <c r="F2026" t="s">
        <v>78</v>
      </c>
      <c r="G2026" t="s">
        <v>10856</v>
      </c>
      <c r="H2026" t="s">
        <v>10867</v>
      </c>
      <c r="J2026">
        <v>47983</v>
      </c>
      <c r="L2026">
        <v>20189</v>
      </c>
      <c r="O2026">
        <v>155</v>
      </c>
    </row>
    <row r="2027" spans="1:15" x14ac:dyDescent="0.25">
      <c r="A2027" t="s">
        <v>564</v>
      </c>
      <c r="B2027" t="s">
        <v>30</v>
      </c>
      <c r="C2027" t="s">
        <v>394</v>
      </c>
      <c r="D2027" t="s">
        <v>76</v>
      </c>
      <c r="E2027" t="s">
        <v>1042</v>
      </c>
      <c r="F2027" t="s">
        <v>78</v>
      </c>
      <c r="G2027" t="s">
        <v>1043</v>
      </c>
      <c r="H2027" t="s">
        <v>10320</v>
      </c>
      <c r="J2027">
        <v>47983</v>
      </c>
      <c r="L2027">
        <v>20189</v>
      </c>
      <c r="O2027">
        <v>156</v>
      </c>
    </row>
    <row r="2028" spans="1:15" x14ac:dyDescent="0.25">
      <c r="A2028" t="s">
        <v>564</v>
      </c>
      <c r="B2028" t="s">
        <v>30</v>
      </c>
      <c r="C2028" t="s">
        <v>394</v>
      </c>
      <c r="D2028" t="s">
        <v>76</v>
      </c>
      <c r="E2028" t="s">
        <v>1033</v>
      </c>
      <c r="F2028" t="s">
        <v>78</v>
      </c>
      <c r="G2028" t="s">
        <v>1034</v>
      </c>
      <c r="H2028" t="s">
        <v>10348</v>
      </c>
      <c r="J2028">
        <v>47983</v>
      </c>
      <c r="L2028">
        <v>20189</v>
      </c>
      <c r="O2028">
        <v>157</v>
      </c>
    </row>
    <row r="2029" spans="1:15" x14ac:dyDescent="0.25">
      <c r="A2029" t="s">
        <v>564</v>
      </c>
      <c r="B2029" t="s">
        <v>30</v>
      </c>
      <c r="C2029" t="s">
        <v>394</v>
      </c>
      <c r="D2029" t="s">
        <v>76</v>
      </c>
      <c r="E2029" t="s">
        <v>1030</v>
      </c>
      <c r="F2029" t="s">
        <v>78</v>
      </c>
      <c r="G2029" t="s">
        <v>1031</v>
      </c>
      <c r="H2029" t="s">
        <v>10327</v>
      </c>
      <c r="J2029">
        <v>47983</v>
      </c>
      <c r="L2029">
        <v>20189</v>
      </c>
      <c r="O2029">
        <v>158</v>
      </c>
    </row>
    <row r="2030" spans="1:15" x14ac:dyDescent="0.25">
      <c r="A2030" t="s">
        <v>564</v>
      </c>
      <c r="B2030" t="s">
        <v>30</v>
      </c>
      <c r="C2030" t="s">
        <v>394</v>
      </c>
      <c r="D2030" t="s">
        <v>76</v>
      </c>
      <c r="E2030" t="s">
        <v>1027</v>
      </c>
      <c r="F2030" t="s">
        <v>78</v>
      </c>
      <c r="G2030" t="s">
        <v>1028</v>
      </c>
      <c r="H2030" t="s">
        <v>10342</v>
      </c>
      <c r="J2030">
        <v>47983</v>
      </c>
      <c r="L2030">
        <v>20189</v>
      </c>
      <c r="O2030">
        <v>159</v>
      </c>
    </row>
    <row r="2031" spans="1:15" x14ac:dyDescent="0.25">
      <c r="A2031" t="s">
        <v>564</v>
      </c>
      <c r="B2031" t="s">
        <v>30</v>
      </c>
      <c r="C2031" t="s">
        <v>394</v>
      </c>
      <c r="D2031" t="s">
        <v>76</v>
      </c>
      <c r="E2031" t="s">
        <v>678</v>
      </c>
      <c r="F2031" t="s">
        <v>78</v>
      </c>
      <c r="G2031" t="s">
        <v>679</v>
      </c>
      <c r="H2031" t="s">
        <v>10321</v>
      </c>
      <c r="J2031">
        <v>47983</v>
      </c>
      <c r="L2031">
        <v>20189</v>
      </c>
      <c r="O2031">
        <v>160</v>
      </c>
    </row>
    <row r="2032" spans="1:15" x14ac:dyDescent="0.25">
      <c r="A2032" t="s">
        <v>564</v>
      </c>
      <c r="B2032" t="s">
        <v>30</v>
      </c>
      <c r="C2032" t="s">
        <v>394</v>
      </c>
      <c r="D2032" t="s">
        <v>76</v>
      </c>
      <c r="E2032" t="s">
        <v>692</v>
      </c>
      <c r="F2032" t="s">
        <v>78</v>
      </c>
      <c r="G2032" t="s">
        <v>693</v>
      </c>
      <c r="H2032" t="s">
        <v>10304</v>
      </c>
      <c r="J2032">
        <v>47983</v>
      </c>
      <c r="L2032">
        <v>20189</v>
      </c>
      <c r="O2032">
        <v>161</v>
      </c>
    </row>
    <row r="2033" spans="1:17" x14ac:dyDescent="0.25">
      <c r="A2033" t="s">
        <v>564</v>
      </c>
      <c r="B2033" t="s">
        <v>30</v>
      </c>
      <c r="C2033" t="s">
        <v>394</v>
      </c>
      <c r="D2033" t="s">
        <v>76</v>
      </c>
      <c r="E2033" t="s">
        <v>1018</v>
      </c>
      <c r="F2033" t="s">
        <v>78</v>
      </c>
      <c r="G2033" t="s">
        <v>1019</v>
      </c>
      <c r="H2033" t="s">
        <v>10319</v>
      </c>
      <c r="J2033">
        <v>47983</v>
      </c>
      <c r="L2033">
        <v>20189</v>
      </c>
      <c r="O2033">
        <v>162</v>
      </c>
    </row>
    <row r="2034" spans="1:17" x14ac:dyDescent="0.25">
      <c r="A2034" t="s">
        <v>564</v>
      </c>
      <c r="B2034" t="s">
        <v>30</v>
      </c>
      <c r="C2034" t="s">
        <v>394</v>
      </c>
      <c r="D2034" t="s">
        <v>76</v>
      </c>
      <c r="E2034" t="s">
        <v>1015</v>
      </c>
      <c r="F2034" t="s">
        <v>78</v>
      </c>
      <c r="G2034" t="s">
        <v>1016</v>
      </c>
      <c r="H2034" t="s">
        <v>10290</v>
      </c>
      <c r="J2034">
        <v>47983</v>
      </c>
      <c r="L2034">
        <v>20189</v>
      </c>
      <c r="O2034">
        <v>163</v>
      </c>
    </row>
    <row r="2035" spans="1:17" x14ac:dyDescent="0.25">
      <c r="A2035" t="s">
        <v>564</v>
      </c>
      <c r="B2035" t="s">
        <v>30</v>
      </c>
      <c r="C2035" t="s">
        <v>394</v>
      </c>
      <c r="D2035" t="s">
        <v>76</v>
      </c>
      <c r="E2035" t="s">
        <v>1003</v>
      </c>
      <c r="F2035" t="s">
        <v>78</v>
      </c>
      <c r="G2035" t="s">
        <v>1004</v>
      </c>
      <c r="H2035" t="s">
        <v>10345</v>
      </c>
      <c r="J2035">
        <v>47983</v>
      </c>
      <c r="L2035">
        <v>20189</v>
      </c>
      <c r="O2035">
        <v>164</v>
      </c>
    </row>
    <row r="2036" spans="1:17" x14ac:dyDescent="0.25">
      <c r="A2036" t="s">
        <v>564</v>
      </c>
      <c r="B2036" t="s">
        <v>30</v>
      </c>
      <c r="C2036" t="s">
        <v>394</v>
      </c>
      <c r="D2036" t="s">
        <v>76</v>
      </c>
      <c r="E2036" t="s">
        <v>1000</v>
      </c>
      <c r="F2036" t="s">
        <v>78</v>
      </c>
      <c r="G2036" t="s">
        <v>1001</v>
      </c>
      <c r="H2036" t="s">
        <v>10334</v>
      </c>
      <c r="J2036">
        <v>47983</v>
      </c>
      <c r="L2036">
        <v>20189</v>
      </c>
      <c r="O2036">
        <v>165</v>
      </c>
    </row>
    <row r="2037" spans="1:17" x14ac:dyDescent="0.25">
      <c r="A2037" t="s">
        <v>564</v>
      </c>
      <c r="B2037" t="s">
        <v>30</v>
      </c>
      <c r="C2037" t="s">
        <v>394</v>
      </c>
      <c r="D2037" t="s">
        <v>76</v>
      </c>
      <c r="E2037" t="s">
        <v>994</v>
      </c>
      <c r="F2037" t="s">
        <v>78</v>
      </c>
      <c r="G2037" t="s">
        <v>995</v>
      </c>
      <c r="H2037" t="s">
        <v>10324</v>
      </c>
      <c r="J2037">
        <v>47983</v>
      </c>
      <c r="L2037">
        <v>20189</v>
      </c>
      <c r="O2037">
        <v>166</v>
      </c>
    </row>
    <row r="2038" spans="1:17" x14ac:dyDescent="0.25">
      <c r="A2038" t="s">
        <v>564</v>
      </c>
      <c r="B2038" t="s">
        <v>30</v>
      </c>
      <c r="C2038" t="s">
        <v>394</v>
      </c>
      <c r="D2038" t="s">
        <v>59</v>
      </c>
      <c r="E2038" t="s">
        <v>78</v>
      </c>
      <c r="F2038" t="s">
        <v>78</v>
      </c>
      <c r="G2038" t="s">
        <v>696</v>
      </c>
      <c r="H2038" t="s">
        <v>10389</v>
      </c>
      <c r="I2038">
        <v>0.5792468165808724</v>
      </c>
      <c r="J2038">
        <v>47983</v>
      </c>
      <c r="K2038">
        <v>1</v>
      </c>
      <c r="L2038">
        <v>27794</v>
      </c>
      <c r="M2038">
        <v>27794</v>
      </c>
      <c r="N2038">
        <v>6.0600000000000001E-2</v>
      </c>
      <c r="O2038">
        <v>1</v>
      </c>
    </row>
    <row r="2039" spans="1:17" x14ac:dyDescent="0.25">
      <c r="A2039" t="s">
        <v>564</v>
      </c>
      <c r="B2039" t="s">
        <v>30</v>
      </c>
      <c r="C2039" t="s">
        <v>394</v>
      </c>
      <c r="D2039" t="s">
        <v>59</v>
      </c>
      <c r="E2039" t="s">
        <v>60</v>
      </c>
      <c r="F2039" t="s">
        <v>78</v>
      </c>
      <c r="G2039" t="s">
        <v>697</v>
      </c>
      <c r="H2039" t="s">
        <v>10390</v>
      </c>
      <c r="I2039">
        <v>0.5163078590334077</v>
      </c>
      <c r="J2039">
        <v>47983</v>
      </c>
      <c r="K2039">
        <v>0.89134345542203353</v>
      </c>
      <c r="L2039">
        <v>27794</v>
      </c>
      <c r="M2039">
        <v>24774</v>
      </c>
      <c r="N2039">
        <v>4.7800000000000002E-2</v>
      </c>
      <c r="O2039">
        <v>2</v>
      </c>
    </row>
    <row r="2040" spans="1:17" x14ac:dyDescent="0.25">
      <c r="A2040" t="s">
        <v>564</v>
      </c>
      <c r="B2040" t="s">
        <v>30</v>
      </c>
      <c r="C2040" t="s">
        <v>394</v>
      </c>
      <c r="D2040" t="s">
        <v>59</v>
      </c>
      <c r="E2040" t="s">
        <v>60</v>
      </c>
      <c r="F2040" t="s">
        <v>61</v>
      </c>
      <c r="G2040" t="s">
        <v>698</v>
      </c>
      <c r="H2040" t="s">
        <v>10391</v>
      </c>
      <c r="I2040">
        <v>0.25765375237063132</v>
      </c>
      <c r="J2040">
        <v>47983</v>
      </c>
      <c r="K2040">
        <v>0.44480823199251629</v>
      </c>
      <c r="L2040">
        <v>27794</v>
      </c>
      <c r="M2040">
        <v>12363</v>
      </c>
      <c r="N2040">
        <v>4.7800000000000002E-2</v>
      </c>
      <c r="O2040">
        <v>3</v>
      </c>
      <c r="Q2040">
        <v>1</v>
      </c>
    </row>
    <row r="2041" spans="1:17" x14ac:dyDescent="0.25">
      <c r="A2041" t="s">
        <v>564</v>
      </c>
      <c r="B2041" t="s">
        <v>30</v>
      </c>
      <c r="C2041" t="s">
        <v>394</v>
      </c>
      <c r="D2041" t="s">
        <v>59</v>
      </c>
      <c r="E2041" t="s">
        <v>60</v>
      </c>
      <c r="F2041" t="s">
        <v>63</v>
      </c>
      <c r="G2041" t="s">
        <v>702</v>
      </c>
      <c r="H2041" t="s">
        <v>10392</v>
      </c>
      <c r="I2041">
        <v>0.175103682554238</v>
      </c>
      <c r="J2041">
        <v>47983</v>
      </c>
      <c r="K2041">
        <v>0.30229545945168018</v>
      </c>
      <c r="L2041">
        <v>27794</v>
      </c>
      <c r="M2041">
        <v>8402</v>
      </c>
      <c r="N2041">
        <v>6.0499999999999998E-2</v>
      </c>
      <c r="O2041">
        <v>4</v>
      </c>
      <c r="Q2041">
        <v>3</v>
      </c>
    </row>
    <row r="2042" spans="1:17" x14ac:dyDescent="0.25">
      <c r="A2042" t="s">
        <v>564</v>
      </c>
      <c r="B2042" t="s">
        <v>30</v>
      </c>
      <c r="C2042" t="s">
        <v>394</v>
      </c>
      <c r="D2042" t="s">
        <v>59</v>
      </c>
      <c r="E2042" t="s">
        <v>60</v>
      </c>
      <c r="F2042" t="s">
        <v>62</v>
      </c>
      <c r="G2042" t="s">
        <v>699</v>
      </c>
      <c r="H2042" t="s">
        <v>10398</v>
      </c>
      <c r="I2042">
        <v>0.15613863243231979</v>
      </c>
      <c r="J2042">
        <v>47983</v>
      </c>
      <c r="K2042">
        <v>0.26955458012520689</v>
      </c>
      <c r="L2042">
        <v>27794</v>
      </c>
      <c r="M2042">
        <v>7492</v>
      </c>
      <c r="N2042">
        <v>1.61E-2</v>
      </c>
      <c r="O2042">
        <v>5</v>
      </c>
      <c r="Q2042">
        <v>2</v>
      </c>
    </row>
    <row r="2043" spans="1:17" x14ac:dyDescent="0.25">
      <c r="A2043" t="s">
        <v>564</v>
      </c>
      <c r="B2043" t="s">
        <v>30</v>
      </c>
      <c r="C2043" t="s">
        <v>394</v>
      </c>
      <c r="D2043" t="s">
        <v>59</v>
      </c>
      <c r="E2043" t="s">
        <v>64</v>
      </c>
      <c r="F2043" t="s">
        <v>78</v>
      </c>
      <c r="G2043" t="s">
        <v>703</v>
      </c>
      <c r="H2043" t="s">
        <v>10393</v>
      </c>
      <c r="I2043">
        <v>7.2734093324719168E-2</v>
      </c>
      <c r="J2043">
        <v>47983</v>
      </c>
      <c r="K2043">
        <v>0.1255666690652659</v>
      </c>
      <c r="L2043">
        <v>27794</v>
      </c>
      <c r="M2043">
        <v>3490</v>
      </c>
      <c r="N2043">
        <v>0.1183</v>
      </c>
      <c r="O2043">
        <v>6</v>
      </c>
    </row>
    <row r="2044" spans="1:17" x14ac:dyDescent="0.25">
      <c r="A2044" t="s">
        <v>564</v>
      </c>
      <c r="B2044" t="s">
        <v>30</v>
      </c>
      <c r="C2044" t="s">
        <v>394</v>
      </c>
      <c r="D2044" t="s">
        <v>59</v>
      </c>
      <c r="E2044" t="s">
        <v>64</v>
      </c>
      <c r="F2044" t="s">
        <v>67</v>
      </c>
      <c r="G2044" t="s">
        <v>709</v>
      </c>
      <c r="H2044" t="s">
        <v>10394</v>
      </c>
      <c r="I2044">
        <v>7.2692411895879785E-2</v>
      </c>
      <c r="J2044">
        <v>47983</v>
      </c>
      <c r="K2044">
        <v>0.1254947110887242</v>
      </c>
      <c r="L2044">
        <v>27794</v>
      </c>
      <c r="M2044">
        <v>3488</v>
      </c>
      <c r="N2044">
        <v>0.1181</v>
      </c>
      <c r="O2044">
        <v>7</v>
      </c>
      <c r="Q2044">
        <v>5</v>
      </c>
    </row>
    <row r="2045" spans="1:17" x14ac:dyDescent="0.25">
      <c r="A2045" t="s">
        <v>564</v>
      </c>
      <c r="B2045" t="s">
        <v>30</v>
      </c>
      <c r="C2045" t="s">
        <v>394</v>
      </c>
      <c r="D2045" t="s">
        <v>59</v>
      </c>
      <c r="E2045" t="s">
        <v>72</v>
      </c>
      <c r="F2045" t="s">
        <v>78</v>
      </c>
      <c r="G2045" t="s">
        <v>705</v>
      </c>
      <c r="H2045" t="s">
        <v>10395</v>
      </c>
      <c r="I2045">
        <v>2.0757351562011549E-2</v>
      </c>
      <c r="J2045">
        <v>47983</v>
      </c>
      <c r="K2045">
        <v>3.5835072317766427E-2</v>
      </c>
      <c r="L2045">
        <v>27794</v>
      </c>
      <c r="M2045">
        <v>996</v>
      </c>
      <c r="N2045">
        <v>0.22170000000000001</v>
      </c>
      <c r="O2045">
        <v>8</v>
      </c>
    </row>
    <row r="2046" spans="1:17" x14ac:dyDescent="0.25">
      <c r="A2046" t="s">
        <v>564</v>
      </c>
      <c r="B2046" t="s">
        <v>30</v>
      </c>
      <c r="C2046" t="s">
        <v>394</v>
      </c>
      <c r="D2046" t="s">
        <v>59</v>
      </c>
      <c r="E2046" t="s">
        <v>72</v>
      </c>
      <c r="F2046" t="s">
        <v>73</v>
      </c>
      <c r="G2046" t="s">
        <v>706</v>
      </c>
      <c r="H2046" t="s">
        <v>10396</v>
      </c>
      <c r="I2046">
        <v>2.061146656107371E-2</v>
      </c>
      <c r="J2046">
        <v>47983</v>
      </c>
      <c r="K2046">
        <v>3.5583219399870483E-2</v>
      </c>
      <c r="L2046">
        <v>27794</v>
      </c>
      <c r="M2046">
        <v>989</v>
      </c>
      <c r="N2046">
        <v>0.22320000000000001</v>
      </c>
      <c r="O2046">
        <v>9</v>
      </c>
      <c r="Q2046">
        <v>6</v>
      </c>
    </row>
    <row r="2047" spans="1:17" x14ac:dyDescent="0.25">
      <c r="A2047" t="s">
        <v>564</v>
      </c>
      <c r="B2047" t="s">
        <v>30</v>
      </c>
      <c r="C2047" t="s">
        <v>394</v>
      </c>
      <c r="D2047" t="s">
        <v>59</v>
      </c>
      <c r="E2047" t="s">
        <v>68</v>
      </c>
      <c r="F2047" t="s">
        <v>78</v>
      </c>
      <c r="G2047" t="s">
        <v>700</v>
      </c>
      <c r="H2047" t="s">
        <v>10400</v>
      </c>
      <c r="I2047">
        <v>2.4175228726840761E-3</v>
      </c>
      <c r="J2047">
        <v>47983</v>
      </c>
      <c r="K2047">
        <v>4.1735626394185793E-3</v>
      </c>
      <c r="L2047">
        <v>27794</v>
      </c>
      <c r="M2047">
        <v>116</v>
      </c>
      <c r="O2047">
        <v>10</v>
      </c>
    </row>
    <row r="2048" spans="1:17" x14ac:dyDescent="0.25">
      <c r="A2048" t="s">
        <v>564</v>
      </c>
      <c r="B2048" t="s">
        <v>30</v>
      </c>
      <c r="C2048" t="s">
        <v>394</v>
      </c>
      <c r="D2048" t="s">
        <v>59</v>
      </c>
      <c r="E2048" t="s">
        <v>68</v>
      </c>
      <c r="F2048" t="s">
        <v>69</v>
      </c>
      <c r="G2048" t="s">
        <v>701</v>
      </c>
      <c r="H2048" t="s">
        <v>10399</v>
      </c>
      <c r="I2048">
        <v>2.3966821582643849E-3</v>
      </c>
      <c r="J2048">
        <v>47983</v>
      </c>
      <c r="K2048">
        <v>4.1375836511477297E-3</v>
      </c>
      <c r="L2048">
        <v>27794</v>
      </c>
      <c r="M2048">
        <v>115</v>
      </c>
      <c r="O2048">
        <v>11</v>
      </c>
      <c r="Q2048">
        <v>11</v>
      </c>
    </row>
    <row r="2049" spans="1:17" x14ac:dyDescent="0.25">
      <c r="A2049" t="s">
        <v>564</v>
      </c>
      <c r="B2049" t="s">
        <v>30</v>
      </c>
      <c r="C2049" t="s">
        <v>394</v>
      </c>
      <c r="D2049" t="s">
        <v>59</v>
      </c>
      <c r="E2049" t="s">
        <v>72</v>
      </c>
      <c r="F2049" t="s">
        <v>75</v>
      </c>
      <c r="G2049" t="s">
        <v>710</v>
      </c>
      <c r="H2049" t="s">
        <v>10401</v>
      </c>
      <c r="I2049">
        <v>1.4588500093783209E-4</v>
      </c>
      <c r="J2049">
        <v>47983</v>
      </c>
      <c r="K2049">
        <v>2.5185291789594881E-4</v>
      </c>
      <c r="L2049">
        <v>27794</v>
      </c>
      <c r="M2049">
        <v>7</v>
      </c>
      <c r="O2049">
        <v>12</v>
      </c>
      <c r="Q2049">
        <v>7</v>
      </c>
    </row>
    <row r="2050" spans="1:17" x14ac:dyDescent="0.25">
      <c r="A2050" t="s">
        <v>564</v>
      </c>
      <c r="B2050" t="s">
        <v>30</v>
      </c>
      <c r="C2050" t="s">
        <v>394</v>
      </c>
      <c r="D2050" t="s">
        <v>59</v>
      </c>
      <c r="E2050" t="s">
        <v>68</v>
      </c>
      <c r="F2050" t="s">
        <v>70</v>
      </c>
      <c r="G2050" t="s">
        <v>707</v>
      </c>
      <c r="H2050" t="s">
        <v>10407</v>
      </c>
      <c r="I2050">
        <v>2.0840714419690311E-5</v>
      </c>
      <c r="J2050">
        <v>47983</v>
      </c>
      <c r="K2050">
        <v>3.5978988270849833E-5</v>
      </c>
      <c r="L2050">
        <v>27794</v>
      </c>
      <c r="M2050">
        <v>1</v>
      </c>
      <c r="O2050">
        <v>13</v>
      </c>
      <c r="Q2050">
        <v>10</v>
      </c>
    </row>
    <row r="2051" spans="1:17" x14ac:dyDescent="0.25">
      <c r="A2051" t="s">
        <v>564</v>
      </c>
      <c r="B2051" t="s">
        <v>30</v>
      </c>
      <c r="C2051" t="s">
        <v>394</v>
      </c>
      <c r="D2051" t="s">
        <v>59</v>
      </c>
      <c r="E2051" t="s">
        <v>64</v>
      </c>
      <c r="F2051" t="s">
        <v>8535</v>
      </c>
      <c r="G2051" t="s">
        <v>8536</v>
      </c>
      <c r="H2051" t="s">
        <v>10402</v>
      </c>
      <c r="I2051">
        <v>2.0840714419690311E-5</v>
      </c>
      <c r="J2051">
        <v>47983</v>
      </c>
      <c r="K2051">
        <v>3.5978988270849833E-5</v>
      </c>
      <c r="L2051">
        <v>27794</v>
      </c>
      <c r="M2051">
        <v>1</v>
      </c>
      <c r="O2051">
        <v>14</v>
      </c>
    </row>
    <row r="2052" spans="1:17" x14ac:dyDescent="0.25">
      <c r="A2052" t="s">
        <v>564</v>
      </c>
      <c r="B2052" t="s">
        <v>30</v>
      </c>
      <c r="C2052" t="s">
        <v>394</v>
      </c>
      <c r="D2052" t="s">
        <v>59</v>
      </c>
      <c r="E2052" t="s">
        <v>64</v>
      </c>
      <c r="F2052" t="s">
        <v>65</v>
      </c>
      <c r="G2052" t="s">
        <v>704</v>
      </c>
      <c r="H2052" t="s">
        <v>10405</v>
      </c>
      <c r="I2052">
        <v>2.0840714419690311E-5</v>
      </c>
      <c r="J2052">
        <v>47983</v>
      </c>
      <c r="K2052">
        <v>3.5978988270849833E-5</v>
      </c>
      <c r="L2052">
        <v>27794</v>
      </c>
      <c r="M2052">
        <v>1</v>
      </c>
      <c r="N2052">
        <v>1</v>
      </c>
      <c r="O2052">
        <v>15</v>
      </c>
      <c r="Q2052">
        <v>4</v>
      </c>
    </row>
    <row r="2053" spans="1:17" x14ac:dyDescent="0.25">
      <c r="A2053" t="s">
        <v>564</v>
      </c>
      <c r="B2053" t="s">
        <v>30</v>
      </c>
      <c r="C2053" t="s">
        <v>394</v>
      </c>
      <c r="D2053" t="s">
        <v>59</v>
      </c>
      <c r="E2053" t="s">
        <v>72</v>
      </c>
      <c r="F2053" t="s">
        <v>74</v>
      </c>
      <c r="G2053" t="s">
        <v>708</v>
      </c>
      <c r="H2053" t="s">
        <v>10397</v>
      </c>
      <c r="J2053">
        <v>47983</v>
      </c>
      <c r="L2053">
        <v>27794</v>
      </c>
      <c r="O2053">
        <v>16</v>
      </c>
      <c r="Q2053">
        <v>9</v>
      </c>
    </row>
    <row r="2054" spans="1:17" x14ac:dyDescent="0.25">
      <c r="A2054" t="s">
        <v>564</v>
      </c>
      <c r="B2054" t="s">
        <v>30</v>
      </c>
      <c r="C2054" t="s">
        <v>394</v>
      </c>
      <c r="D2054" t="s">
        <v>59</v>
      </c>
      <c r="E2054" t="s">
        <v>68</v>
      </c>
      <c r="F2054" t="s">
        <v>71</v>
      </c>
      <c r="G2054" t="s">
        <v>8538</v>
      </c>
      <c r="H2054" t="s">
        <v>10406</v>
      </c>
      <c r="J2054">
        <v>47983</v>
      </c>
      <c r="L2054">
        <v>27794</v>
      </c>
      <c r="O2054">
        <v>17</v>
      </c>
    </row>
    <row r="2055" spans="1:17" x14ac:dyDescent="0.25">
      <c r="A2055" t="s">
        <v>564</v>
      </c>
      <c r="B2055" t="s">
        <v>30</v>
      </c>
      <c r="C2055" t="s">
        <v>394</v>
      </c>
      <c r="D2055" t="s">
        <v>59</v>
      </c>
      <c r="E2055" t="s">
        <v>64</v>
      </c>
      <c r="F2055" t="s">
        <v>470</v>
      </c>
      <c r="G2055" t="s">
        <v>8540</v>
      </c>
      <c r="H2055" t="s">
        <v>10403</v>
      </c>
      <c r="J2055">
        <v>47983</v>
      </c>
      <c r="L2055">
        <v>27794</v>
      </c>
      <c r="O2055">
        <v>18</v>
      </c>
    </row>
    <row r="2056" spans="1:17" x14ac:dyDescent="0.25">
      <c r="A2056" t="s">
        <v>564</v>
      </c>
      <c r="B2056" t="s">
        <v>30</v>
      </c>
      <c r="C2056" t="s">
        <v>394</v>
      </c>
      <c r="D2056" t="s">
        <v>59</v>
      </c>
      <c r="E2056" t="s">
        <v>64</v>
      </c>
      <c r="F2056" t="s">
        <v>8547</v>
      </c>
      <c r="G2056" t="s">
        <v>8548</v>
      </c>
      <c r="H2056" t="s">
        <v>10404</v>
      </c>
      <c r="J2056">
        <v>47983</v>
      </c>
      <c r="L2056">
        <v>27794</v>
      </c>
      <c r="O2056">
        <v>19</v>
      </c>
    </row>
    <row r="2057" spans="1:17" x14ac:dyDescent="0.25">
      <c r="A2057" t="s">
        <v>564</v>
      </c>
      <c r="B2057" t="s">
        <v>30</v>
      </c>
      <c r="C2057" t="s">
        <v>394</v>
      </c>
      <c r="D2057" t="s">
        <v>59</v>
      </c>
      <c r="E2057" t="s">
        <v>64</v>
      </c>
      <c r="F2057" t="s">
        <v>8543</v>
      </c>
      <c r="G2057" t="s">
        <v>8544</v>
      </c>
      <c r="H2057" t="s">
        <v>10409</v>
      </c>
      <c r="J2057">
        <v>47983</v>
      </c>
      <c r="L2057">
        <v>27794</v>
      </c>
      <c r="O2057">
        <v>20</v>
      </c>
    </row>
    <row r="2058" spans="1:17" x14ac:dyDescent="0.25">
      <c r="A2058" t="s">
        <v>564</v>
      </c>
      <c r="B2058" t="s">
        <v>30</v>
      </c>
      <c r="C2058" t="s">
        <v>394</v>
      </c>
      <c r="D2058" t="s">
        <v>59</v>
      </c>
      <c r="E2058" t="s">
        <v>72</v>
      </c>
      <c r="F2058" t="s">
        <v>352</v>
      </c>
      <c r="G2058" t="s">
        <v>1117</v>
      </c>
      <c r="H2058" t="s">
        <v>10408</v>
      </c>
      <c r="J2058">
        <v>47983</v>
      </c>
      <c r="L2058">
        <v>27794</v>
      </c>
      <c r="O2058">
        <v>21</v>
      </c>
      <c r="Q2058">
        <v>8</v>
      </c>
    </row>
    <row r="2059" spans="1:17" x14ac:dyDescent="0.25">
      <c r="A2059" t="s">
        <v>564</v>
      </c>
      <c r="B2059" t="s">
        <v>30</v>
      </c>
      <c r="C2059" t="s">
        <v>390</v>
      </c>
      <c r="D2059" t="s">
        <v>76</v>
      </c>
      <c r="E2059" t="s">
        <v>78</v>
      </c>
      <c r="F2059" t="s">
        <v>78</v>
      </c>
      <c r="G2059" t="s">
        <v>575</v>
      </c>
      <c r="H2059" t="s">
        <v>10410</v>
      </c>
      <c r="I2059">
        <v>0.5102390551219933</v>
      </c>
      <c r="J2059">
        <v>81111</v>
      </c>
      <c r="K2059">
        <v>1</v>
      </c>
      <c r="L2059">
        <v>41386</v>
      </c>
      <c r="M2059">
        <v>41386</v>
      </c>
      <c r="N2059">
        <v>6.8599999999999994E-2</v>
      </c>
      <c r="O2059">
        <v>1</v>
      </c>
    </row>
    <row r="2060" spans="1:17" x14ac:dyDescent="0.25">
      <c r="A2060" t="s">
        <v>564</v>
      </c>
      <c r="B2060" t="s">
        <v>30</v>
      </c>
      <c r="C2060" t="s">
        <v>390</v>
      </c>
      <c r="D2060" t="s">
        <v>76</v>
      </c>
      <c r="E2060" t="s">
        <v>80</v>
      </c>
      <c r="F2060" t="s">
        <v>78</v>
      </c>
      <c r="G2060" t="s">
        <v>576</v>
      </c>
      <c r="H2060" t="s">
        <v>10411</v>
      </c>
      <c r="I2060">
        <v>0.18716327008667141</v>
      </c>
      <c r="J2060">
        <v>81111</v>
      </c>
      <c r="K2060">
        <v>0.36681486493016963</v>
      </c>
      <c r="L2060">
        <v>41386</v>
      </c>
      <c r="M2060">
        <v>15181</v>
      </c>
      <c r="N2060">
        <v>3.8699999999999998E-2</v>
      </c>
      <c r="O2060">
        <v>2</v>
      </c>
      <c r="P2060">
        <v>1</v>
      </c>
    </row>
    <row r="2061" spans="1:17" x14ac:dyDescent="0.25">
      <c r="A2061" t="s">
        <v>564</v>
      </c>
      <c r="B2061" t="s">
        <v>30</v>
      </c>
      <c r="C2061" t="s">
        <v>390</v>
      </c>
      <c r="D2061" t="s">
        <v>76</v>
      </c>
      <c r="E2061" t="s">
        <v>80</v>
      </c>
      <c r="F2061" t="s">
        <v>8326</v>
      </c>
      <c r="G2061" t="s">
        <v>8327</v>
      </c>
      <c r="H2061" t="s">
        <v>10412</v>
      </c>
      <c r="I2061">
        <v>0.18072764483239021</v>
      </c>
      <c r="J2061">
        <v>81111</v>
      </c>
      <c r="K2061">
        <v>0.35420190402551588</v>
      </c>
      <c r="L2061">
        <v>41386</v>
      </c>
      <c r="M2061">
        <v>14659</v>
      </c>
      <c r="N2061">
        <v>3.8899999999999997E-2</v>
      </c>
      <c r="O2061">
        <v>3</v>
      </c>
    </row>
    <row r="2062" spans="1:17" x14ac:dyDescent="0.25">
      <c r="A2062" t="s">
        <v>564</v>
      </c>
      <c r="B2062" t="s">
        <v>30</v>
      </c>
      <c r="C2062" t="s">
        <v>390</v>
      </c>
      <c r="D2062" t="s">
        <v>76</v>
      </c>
      <c r="E2062" t="s">
        <v>82</v>
      </c>
      <c r="F2062" t="s">
        <v>78</v>
      </c>
      <c r="G2062" t="s">
        <v>579</v>
      </c>
      <c r="H2062" t="s">
        <v>10414</v>
      </c>
      <c r="I2062">
        <v>8.9963136935804017E-2</v>
      </c>
      <c r="J2062">
        <v>81111</v>
      </c>
      <c r="K2062">
        <v>0.17631566230126131</v>
      </c>
      <c r="L2062">
        <v>41386</v>
      </c>
      <c r="M2062">
        <v>7297</v>
      </c>
      <c r="N2062">
        <v>0.1056</v>
      </c>
      <c r="O2062">
        <v>4</v>
      </c>
      <c r="P2062">
        <v>3</v>
      </c>
    </row>
    <row r="2063" spans="1:17" x14ac:dyDescent="0.25">
      <c r="A2063" t="s">
        <v>564</v>
      </c>
      <c r="B2063" t="s">
        <v>30</v>
      </c>
      <c r="C2063" t="s">
        <v>390</v>
      </c>
      <c r="D2063" t="s">
        <v>76</v>
      </c>
      <c r="E2063" t="s">
        <v>83</v>
      </c>
      <c r="F2063" t="s">
        <v>78</v>
      </c>
      <c r="G2063" t="s">
        <v>580</v>
      </c>
      <c r="H2063" t="s">
        <v>10413</v>
      </c>
      <c r="I2063">
        <v>8.2245318144271426E-2</v>
      </c>
      <c r="J2063">
        <v>81111</v>
      </c>
      <c r="K2063">
        <v>0.16118977431981829</v>
      </c>
      <c r="L2063">
        <v>41386</v>
      </c>
      <c r="M2063">
        <v>6671</v>
      </c>
      <c r="N2063">
        <v>0.2752</v>
      </c>
      <c r="O2063">
        <v>5</v>
      </c>
      <c r="P2063">
        <v>2</v>
      </c>
    </row>
    <row r="2064" spans="1:17" x14ac:dyDescent="0.25">
      <c r="A2064" t="s">
        <v>564</v>
      </c>
      <c r="B2064" t="s">
        <v>30</v>
      </c>
      <c r="C2064" t="s">
        <v>390</v>
      </c>
      <c r="D2064" t="s">
        <v>76</v>
      </c>
      <c r="E2064" t="s">
        <v>77</v>
      </c>
      <c r="F2064" t="s">
        <v>78</v>
      </c>
      <c r="G2064" t="s">
        <v>581</v>
      </c>
      <c r="H2064" t="s">
        <v>10415</v>
      </c>
      <c r="I2064">
        <v>7.5600103561785703E-2</v>
      </c>
      <c r="J2064">
        <v>81111</v>
      </c>
      <c r="K2064">
        <v>0.14816604648915091</v>
      </c>
      <c r="L2064">
        <v>41386</v>
      </c>
      <c r="M2064">
        <v>6132</v>
      </c>
      <c r="N2064">
        <v>8.5000000000000006E-2</v>
      </c>
      <c r="O2064">
        <v>6</v>
      </c>
      <c r="P2064">
        <v>4</v>
      </c>
    </row>
    <row r="2065" spans="1:16" x14ac:dyDescent="0.25">
      <c r="A2065" t="s">
        <v>564</v>
      </c>
      <c r="B2065" t="s">
        <v>30</v>
      </c>
      <c r="C2065" t="s">
        <v>390</v>
      </c>
      <c r="D2065" t="s">
        <v>76</v>
      </c>
      <c r="E2065" t="s">
        <v>84</v>
      </c>
      <c r="F2065" t="s">
        <v>78</v>
      </c>
      <c r="G2065" t="s">
        <v>589</v>
      </c>
      <c r="H2065" t="s">
        <v>10416</v>
      </c>
      <c r="I2065">
        <v>7.430558124052225E-2</v>
      </c>
      <c r="J2065">
        <v>81111</v>
      </c>
      <c r="K2065">
        <v>0.1456289566520079</v>
      </c>
      <c r="L2065">
        <v>41386</v>
      </c>
      <c r="M2065">
        <v>6027</v>
      </c>
      <c r="N2065">
        <v>5.21E-2</v>
      </c>
      <c r="O2065">
        <v>7</v>
      </c>
      <c r="P2065">
        <v>7</v>
      </c>
    </row>
    <row r="2066" spans="1:16" x14ac:dyDescent="0.25">
      <c r="A2066" t="s">
        <v>564</v>
      </c>
      <c r="B2066" t="s">
        <v>30</v>
      </c>
      <c r="C2066" t="s">
        <v>390</v>
      </c>
      <c r="D2066" t="s">
        <v>76</v>
      </c>
      <c r="E2066" t="s">
        <v>81</v>
      </c>
      <c r="F2066" t="s">
        <v>78</v>
      </c>
      <c r="G2066" t="s">
        <v>578</v>
      </c>
      <c r="H2066" t="s">
        <v>10417</v>
      </c>
      <c r="I2066">
        <v>4.671376262159263E-2</v>
      </c>
      <c r="J2066">
        <v>81111</v>
      </c>
      <c r="K2066">
        <v>9.1552698980331512E-2</v>
      </c>
      <c r="L2066">
        <v>41386</v>
      </c>
      <c r="M2066">
        <v>3789</v>
      </c>
      <c r="N2066">
        <v>3.1399999999999997E-2</v>
      </c>
      <c r="O2066">
        <v>8</v>
      </c>
      <c r="P2066">
        <v>6</v>
      </c>
    </row>
    <row r="2067" spans="1:16" x14ac:dyDescent="0.25">
      <c r="A2067" t="s">
        <v>564</v>
      </c>
      <c r="B2067" t="s">
        <v>30</v>
      </c>
      <c r="C2067" t="s">
        <v>390</v>
      </c>
      <c r="D2067" t="s">
        <v>76</v>
      </c>
      <c r="E2067" t="s">
        <v>79</v>
      </c>
      <c r="F2067" t="s">
        <v>78</v>
      </c>
      <c r="G2067" t="s">
        <v>577</v>
      </c>
      <c r="H2067" t="s">
        <v>10418</v>
      </c>
      <c r="I2067">
        <v>2.4632910456041719E-2</v>
      </c>
      <c r="J2067">
        <v>81111</v>
      </c>
      <c r="K2067">
        <v>4.8277195186778137E-2</v>
      </c>
      <c r="L2067">
        <v>41386</v>
      </c>
      <c r="M2067">
        <v>1998</v>
      </c>
      <c r="N2067">
        <v>8.1100000000000005E-2</v>
      </c>
      <c r="O2067">
        <v>9</v>
      </c>
      <c r="P2067">
        <v>5</v>
      </c>
    </row>
    <row r="2068" spans="1:16" x14ac:dyDescent="0.25">
      <c r="A2068" t="s">
        <v>564</v>
      </c>
      <c r="B2068" t="s">
        <v>30</v>
      </c>
      <c r="C2068" t="s">
        <v>390</v>
      </c>
      <c r="D2068" t="s">
        <v>76</v>
      </c>
      <c r="E2068" t="s">
        <v>81</v>
      </c>
      <c r="F2068" t="s">
        <v>585</v>
      </c>
      <c r="G2068" t="s">
        <v>586</v>
      </c>
      <c r="H2068" t="s">
        <v>10419</v>
      </c>
      <c r="I2068">
        <v>1.899865616254269E-2</v>
      </c>
      <c r="J2068">
        <v>81111</v>
      </c>
      <c r="K2068">
        <v>3.7234813705117671E-2</v>
      </c>
      <c r="L2068">
        <v>41386</v>
      </c>
      <c r="M2068">
        <v>1541</v>
      </c>
      <c r="N2068">
        <v>5.1999999999999998E-3</v>
      </c>
      <c r="O2068">
        <v>10</v>
      </c>
    </row>
    <row r="2069" spans="1:16" x14ac:dyDescent="0.25">
      <c r="A2069" t="s">
        <v>564</v>
      </c>
      <c r="B2069" t="s">
        <v>30</v>
      </c>
      <c r="C2069" t="s">
        <v>390</v>
      </c>
      <c r="D2069" t="s">
        <v>76</v>
      </c>
      <c r="E2069" t="s">
        <v>81</v>
      </c>
      <c r="F2069" t="s">
        <v>582</v>
      </c>
      <c r="G2069" t="s">
        <v>583</v>
      </c>
      <c r="H2069" t="s">
        <v>10422</v>
      </c>
      <c r="I2069">
        <v>1.8073997361640219E-2</v>
      </c>
      <c r="J2069">
        <v>81111</v>
      </c>
      <c r="K2069">
        <v>3.542260667858696E-2</v>
      </c>
      <c r="L2069">
        <v>41386</v>
      </c>
      <c r="M2069">
        <v>1466</v>
      </c>
      <c r="N2069">
        <v>3.6799999999999999E-2</v>
      </c>
      <c r="O2069">
        <v>11</v>
      </c>
    </row>
    <row r="2070" spans="1:16" x14ac:dyDescent="0.25">
      <c r="A2070" t="s">
        <v>564</v>
      </c>
      <c r="B2070" t="s">
        <v>30</v>
      </c>
      <c r="C2070" t="s">
        <v>390</v>
      </c>
      <c r="D2070" t="s">
        <v>76</v>
      </c>
      <c r="E2070" t="s">
        <v>592</v>
      </c>
      <c r="F2070" t="s">
        <v>78</v>
      </c>
      <c r="G2070" t="s">
        <v>593</v>
      </c>
      <c r="H2070" t="s">
        <v>10421</v>
      </c>
      <c r="I2070">
        <v>1.7802764113375499E-2</v>
      </c>
      <c r="J2070">
        <v>81111</v>
      </c>
      <c r="K2070">
        <v>3.4891025950804622E-2</v>
      </c>
      <c r="L2070">
        <v>41386</v>
      </c>
      <c r="M2070">
        <v>1444</v>
      </c>
      <c r="N2070">
        <v>3.39E-2</v>
      </c>
      <c r="O2070">
        <v>12</v>
      </c>
    </row>
    <row r="2071" spans="1:16" x14ac:dyDescent="0.25">
      <c r="A2071" t="s">
        <v>564</v>
      </c>
      <c r="B2071" t="s">
        <v>30</v>
      </c>
      <c r="C2071" t="s">
        <v>390</v>
      </c>
      <c r="D2071" t="s">
        <v>76</v>
      </c>
      <c r="E2071" t="s">
        <v>608</v>
      </c>
      <c r="F2071" t="s">
        <v>78</v>
      </c>
      <c r="G2071" t="s">
        <v>609</v>
      </c>
      <c r="H2071" t="s">
        <v>10420</v>
      </c>
      <c r="I2071">
        <v>1.415344404581376E-2</v>
      </c>
      <c r="J2071">
        <v>81111</v>
      </c>
      <c r="K2071">
        <v>2.7738848886096752E-2</v>
      </c>
      <c r="L2071">
        <v>41386</v>
      </c>
      <c r="M2071">
        <v>1148</v>
      </c>
      <c r="N2071">
        <v>0.1394</v>
      </c>
      <c r="O2071">
        <v>13</v>
      </c>
    </row>
    <row r="2072" spans="1:16" x14ac:dyDescent="0.25">
      <c r="A2072" t="s">
        <v>564</v>
      </c>
      <c r="B2072" t="s">
        <v>30</v>
      </c>
      <c r="C2072" t="s">
        <v>390</v>
      </c>
      <c r="D2072" t="s">
        <v>76</v>
      </c>
      <c r="E2072" t="s">
        <v>602</v>
      </c>
      <c r="F2072" t="s">
        <v>78</v>
      </c>
      <c r="G2072" t="s">
        <v>603</v>
      </c>
      <c r="H2072" t="s">
        <v>10425</v>
      </c>
      <c r="I2072">
        <v>1.1428782779154489E-2</v>
      </c>
      <c r="J2072">
        <v>81111</v>
      </c>
      <c r="K2072">
        <v>2.2398878847919589E-2</v>
      </c>
      <c r="L2072">
        <v>41386</v>
      </c>
      <c r="M2072">
        <v>927</v>
      </c>
      <c r="N2072">
        <v>4.6399999999999997E-2</v>
      </c>
      <c r="O2072">
        <v>14</v>
      </c>
    </row>
    <row r="2073" spans="1:16" x14ac:dyDescent="0.25">
      <c r="A2073" t="s">
        <v>564</v>
      </c>
      <c r="B2073" t="s">
        <v>30</v>
      </c>
      <c r="C2073" t="s">
        <v>390</v>
      </c>
      <c r="D2073" t="s">
        <v>76</v>
      </c>
      <c r="E2073" t="s">
        <v>81</v>
      </c>
      <c r="F2073" t="s">
        <v>590</v>
      </c>
      <c r="G2073" t="s">
        <v>591</v>
      </c>
      <c r="H2073" t="s">
        <v>10424</v>
      </c>
      <c r="I2073">
        <v>9.3575470651329658E-3</v>
      </c>
      <c r="J2073">
        <v>81111</v>
      </c>
      <c r="K2073">
        <v>1.833953510849079E-2</v>
      </c>
      <c r="L2073">
        <v>41386</v>
      </c>
      <c r="M2073">
        <v>759</v>
      </c>
      <c r="N2073">
        <v>7.4999999999999997E-2</v>
      </c>
      <c r="O2073">
        <v>15</v>
      </c>
    </row>
    <row r="2074" spans="1:16" x14ac:dyDescent="0.25">
      <c r="A2074" t="s">
        <v>564</v>
      </c>
      <c r="B2074" t="s">
        <v>30</v>
      </c>
      <c r="C2074" t="s">
        <v>390</v>
      </c>
      <c r="D2074" t="s">
        <v>76</v>
      </c>
      <c r="E2074" t="s">
        <v>80</v>
      </c>
      <c r="F2074" t="s">
        <v>8354</v>
      </c>
      <c r="G2074" t="s">
        <v>8355</v>
      </c>
      <c r="H2074" t="s">
        <v>10433</v>
      </c>
      <c r="I2074">
        <v>9.0986426008802749E-3</v>
      </c>
      <c r="J2074">
        <v>81111</v>
      </c>
      <c r="K2074">
        <v>1.7832117141062191E-2</v>
      </c>
      <c r="L2074">
        <v>41386</v>
      </c>
      <c r="M2074">
        <v>738</v>
      </c>
      <c r="N2074">
        <v>3.9300000000000002E-2</v>
      </c>
      <c r="O2074">
        <v>16</v>
      </c>
    </row>
    <row r="2075" spans="1:16" x14ac:dyDescent="0.25">
      <c r="A2075" t="s">
        <v>564</v>
      </c>
      <c r="B2075" t="s">
        <v>30</v>
      </c>
      <c r="C2075" t="s">
        <v>390</v>
      </c>
      <c r="D2075" t="s">
        <v>76</v>
      </c>
      <c r="E2075" t="s">
        <v>600</v>
      </c>
      <c r="F2075" t="s">
        <v>78</v>
      </c>
      <c r="G2075" t="s">
        <v>601</v>
      </c>
      <c r="H2075" t="s">
        <v>10426</v>
      </c>
      <c r="I2075">
        <v>9.0246698968080782E-3</v>
      </c>
      <c r="J2075">
        <v>81111</v>
      </c>
      <c r="K2075">
        <v>1.768714057893974E-2</v>
      </c>
      <c r="L2075">
        <v>41386</v>
      </c>
      <c r="M2075">
        <v>732</v>
      </c>
      <c r="N2075">
        <v>5.3199999999999997E-2</v>
      </c>
      <c r="O2075">
        <v>17</v>
      </c>
    </row>
    <row r="2076" spans="1:16" x14ac:dyDescent="0.25">
      <c r="A2076" t="s">
        <v>564</v>
      </c>
      <c r="B2076" t="s">
        <v>30</v>
      </c>
      <c r="C2076" t="s">
        <v>390</v>
      </c>
      <c r="D2076" t="s">
        <v>76</v>
      </c>
      <c r="E2076" t="s">
        <v>602</v>
      </c>
      <c r="F2076" t="s">
        <v>616</v>
      </c>
      <c r="G2076" t="s">
        <v>617</v>
      </c>
      <c r="H2076" t="s">
        <v>10428</v>
      </c>
      <c r="I2076">
        <v>7.3602840551836371E-3</v>
      </c>
      <c r="J2076">
        <v>81111</v>
      </c>
      <c r="K2076">
        <v>1.442516793118446E-2</v>
      </c>
      <c r="L2076">
        <v>41386</v>
      </c>
      <c r="M2076">
        <v>597</v>
      </c>
      <c r="N2076">
        <v>3.85E-2</v>
      </c>
      <c r="O2076">
        <v>18</v>
      </c>
    </row>
    <row r="2077" spans="1:16" x14ac:dyDescent="0.25">
      <c r="A2077" t="s">
        <v>564</v>
      </c>
      <c r="B2077" t="s">
        <v>30</v>
      </c>
      <c r="C2077" t="s">
        <v>390</v>
      </c>
      <c r="D2077" t="s">
        <v>76</v>
      </c>
      <c r="E2077" t="s">
        <v>592</v>
      </c>
      <c r="F2077" t="s">
        <v>803</v>
      </c>
      <c r="G2077" t="s">
        <v>804</v>
      </c>
      <c r="H2077" t="s">
        <v>10435</v>
      </c>
      <c r="I2077">
        <v>6.8917902627263876E-3</v>
      </c>
      <c r="J2077">
        <v>81111</v>
      </c>
      <c r="K2077">
        <v>1.350698303774223E-2</v>
      </c>
      <c r="L2077">
        <v>41386</v>
      </c>
      <c r="M2077">
        <v>559</v>
      </c>
      <c r="N2077">
        <v>3.5700000000000003E-2</v>
      </c>
      <c r="O2077">
        <v>19</v>
      </c>
    </row>
    <row r="2078" spans="1:16" x14ac:dyDescent="0.25">
      <c r="A2078" t="s">
        <v>564</v>
      </c>
      <c r="B2078" t="s">
        <v>30</v>
      </c>
      <c r="C2078" t="s">
        <v>390</v>
      </c>
      <c r="D2078" t="s">
        <v>76</v>
      </c>
      <c r="E2078" t="s">
        <v>346</v>
      </c>
      <c r="F2078" t="s">
        <v>78</v>
      </c>
      <c r="G2078" t="s">
        <v>584</v>
      </c>
      <c r="H2078" t="s">
        <v>10431</v>
      </c>
      <c r="I2078">
        <v>6.4726116063172686E-3</v>
      </c>
      <c r="J2078">
        <v>81111</v>
      </c>
      <c r="K2078">
        <v>1.268544918571498E-2</v>
      </c>
      <c r="L2078">
        <v>41386</v>
      </c>
      <c r="M2078">
        <v>525</v>
      </c>
      <c r="N2078">
        <v>4.7500000000000001E-2</v>
      </c>
      <c r="O2078">
        <v>20</v>
      </c>
    </row>
    <row r="2079" spans="1:16" x14ac:dyDescent="0.25">
      <c r="A2079" t="s">
        <v>564</v>
      </c>
      <c r="B2079" t="s">
        <v>30</v>
      </c>
      <c r="C2079" t="s">
        <v>390</v>
      </c>
      <c r="D2079" t="s">
        <v>76</v>
      </c>
      <c r="E2079" t="s">
        <v>606</v>
      </c>
      <c r="F2079" t="s">
        <v>78</v>
      </c>
      <c r="G2079" t="s">
        <v>607</v>
      </c>
      <c r="H2079" t="s">
        <v>10423</v>
      </c>
      <c r="I2079">
        <v>6.3246661981728744E-3</v>
      </c>
      <c r="J2079">
        <v>81111</v>
      </c>
      <c r="K2079">
        <v>1.2395496061470061E-2</v>
      </c>
      <c r="L2079">
        <v>41386</v>
      </c>
      <c r="M2079">
        <v>513</v>
      </c>
      <c r="N2079">
        <v>4.6699999999999998E-2</v>
      </c>
      <c r="O2079">
        <v>21</v>
      </c>
    </row>
    <row r="2080" spans="1:16" x14ac:dyDescent="0.25">
      <c r="A2080" t="s">
        <v>564</v>
      </c>
      <c r="B2080" t="s">
        <v>30</v>
      </c>
      <c r="C2080" t="s">
        <v>390</v>
      </c>
      <c r="D2080" t="s">
        <v>76</v>
      </c>
      <c r="E2080" t="s">
        <v>592</v>
      </c>
      <c r="F2080" t="s">
        <v>811</v>
      </c>
      <c r="G2080" t="s">
        <v>812</v>
      </c>
      <c r="H2080" t="s">
        <v>10436</v>
      </c>
      <c r="I2080">
        <v>5.9671314618239199E-3</v>
      </c>
      <c r="J2080">
        <v>81111</v>
      </c>
      <c r="K2080">
        <v>1.169477601121152E-2</v>
      </c>
      <c r="L2080">
        <v>41386</v>
      </c>
      <c r="M2080">
        <v>484</v>
      </c>
      <c r="N2080">
        <v>5.3600000000000002E-2</v>
      </c>
      <c r="O2080">
        <v>22</v>
      </c>
    </row>
    <row r="2081" spans="1:15" x14ac:dyDescent="0.25">
      <c r="A2081" t="s">
        <v>564</v>
      </c>
      <c r="B2081" t="s">
        <v>30</v>
      </c>
      <c r="C2081" t="s">
        <v>390</v>
      </c>
      <c r="D2081" t="s">
        <v>76</v>
      </c>
      <c r="E2081" t="s">
        <v>594</v>
      </c>
      <c r="F2081" t="s">
        <v>78</v>
      </c>
      <c r="G2081" t="s">
        <v>595</v>
      </c>
      <c r="H2081" t="s">
        <v>10437</v>
      </c>
      <c r="I2081">
        <v>5.4863088853546373E-3</v>
      </c>
      <c r="J2081">
        <v>81111</v>
      </c>
      <c r="K2081">
        <v>1.075242835741555E-2</v>
      </c>
      <c r="L2081">
        <v>41386</v>
      </c>
      <c r="M2081">
        <v>445</v>
      </c>
      <c r="N2081">
        <v>6.0600000000000001E-2</v>
      </c>
      <c r="O2081">
        <v>23</v>
      </c>
    </row>
    <row r="2082" spans="1:15" x14ac:dyDescent="0.25">
      <c r="A2082" t="s">
        <v>564</v>
      </c>
      <c r="B2082" t="s">
        <v>30</v>
      </c>
      <c r="C2082" t="s">
        <v>390</v>
      </c>
      <c r="D2082" t="s">
        <v>76</v>
      </c>
      <c r="E2082" t="s">
        <v>592</v>
      </c>
      <c r="F2082" t="s">
        <v>624</v>
      </c>
      <c r="G2082" t="s">
        <v>625</v>
      </c>
      <c r="H2082" t="s">
        <v>10427</v>
      </c>
      <c r="I2082">
        <v>5.2027468530778812E-3</v>
      </c>
      <c r="J2082">
        <v>81111</v>
      </c>
      <c r="K2082">
        <v>1.0196684869279471E-2</v>
      </c>
      <c r="L2082">
        <v>41386</v>
      </c>
      <c r="M2082">
        <v>422</v>
      </c>
      <c r="N2082">
        <v>9.4000000000000004E-3</v>
      </c>
      <c r="O2082">
        <v>24</v>
      </c>
    </row>
    <row r="2083" spans="1:15" x14ac:dyDescent="0.25">
      <c r="A2083" t="s">
        <v>564</v>
      </c>
      <c r="B2083" t="s">
        <v>30</v>
      </c>
      <c r="C2083" t="s">
        <v>390</v>
      </c>
      <c r="D2083" t="s">
        <v>76</v>
      </c>
      <c r="E2083" t="s">
        <v>600</v>
      </c>
      <c r="F2083" t="s">
        <v>612</v>
      </c>
      <c r="G2083" t="s">
        <v>613</v>
      </c>
      <c r="H2083" t="s">
        <v>10430</v>
      </c>
      <c r="I2083">
        <v>4.9561711728372234E-3</v>
      </c>
      <c r="J2083">
        <v>81111</v>
      </c>
      <c r="K2083">
        <v>9.7134296622046097E-3</v>
      </c>
      <c r="L2083">
        <v>41386</v>
      </c>
      <c r="M2083">
        <v>402</v>
      </c>
      <c r="N2083">
        <v>7.4499999999999997E-2</v>
      </c>
      <c r="O2083">
        <v>25</v>
      </c>
    </row>
    <row r="2084" spans="1:15" x14ac:dyDescent="0.25">
      <c r="A2084" t="s">
        <v>564</v>
      </c>
      <c r="B2084" t="s">
        <v>30</v>
      </c>
      <c r="C2084" t="s">
        <v>390</v>
      </c>
      <c r="D2084" t="s">
        <v>76</v>
      </c>
      <c r="E2084" t="s">
        <v>598</v>
      </c>
      <c r="F2084" t="s">
        <v>78</v>
      </c>
      <c r="G2084" t="s">
        <v>599</v>
      </c>
      <c r="H2084" t="s">
        <v>10442</v>
      </c>
      <c r="I2084">
        <v>4.8698696847529928E-3</v>
      </c>
      <c r="J2084">
        <v>81111</v>
      </c>
      <c r="K2084">
        <v>9.5442903397284107E-3</v>
      </c>
      <c r="L2084">
        <v>41386</v>
      </c>
      <c r="M2084">
        <v>395</v>
      </c>
      <c r="N2084">
        <v>7.6E-3</v>
      </c>
      <c r="O2084">
        <v>26</v>
      </c>
    </row>
    <row r="2085" spans="1:15" x14ac:dyDescent="0.25">
      <c r="A2085" t="s">
        <v>564</v>
      </c>
      <c r="B2085" t="s">
        <v>30</v>
      </c>
      <c r="C2085" t="s">
        <v>390</v>
      </c>
      <c r="D2085" t="s">
        <v>76</v>
      </c>
      <c r="E2085" t="s">
        <v>600</v>
      </c>
      <c r="F2085" t="s">
        <v>614</v>
      </c>
      <c r="G2085" t="s">
        <v>615</v>
      </c>
      <c r="H2085" t="s">
        <v>10434</v>
      </c>
      <c r="I2085">
        <v>4.1301426440310193E-3</v>
      </c>
      <c r="J2085">
        <v>81111</v>
      </c>
      <c r="K2085">
        <v>8.094524718503842E-3</v>
      </c>
      <c r="L2085">
        <v>41386</v>
      </c>
      <c r="M2085">
        <v>335</v>
      </c>
      <c r="N2085">
        <v>2.6800000000000001E-2</v>
      </c>
      <c r="O2085">
        <v>27</v>
      </c>
    </row>
    <row r="2086" spans="1:15" x14ac:dyDescent="0.25">
      <c r="A2086" t="s">
        <v>564</v>
      </c>
      <c r="B2086" t="s">
        <v>30</v>
      </c>
      <c r="C2086" t="s">
        <v>390</v>
      </c>
      <c r="D2086" t="s">
        <v>76</v>
      </c>
      <c r="E2086" t="s">
        <v>634</v>
      </c>
      <c r="F2086" t="s">
        <v>78</v>
      </c>
      <c r="G2086" t="s">
        <v>635</v>
      </c>
      <c r="H2086" t="s">
        <v>10429</v>
      </c>
      <c r="I2086">
        <v>3.057538434984157E-3</v>
      </c>
      <c r="J2086">
        <v>81111</v>
      </c>
      <c r="K2086">
        <v>5.9923645677282169E-3</v>
      </c>
      <c r="L2086">
        <v>41386</v>
      </c>
      <c r="M2086">
        <v>248</v>
      </c>
      <c r="N2086">
        <v>2.81E-2</v>
      </c>
      <c r="O2086">
        <v>28</v>
      </c>
    </row>
    <row r="2087" spans="1:15" x14ac:dyDescent="0.25">
      <c r="A2087" t="s">
        <v>564</v>
      </c>
      <c r="B2087" t="s">
        <v>30</v>
      </c>
      <c r="C2087" t="s">
        <v>390</v>
      </c>
      <c r="D2087" t="s">
        <v>76</v>
      </c>
      <c r="E2087" t="s">
        <v>644</v>
      </c>
      <c r="F2087" t="s">
        <v>78</v>
      </c>
      <c r="G2087" t="s">
        <v>645</v>
      </c>
      <c r="H2087" t="s">
        <v>10444</v>
      </c>
      <c r="I2087">
        <v>2.798633970731467E-3</v>
      </c>
      <c r="J2087">
        <v>81111</v>
      </c>
      <c r="K2087">
        <v>5.4849466002996183E-3</v>
      </c>
      <c r="L2087">
        <v>41386</v>
      </c>
      <c r="M2087">
        <v>227</v>
      </c>
      <c r="N2087">
        <v>1.32E-2</v>
      </c>
      <c r="O2087">
        <v>29</v>
      </c>
    </row>
    <row r="2088" spans="1:15" x14ac:dyDescent="0.25">
      <c r="A2088" t="s">
        <v>564</v>
      </c>
      <c r="B2088" t="s">
        <v>30</v>
      </c>
      <c r="C2088" t="s">
        <v>390</v>
      </c>
      <c r="D2088" t="s">
        <v>76</v>
      </c>
      <c r="E2088" t="s">
        <v>626</v>
      </c>
      <c r="F2088" t="s">
        <v>78</v>
      </c>
      <c r="G2088" t="s">
        <v>627</v>
      </c>
      <c r="H2088" t="s">
        <v>10438</v>
      </c>
      <c r="I2088">
        <v>2.4780855864186121E-3</v>
      </c>
      <c r="J2088">
        <v>81111</v>
      </c>
      <c r="K2088">
        <v>4.8567148311023049E-3</v>
      </c>
      <c r="L2088">
        <v>41386</v>
      </c>
      <c r="M2088">
        <v>201</v>
      </c>
      <c r="N2088">
        <v>5.45E-2</v>
      </c>
      <c r="O2088">
        <v>30</v>
      </c>
    </row>
    <row r="2089" spans="1:15" x14ac:dyDescent="0.25">
      <c r="A2089" t="s">
        <v>564</v>
      </c>
      <c r="B2089" t="s">
        <v>30</v>
      </c>
      <c r="C2089" t="s">
        <v>390</v>
      </c>
      <c r="D2089" t="s">
        <v>76</v>
      </c>
      <c r="E2089" t="s">
        <v>602</v>
      </c>
      <c r="F2089" t="s">
        <v>628</v>
      </c>
      <c r="G2089" t="s">
        <v>629</v>
      </c>
      <c r="H2089" t="s">
        <v>10448</v>
      </c>
      <c r="I2089">
        <v>2.1452084180937228E-3</v>
      </c>
      <c r="J2089">
        <v>81111</v>
      </c>
      <c r="K2089">
        <v>4.2043203015512494E-3</v>
      </c>
      <c r="L2089">
        <v>41386</v>
      </c>
      <c r="M2089">
        <v>174</v>
      </c>
      <c r="N2089">
        <v>0.1086</v>
      </c>
      <c r="O2089">
        <v>31</v>
      </c>
    </row>
    <row r="2090" spans="1:15" x14ac:dyDescent="0.25">
      <c r="A2090" t="s">
        <v>564</v>
      </c>
      <c r="B2090" t="s">
        <v>30</v>
      </c>
      <c r="C2090" t="s">
        <v>390</v>
      </c>
      <c r="D2090" t="s">
        <v>76</v>
      </c>
      <c r="E2090" t="s">
        <v>620</v>
      </c>
      <c r="F2090" t="s">
        <v>78</v>
      </c>
      <c r="G2090" t="s">
        <v>621</v>
      </c>
      <c r="H2090" t="s">
        <v>10441</v>
      </c>
      <c r="I2090">
        <v>1.935619089889164E-3</v>
      </c>
      <c r="J2090">
        <v>81111</v>
      </c>
      <c r="K2090">
        <v>3.7935533755376208E-3</v>
      </c>
      <c r="L2090">
        <v>41386</v>
      </c>
      <c r="M2090">
        <v>157</v>
      </c>
      <c r="N2090">
        <v>7.5999999999999998E-2</v>
      </c>
      <c r="O2090">
        <v>32</v>
      </c>
    </row>
    <row r="2091" spans="1:15" x14ac:dyDescent="0.25">
      <c r="A2091" t="s">
        <v>564</v>
      </c>
      <c r="B2091" t="s">
        <v>30</v>
      </c>
      <c r="C2091" t="s">
        <v>390</v>
      </c>
      <c r="D2091" t="s">
        <v>76</v>
      </c>
      <c r="E2091" t="s">
        <v>610</v>
      </c>
      <c r="F2091" t="s">
        <v>78</v>
      </c>
      <c r="G2091" t="s">
        <v>611</v>
      </c>
      <c r="H2091" t="s">
        <v>10440</v>
      </c>
      <c r="I2091">
        <v>1.8493176018049341E-3</v>
      </c>
      <c r="J2091">
        <v>81111</v>
      </c>
      <c r="K2091">
        <v>3.6244140530614219E-3</v>
      </c>
      <c r="L2091">
        <v>41386</v>
      </c>
      <c r="M2091">
        <v>150</v>
      </c>
      <c r="N2091">
        <v>0.20530000000000001</v>
      </c>
      <c r="O2091">
        <v>33</v>
      </c>
    </row>
    <row r="2092" spans="1:15" x14ac:dyDescent="0.25">
      <c r="A2092" t="s">
        <v>564</v>
      </c>
      <c r="B2092" t="s">
        <v>30</v>
      </c>
      <c r="C2092" t="s">
        <v>390</v>
      </c>
      <c r="D2092" t="s">
        <v>76</v>
      </c>
      <c r="E2092" t="s">
        <v>602</v>
      </c>
      <c r="F2092" t="s">
        <v>640</v>
      </c>
      <c r="G2092" t="s">
        <v>641</v>
      </c>
      <c r="H2092" t="s">
        <v>10450</v>
      </c>
      <c r="I2092">
        <v>1.689043409648506E-3</v>
      </c>
      <c r="J2092">
        <v>81111</v>
      </c>
      <c r="K2092">
        <v>3.3102981684627652E-3</v>
      </c>
      <c r="L2092">
        <v>41386</v>
      </c>
      <c r="M2092">
        <v>137</v>
      </c>
      <c r="O2092">
        <v>34</v>
      </c>
    </row>
    <row r="2093" spans="1:15" x14ac:dyDescent="0.25">
      <c r="A2093" t="s">
        <v>564</v>
      </c>
      <c r="B2093" t="s">
        <v>30</v>
      </c>
      <c r="C2093" t="s">
        <v>390</v>
      </c>
      <c r="D2093" t="s">
        <v>76</v>
      </c>
      <c r="E2093" t="s">
        <v>634</v>
      </c>
      <c r="F2093" t="s">
        <v>638</v>
      </c>
      <c r="G2093" t="s">
        <v>639</v>
      </c>
      <c r="H2093" t="s">
        <v>10449</v>
      </c>
      <c r="I2093">
        <v>1.541098001504112E-3</v>
      </c>
      <c r="J2093">
        <v>81111</v>
      </c>
      <c r="K2093">
        <v>3.020345044217851E-3</v>
      </c>
      <c r="L2093">
        <v>41386</v>
      </c>
      <c r="M2093">
        <v>125</v>
      </c>
      <c r="N2093">
        <v>4.7600000000000003E-2</v>
      </c>
      <c r="O2093">
        <v>35</v>
      </c>
    </row>
    <row r="2094" spans="1:15" x14ac:dyDescent="0.25">
      <c r="A2094" t="s">
        <v>564</v>
      </c>
      <c r="B2094" t="s">
        <v>30</v>
      </c>
      <c r="C2094" t="s">
        <v>390</v>
      </c>
      <c r="D2094" t="s">
        <v>76</v>
      </c>
      <c r="E2094" t="s">
        <v>634</v>
      </c>
      <c r="F2094" t="s">
        <v>658</v>
      </c>
      <c r="G2094" t="s">
        <v>659</v>
      </c>
      <c r="H2094" t="s">
        <v>10432</v>
      </c>
      <c r="I2094">
        <v>1.504111649468013E-3</v>
      </c>
      <c r="J2094">
        <v>81111</v>
      </c>
      <c r="K2094">
        <v>2.947856763156623E-3</v>
      </c>
      <c r="L2094">
        <v>41386</v>
      </c>
      <c r="M2094">
        <v>122</v>
      </c>
      <c r="N2094">
        <v>8.0999999999999996E-3</v>
      </c>
      <c r="O2094">
        <v>36</v>
      </c>
    </row>
    <row r="2095" spans="1:15" x14ac:dyDescent="0.25">
      <c r="A2095" t="s">
        <v>564</v>
      </c>
      <c r="B2095" t="s">
        <v>30</v>
      </c>
      <c r="C2095" t="s">
        <v>390</v>
      </c>
      <c r="D2095" t="s">
        <v>76</v>
      </c>
      <c r="E2095" t="s">
        <v>8368</v>
      </c>
      <c r="F2095" t="s">
        <v>78</v>
      </c>
      <c r="G2095" t="s">
        <v>8369</v>
      </c>
      <c r="H2095" t="s">
        <v>10452</v>
      </c>
      <c r="I2095">
        <v>1.2698647532393881E-3</v>
      </c>
      <c r="J2095">
        <v>81111</v>
      </c>
      <c r="K2095">
        <v>2.488764316435509E-3</v>
      </c>
      <c r="L2095">
        <v>41386</v>
      </c>
      <c r="M2095">
        <v>103</v>
      </c>
      <c r="N2095">
        <v>2.8799999999999999E-2</v>
      </c>
      <c r="O2095">
        <v>37</v>
      </c>
    </row>
    <row r="2096" spans="1:15" x14ac:dyDescent="0.25">
      <c r="A2096" t="s">
        <v>564</v>
      </c>
      <c r="B2096" t="s">
        <v>30</v>
      </c>
      <c r="C2096" t="s">
        <v>390</v>
      </c>
      <c r="D2096" t="s">
        <v>76</v>
      </c>
      <c r="E2096" t="s">
        <v>81</v>
      </c>
      <c r="F2096" t="s">
        <v>622</v>
      </c>
      <c r="G2096" t="s">
        <v>623</v>
      </c>
      <c r="H2096" t="s">
        <v>10447</v>
      </c>
      <c r="I2096">
        <v>1.1712344811431251E-3</v>
      </c>
      <c r="J2096">
        <v>81111</v>
      </c>
      <c r="K2096">
        <v>2.295462233605567E-3</v>
      </c>
      <c r="L2096">
        <v>41386</v>
      </c>
      <c r="M2096">
        <v>95</v>
      </c>
      <c r="N2096">
        <v>1.04E-2</v>
      </c>
      <c r="O2096">
        <v>38</v>
      </c>
    </row>
    <row r="2097" spans="1:15" x14ac:dyDescent="0.25">
      <c r="A2097" t="s">
        <v>564</v>
      </c>
      <c r="B2097" t="s">
        <v>30</v>
      </c>
      <c r="C2097" t="s">
        <v>390</v>
      </c>
      <c r="D2097" t="s">
        <v>76</v>
      </c>
      <c r="E2097" t="s">
        <v>618</v>
      </c>
      <c r="F2097" t="s">
        <v>78</v>
      </c>
      <c r="G2097" t="s">
        <v>619</v>
      </c>
      <c r="H2097" t="s">
        <v>10445</v>
      </c>
      <c r="I2097">
        <v>1.0479466410227959E-3</v>
      </c>
      <c r="J2097">
        <v>81111</v>
      </c>
      <c r="K2097">
        <v>2.0538346300681392E-3</v>
      </c>
      <c r="L2097">
        <v>41386</v>
      </c>
      <c r="M2097">
        <v>85</v>
      </c>
      <c r="N2097">
        <v>8.14E-2</v>
      </c>
      <c r="O2097">
        <v>39</v>
      </c>
    </row>
    <row r="2098" spans="1:15" x14ac:dyDescent="0.25">
      <c r="A2098" t="s">
        <v>564</v>
      </c>
      <c r="B2098" t="s">
        <v>30</v>
      </c>
      <c r="C2098" t="s">
        <v>390</v>
      </c>
      <c r="D2098" t="s">
        <v>76</v>
      </c>
      <c r="E2098" t="s">
        <v>632</v>
      </c>
      <c r="F2098" t="s">
        <v>78</v>
      </c>
      <c r="G2098" t="s">
        <v>633</v>
      </c>
      <c r="H2098" t="s">
        <v>10446</v>
      </c>
      <c r="I2098">
        <v>7.0274068868587491E-4</v>
      </c>
      <c r="J2098">
        <v>81111</v>
      </c>
      <c r="K2098">
        <v>1.3772773401633401E-3</v>
      </c>
      <c r="L2098">
        <v>41386</v>
      </c>
      <c r="M2098">
        <v>57</v>
      </c>
      <c r="N2098">
        <v>5.1700000000000003E-2</v>
      </c>
      <c r="O2098">
        <v>40</v>
      </c>
    </row>
    <row r="2099" spans="1:15" x14ac:dyDescent="0.25">
      <c r="A2099" t="s">
        <v>564</v>
      </c>
      <c r="B2099" t="s">
        <v>30</v>
      </c>
      <c r="C2099" t="s">
        <v>390</v>
      </c>
      <c r="D2099" t="s">
        <v>76</v>
      </c>
      <c r="E2099" t="s">
        <v>602</v>
      </c>
      <c r="F2099" t="s">
        <v>648</v>
      </c>
      <c r="G2099" t="s">
        <v>649</v>
      </c>
      <c r="H2099" t="s">
        <v>10453</v>
      </c>
      <c r="I2099">
        <v>5.547952805414802E-4</v>
      </c>
      <c r="J2099">
        <v>81111</v>
      </c>
      <c r="K2099">
        <v>1.087324215918427E-3</v>
      </c>
      <c r="L2099">
        <v>41386</v>
      </c>
      <c r="M2099">
        <v>45</v>
      </c>
      <c r="N2099">
        <v>8.6999999999999994E-2</v>
      </c>
      <c r="O2099">
        <v>41</v>
      </c>
    </row>
    <row r="2100" spans="1:15" x14ac:dyDescent="0.25">
      <c r="A2100" t="s">
        <v>564</v>
      </c>
      <c r="B2100" t="s">
        <v>30</v>
      </c>
      <c r="C2100" t="s">
        <v>390</v>
      </c>
      <c r="D2100" t="s">
        <v>76</v>
      </c>
      <c r="E2100" t="s">
        <v>602</v>
      </c>
      <c r="F2100" t="s">
        <v>650</v>
      </c>
      <c r="G2100" t="s">
        <v>651</v>
      </c>
      <c r="H2100" t="s">
        <v>10451</v>
      </c>
      <c r="I2100">
        <v>4.4383622443318408E-4</v>
      </c>
      <c r="J2100">
        <v>81111</v>
      </c>
      <c r="K2100">
        <v>8.6985937273474125E-4</v>
      </c>
      <c r="L2100">
        <v>41386</v>
      </c>
      <c r="M2100">
        <v>36</v>
      </c>
      <c r="N2100">
        <v>0.1351</v>
      </c>
      <c r="O2100">
        <v>42</v>
      </c>
    </row>
    <row r="2101" spans="1:15" x14ac:dyDescent="0.25">
      <c r="A2101" t="s">
        <v>564</v>
      </c>
      <c r="B2101" t="s">
        <v>30</v>
      </c>
      <c r="C2101" t="s">
        <v>390</v>
      </c>
      <c r="D2101" t="s">
        <v>76</v>
      </c>
      <c r="E2101" t="s">
        <v>602</v>
      </c>
      <c r="F2101" t="s">
        <v>670</v>
      </c>
      <c r="G2101" t="s">
        <v>671</v>
      </c>
      <c r="H2101" t="s">
        <v>10457</v>
      </c>
      <c r="I2101">
        <v>4.1917865640911839E-4</v>
      </c>
      <c r="J2101">
        <v>81111</v>
      </c>
      <c r="K2101">
        <v>8.2153385202725555E-4</v>
      </c>
      <c r="L2101">
        <v>41386</v>
      </c>
      <c r="M2101">
        <v>34</v>
      </c>
      <c r="N2101">
        <v>5.7200000000000001E-2</v>
      </c>
      <c r="O2101">
        <v>43</v>
      </c>
    </row>
    <row r="2102" spans="1:15" x14ac:dyDescent="0.25">
      <c r="A2102" t="s">
        <v>564</v>
      </c>
      <c r="B2102" t="s">
        <v>30</v>
      </c>
      <c r="C2102" t="s">
        <v>390</v>
      </c>
      <c r="D2102" t="s">
        <v>76</v>
      </c>
      <c r="E2102" t="s">
        <v>630</v>
      </c>
      <c r="F2102" t="s">
        <v>78</v>
      </c>
      <c r="G2102" t="s">
        <v>631</v>
      </c>
      <c r="H2102" t="s">
        <v>10454</v>
      </c>
      <c r="I2102">
        <v>3.4520595233692098E-4</v>
      </c>
      <c r="J2102">
        <v>81111</v>
      </c>
      <c r="K2102">
        <v>6.7655728990479867E-4</v>
      </c>
      <c r="L2102">
        <v>41386</v>
      </c>
      <c r="M2102">
        <v>28</v>
      </c>
      <c r="N2102">
        <v>0.13789999999999999</v>
      </c>
      <c r="O2102">
        <v>44</v>
      </c>
    </row>
    <row r="2103" spans="1:15" x14ac:dyDescent="0.25">
      <c r="A2103" t="s">
        <v>564</v>
      </c>
      <c r="B2103" t="s">
        <v>30</v>
      </c>
      <c r="C2103" t="s">
        <v>390</v>
      </c>
      <c r="D2103" t="s">
        <v>76</v>
      </c>
      <c r="E2103" t="s">
        <v>587</v>
      </c>
      <c r="F2103" t="s">
        <v>78</v>
      </c>
      <c r="G2103" t="s">
        <v>588</v>
      </c>
      <c r="H2103" t="s">
        <v>10463</v>
      </c>
      <c r="I2103">
        <v>3.2054838431285517E-4</v>
      </c>
      <c r="J2103">
        <v>81111</v>
      </c>
      <c r="K2103">
        <v>6.2823176919731309E-4</v>
      </c>
      <c r="L2103">
        <v>41386</v>
      </c>
      <c r="M2103">
        <v>26</v>
      </c>
      <c r="O2103">
        <v>45</v>
      </c>
    </row>
    <row r="2104" spans="1:15" x14ac:dyDescent="0.25">
      <c r="A2104" t="s">
        <v>564</v>
      </c>
      <c r="B2104" t="s">
        <v>30</v>
      </c>
      <c r="C2104" t="s">
        <v>390</v>
      </c>
      <c r="D2104" t="s">
        <v>76</v>
      </c>
      <c r="E2104" t="s">
        <v>642</v>
      </c>
      <c r="F2104" t="s">
        <v>78</v>
      </c>
      <c r="G2104" t="s">
        <v>643</v>
      </c>
      <c r="H2104" t="s">
        <v>10458</v>
      </c>
      <c r="I2104">
        <v>2.9589081628878943E-4</v>
      </c>
      <c r="J2104">
        <v>81111</v>
      </c>
      <c r="K2104">
        <v>5.799062484898275E-4</v>
      </c>
      <c r="L2104">
        <v>41386</v>
      </c>
      <c r="M2104">
        <v>24</v>
      </c>
      <c r="N2104">
        <v>0.04</v>
      </c>
      <c r="O2104">
        <v>46</v>
      </c>
    </row>
    <row r="2105" spans="1:15" x14ac:dyDescent="0.25">
      <c r="A2105" t="s">
        <v>564</v>
      </c>
      <c r="B2105" t="s">
        <v>30</v>
      </c>
      <c r="C2105" t="s">
        <v>390</v>
      </c>
      <c r="D2105" t="s">
        <v>76</v>
      </c>
      <c r="E2105" t="s">
        <v>80</v>
      </c>
      <c r="F2105" t="s">
        <v>8371</v>
      </c>
      <c r="G2105" t="s">
        <v>8372</v>
      </c>
      <c r="H2105" t="s">
        <v>10464</v>
      </c>
      <c r="I2105">
        <v>2.4657568024065793E-4</v>
      </c>
      <c r="J2105">
        <v>81111</v>
      </c>
      <c r="K2105">
        <v>4.8325520707485621E-4</v>
      </c>
      <c r="L2105">
        <v>41386</v>
      </c>
      <c r="M2105">
        <v>20</v>
      </c>
      <c r="O2105">
        <v>47</v>
      </c>
    </row>
    <row r="2106" spans="1:15" x14ac:dyDescent="0.25">
      <c r="A2106" t="s">
        <v>564</v>
      </c>
      <c r="B2106" t="s">
        <v>30</v>
      </c>
      <c r="C2106" t="s">
        <v>390</v>
      </c>
      <c r="D2106" t="s">
        <v>76</v>
      </c>
      <c r="E2106" t="s">
        <v>654</v>
      </c>
      <c r="F2106" t="s">
        <v>78</v>
      </c>
      <c r="G2106" t="s">
        <v>655</v>
      </c>
      <c r="H2106" t="s">
        <v>10459</v>
      </c>
      <c r="I2106">
        <v>2.0958932820455919E-4</v>
      </c>
      <c r="J2106">
        <v>81111</v>
      </c>
      <c r="K2106">
        <v>4.1076692601362777E-4</v>
      </c>
      <c r="L2106">
        <v>41386</v>
      </c>
      <c r="M2106">
        <v>17</v>
      </c>
      <c r="O2106">
        <v>48</v>
      </c>
    </row>
    <row r="2107" spans="1:15" x14ac:dyDescent="0.25">
      <c r="A2107" t="s">
        <v>564</v>
      </c>
      <c r="B2107" t="s">
        <v>30</v>
      </c>
      <c r="C2107" t="s">
        <v>390</v>
      </c>
      <c r="D2107" t="s">
        <v>76</v>
      </c>
      <c r="E2107" t="s">
        <v>81</v>
      </c>
      <c r="F2107" t="s">
        <v>646</v>
      </c>
      <c r="G2107" t="s">
        <v>647</v>
      </c>
      <c r="H2107" t="s">
        <v>10462</v>
      </c>
      <c r="I2107">
        <v>1.6027419215642759E-4</v>
      </c>
      <c r="J2107">
        <v>81111</v>
      </c>
      <c r="K2107">
        <v>3.1411588459865649E-4</v>
      </c>
      <c r="L2107">
        <v>41386</v>
      </c>
      <c r="M2107">
        <v>13</v>
      </c>
      <c r="O2107">
        <v>49</v>
      </c>
    </row>
    <row r="2108" spans="1:15" x14ac:dyDescent="0.25">
      <c r="A2108" t="s">
        <v>564</v>
      </c>
      <c r="B2108" t="s">
        <v>30</v>
      </c>
      <c r="C2108" t="s">
        <v>390</v>
      </c>
      <c r="D2108" t="s">
        <v>76</v>
      </c>
      <c r="E2108" t="s">
        <v>694</v>
      </c>
      <c r="F2108" t="s">
        <v>78</v>
      </c>
      <c r="G2108" t="s">
        <v>695</v>
      </c>
      <c r="H2108" t="s">
        <v>10465</v>
      </c>
      <c r="I2108">
        <v>1.6027419215642759E-4</v>
      </c>
      <c r="J2108">
        <v>81111</v>
      </c>
      <c r="K2108">
        <v>3.1411588459865649E-4</v>
      </c>
      <c r="L2108">
        <v>41386</v>
      </c>
      <c r="M2108">
        <v>13</v>
      </c>
      <c r="N2108">
        <v>0.15379999999999999</v>
      </c>
      <c r="O2108">
        <v>50</v>
      </c>
    </row>
    <row r="2109" spans="1:15" x14ac:dyDescent="0.25">
      <c r="A2109" t="s">
        <v>564</v>
      </c>
      <c r="B2109" t="s">
        <v>30</v>
      </c>
      <c r="C2109" t="s">
        <v>390</v>
      </c>
      <c r="D2109" t="s">
        <v>76</v>
      </c>
      <c r="E2109" t="s">
        <v>674</v>
      </c>
      <c r="F2109" t="s">
        <v>78</v>
      </c>
      <c r="G2109" t="s">
        <v>675</v>
      </c>
      <c r="H2109" t="s">
        <v>10456</v>
      </c>
      <c r="I2109">
        <v>1.4794540814439471E-4</v>
      </c>
      <c r="J2109">
        <v>81111</v>
      </c>
      <c r="K2109">
        <v>2.8995312424491369E-4</v>
      </c>
      <c r="L2109">
        <v>41386</v>
      </c>
      <c r="M2109">
        <v>12</v>
      </c>
      <c r="N2109">
        <v>8.3299999999999999E-2</v>
      </c>
      <c r="O2109">
        <v>51</v>
      </c>
    </row>
    <row r="2110" spans="1:15" x14ac:dyDescent="0.25">
      <c r="A2110" t="s">
        <v>564</v>
      </c>
      <c r="B2110" t="s">
        <v>30</v>
      </c>
      <c r="C2110" t="s">
        <v>390</v>
      </c>
      <c r="D2110" t="s">
        <v>76</v>
      </c>
      <c r="E2110" t="s">
        <v>602</v>
      </c>
      <c r="F2110" t="s">
        <v>652</v>
      </c>
      <c r="G2110" t="s">
        <v>653</v>
      </c>
      <c r="H2110" t="s">
        <v>10466</v>
      </c>
      <c r="I2110">
        <v>1.4794540814439471E-4</v>
      </c>
      <c r="J2110">
        <v>81111</v>
      </c>
      <c r="K2110">
        <v>2.8995312424491369E-4</v>
      </c>
      <c r="L2110">
        <v>41386</v>
      </c>
      <c r="M2110">
        <v>12</v>
      </c>
      <c r="O2110">
        <v>52</v>
      </c>
    </row>
    <row r="2111" spans="1:15" x14ac:dyDescent="0.25">
      <c r="A2111" t="s">
        <v>564</v>
      </c>
      <c r="B2111" t="s">
        <v>30</v>
      </c>
      <c r="C2111" t="s">
        <v>390</v>
      </c>
      <c r="D2111" t="s">
        <v>76</v>
      </c>
      <c r="E2111" t="s">
        <v>654</v>
      </c>
      <c r="F2111" t="s">
        <v>8392</v>
      </c>
      <c r="G2111" t="s">
        <v>8393</v>
      </c>
      <c r="H2111" t="s">
        <v>10467</v>
      </c>
      <c r="I2111">
        <v>1.1095905610829599E-4</v>
      </c>
      <c r="J2111">
        <v>81111</v>
      </c>
      <c r="K2111">
        <v>2.1746484318368531E-4</v>
      </c>
      <c r="L2111">
        <v>41386</v>
      </c>
      <c r="M2111">
        <v>9</v>
      </c>
      <c r="O2111">
        <v>53</v>
      </c>
    </row>
    <row r="2112" spans="1:15" x14ac:dyDescent="0.25">
      <c r="A2112" t="s">
        <v>564</v>
      </c>
      <c r="B2112" t="s">
        <v>30</v>
      </c>
      <c r="C2112" t="s">
        <v>390</v>
      </c>
      <c r="D2112" t="s">
        <v>76</v>
      </c>
      <c r="E2112" t="s">
        <v>676</v>
      </c>
      <c r="F2112" t="s">
        <v>78</v>
      </c>
      <c r="G2112" t="s">
        <v>677</v>
      </c>
      <c r="H2112" t="s">
        <v>10474</v>
      </c>
      <c r="I2112">
        <v>1.1095905610829599E-4</v>
      </c>
      <c r="J2112">
        <v>81111</v>
      </c>
      <c r="K2112">
        <v>2.1746484318368531E-4</v>
      </c>
      <c r="L2112">
        <v>41386</v>
      </c>
      <c r="M2112">
        <v>9</v>
      </c>
      <c r="N2112">
        <v>0.1111</v>
      </c>
      <c r="O2112">
        <v>54</v>
      </c>
    </row>
    <row r="2113" spans="1:15" x14ac:dyDescent="0.25">
      <c r="A2113" t="s">
        <v>564</v>
      </c>
      <c r="B2113" t="s">
        <v>30</v>
      </c>
      <c r="C2113" t="s">
        <v>390</v>
      </c>
      <c r="D2113" t="s">
        <v>76</v>
      </c>
      <c r="E2113" t="s">
        <v>668</v>
      </c>
      <c r="F2113" t="s">
        <v>78</v>
      </c>
      <c r="G2113" t="s">
        <v>669</v>
      </c>
      <c r="H2113" t="s">
        <v>10468</v>
      </c>
      <c r="I2113">
        <v>8.6301488084230258E-5</v>
      </c>
      <c r="J2113">
        <v>81111</v>
      </c>
      <c r="K2113">
        <v>1.691393224761997E-4</v>
      </c>
      <c r="L2113">
        <v>41386</v>
      </c>
      <c r="M2113">
        <v>7</v>
      </c>
      <c r="N2113">
        <v>0.14280000000000001</v>
      </c>
      <c r="O2113">
        <v>55</v>
      </c>
    </row>
    <row r="2114" spans="1:15" x14ac:dyDescent="0.25">
      <c r="A2114" t="s">
        <v>564</v>
      </c>
      <c r="B2114" t="s">
        <v>30</v>
      </c>
      <c r="C2114" t="s">
        <v>390</v>
      </c>
      <c r="D2114" t="s">
        <v>76</v>
      </c>
      <c r="E2114" t="s">
        <v>654</v>
      </c>
      <c r="F2114" t="s">
        <v>8388</v>
      </c>
      <c r="G2114" t="s">
        <v>8389</v>
      </c>
      <c r="H2114" t="s">
        <v>10475</v>
      </c>
      <c r="I2114">
        <v>8.6301488084230258E-5</v>
      </c>
      <c r="J2114">
        <v>81111</v>
      </c>
      <c r="K2114">
        <v>1.691393224761997E-4</v>
      </c>
      <c r="L2114">
        <v>41386</v>
      </c>
      <c r="M2114">
        <v>7</v>
      </c>
      <c r="O2114">
        <v>56</v>
      </c>
    </row>
    <row r="2115" spans="1:15" x14ac:dyDescent="0.25">
      <c r="A2115" t="s">
        <v>564</v>
      </c>
      <c r="B2115" t="s">
        <v>30</v>
      </c>
      <c r="C2115" t="s">
        <v>390</v>
      </c>
      <c r="D2115" t="s">
        <v>76</v>
      </c>
      <c r="E2115" t="s">
        <v>672</v>
      </c>
      <c r="F2115" t="s">
        <v>78</v>
      </c>
      <c r="G2115" t="s">
        <v>673</v>
      </c>
      <c r="H2115" t="s">
        <v>10473</v>
      </c>
      <c r="I2115">
        <v>8.6301488084230258E-5</v>
      </c>
      <c r="J2115">
        <v>81111</v>
      </c>
      <c r="K2115">
        <v>1.691393224761997E-4</v>
      </c>
      <c r="L2115">
        <v>41386</v>
      </c>
      <c r="M2115">
        <v>7</v>
      </c>
      <c r="O2115">
        <v>57</v>
      </c>
    </row>
    <row r="2116" spans="1:15" x14ac:dyDescent="0.25">
      <c r="A2116" t="s">
        <v>564</v>
      </c>
      <c r="B2116" t="s">
        <v>30</v>
      </c>
      <c r="C2116" t="s">
        <v>390</v>
      </c>
      <c r="D2116" t="s">
        <v>76</v>
      </c>
      <c r="E2116" t="s">
        <v>660</v>
      </c>
      <c r="F2116" t="s">
        <v>78</v>
      </c>
      <c r="G2116" t="s">
        <v>661</v>
      </c>
      <c r="H2116" t="s">
        <v>10472</v>
      </c>
      <c r="I2116">
        <v>4.9315136048131573E-5</v>
      </c>
      <c r="J2116">
        <v>81111</v>
      </c>
      <c r="K2116">
        <v>9.6651041414971245E-5</v>
      </c>
      <c r="L2116">
        <v>41386</v>
      </c>
      <c r="M2116">
        <v>4</v>
      </c>
      <c r="O2116">
        <v>58</v>
      </c>
    </row>
    <row r="2117" spans="1:15" x14ac:dyDescent="0.25">
      <c r="A2117" t="s">
        <v>564</v>
      </c>
      <c r="B2117" t="s">
        <v>30</v>
      </c>
      <c r="C2117" t="s">
        <v>390</v>
      </c>
      <c r="D2117" t="s">
        <v>76</v>
      </c>
      <c r="E2117" t="s">
        <v>654</v>
      </c>
      <c r="F2117" t="s">
        <v>8395</v>
      </c>
      <c r="G2117" t="s">
        <v>8396</v>
      </c>
      <c r="H2117" t="s">
        <v>10470</v>
      </c>
      <c r="I2117">
        <v>4.9315136048131573E-5</v>
      </c>
      <c r="J2117">
        <v>81111</v>
      </c>
      <c r="K2117">
        <v>9.6651041414971245E-5</v>
      </c>
      <c r="L2117">
        <v>41386</v>
      </c>
      <c r="M2117">
        <v>4</v>
      </c>
      <c r="O2117">
        <v>59</v>
      </c>
    </row>
    <row r="2118" spans="1:15" x14ac:dyDescent="0.25">
      <c r="A2118" t="s">
        <v>564</v>
      </c>
      <c r="B2118" t="s">
        <v>30</v>
      </c>
      <c r="C2118" t="s">
        <v>390</v>
      </c>
      <c r="D2118" t="s">
        <v>76</v>
      </c>
      <c r="E2118" t="s">
        <v>602</v>
      </c>
      <c r="F2118" t="s">
        <v>666</v>
      </c>
      <c r="G2118" t="s">
        <v>667</v>
      </c>
      <c r="H2118" t="s">
        <v>10485</v>
      </c>
      <c r="I2118">
        <v>2.465756802406579E-5</v>
      </c>
      <c r="J2118">
        <v>81111</v>
      </c>
      <c r="K2118">
        <v>4.8325520707485623E-5</v>
      </c>
      <c r="L2118">
        <v>41386</v>
      </c>
      <c r="M2118">
        <v>2</v>
      </c>
      <c r="O2118">
        <v>60</v>
      </c>
    </row>
    <row r="2119" spans="1:15" x14ac:dyDescent="0.25">
      <c r="A2119" t="s">
        <v>564</v>
      </c>
      <c r="B2119" t="s">
        <v>30</v>
      </c>
      <c r="C2119" t="s">
        <v>390</v>
      </c>
      <c r="D2119" t="s">
        <v>76</v>
      </c>
      <c r="E2119" t="s">
        <v>596</v>
      </c>
      <c r="F2119" t="s">
        <v>78</v>
      </c>
      <c r="G2119" t="s">
        <v>597</v>
      </c>
      <c r="H2119" t="s">
        <v>10439</v>
      </c>
      <c r="I2119">
        <v>2.465756802406579E-5</v>
      </c>
      <c r="J2119">
        <v>81111</v>
      </c>
      <c r="K2119">
        <v>4.8325520707485623E-5</v>
      </c>
      <c r="L2119">
        <v>41386</v>
      </c>
      <c r="M2119">
        <v>2</v>
      </c>
      <c r="O2119">
        <v>61</v>
      </c>
    </row>
    <row r="2120" spans="1:15" x14ac:dyDescent="0.25">
      <c r="A2120" t="s">
        <v>564</v>
      </c>
      <c r="B2120" t="s">
        <v>30</v>
      </c>
      <c r="C2120" t="s">
        <v>390</v>
      </c>
      <c r="D2120" t="s">
        <v>76</v>
      </c>
      <c r="E2120" t="s">
        <v>656</v>
      </c>
      <c r="F2120" t="s">
        <v>78</v>
      </c>
      <c r="G2120" t="s">
        <v>657</v>
      </c>
      <c r="H2120" t="s">
        <v>10476</v>
      </c>
      <c r="I2120">
        <v>2.465756802406579E-5</v>
      </c>
      <c r="J2120">
        <v>81111</v>
      </c>
      <c r="K2120">
        <v>4.8325520707485623E-5</v>
      </c>
      <c r="L2120">
        <v>41386</v>
      </c>
      <c r="M2120">
        <v>2</v>
      </c>
      <c r="O2120">
        <v>62</v>
      </c>
    </row>
    <row r="2121" spans="1:15" x14ac:dyDescent="0.25">
      <c r="A2121" t="s">
        <v>564</v>
      </c>
      <c r="B2121" t="s">
        <v>30</v>
      </c>
      <c r="C2121" t="s">
        <v>390</v>
      </c>
      <c r="D2121" t="s">
        <v>76</v>
      </c>
      <c r="E2121" t="s">
        <v>662</v>
      </c>
      <c r="F2121" t="s">
        <v>78</v>
      </c>
      <c r="G2121" t="s">
        <v>663</v>
      </c>
      <c r="H2121" t="s">
        <v>10478</v>
      </c>
      <c r="I2121">
        <v>2.465756802406579E-5</v>
      </c>
      <c r="J2121">
        <v>81111</v>
      </c>
      <c r="K2121">
        <v>4.8325520707485623E-5</v>
      </c>
      <c r="L2121">
        <v>41386</v>
      </c>
      <c r="M2121">
        <v>2</v>
      </c>
      <c r="O2121">
        <v>63</v>
      </c>
    </row>
    <row r="2122" spans="1:15" x14ac:dyDescent="0.25">
      <c r="A2122" t="s">
        <v>564</v>
      </c>
      <c r="B2122" t="s">
        <v>30</v>
      </c>
      <c r="C2122" t="s">
        <v>390</v>
      </c>
      <c r="D2122" t="s">
        <v>76</v>
      </c>
      <c r="E2122" t="s">
        <v>682</v>
      </c>
      <c r="F2122" t="s">
        <v>78</v>
      </c>
      <c r="G2122" t="s">
        <v>683</v>
      </c>
      <c r="H2122" t="s">
        <v>10469</v>
      </c>
      <c r="I2122">
        <v>2.465756802406579E-5</v>
      </c>
      <c r="J2122">
        <v>81111</v>
      </c>
      <c r="K2122">
        <v>4.8325520707485623E-5</v>
      </c>
      <c r="L2122">
        <v>41386</v>
      </c>
      <c r="M2122">
        <v>2</v>
      </c>
      <c r="N2122">
        <v>0.5</v>
      </c>
      <c r="O2122">
        <v>64</v>
      </c>
    </row>
    <row r="2123" spans="1:15" x14ac:dyDescent="0.25">
      <c r="A2123" t="s">
        <v>564</v>
      </c>
      <c r="B2123" t="s">
        <v>30</v>
      </c>
      <c r="C2123" t="s">
        <v>390</v>
      </c>
      <c r="D2123" t="s">
        <v>76</v>
      </c>
      <c r="E2123" t="s">
        <v>8399</v>
      </c>
      <c r="F2123" t="s">
        <v>78</v>
      </c>
      <c r="G2123" t="s">
        <v>8400</v>
      </c>
      <c r="H2123" t="s">
        <v>10477</v>
      </c>
      <c r="I2123">
        <v>1.232878401203289E-5</v>
      </c>
      <c r="J2123">
        <v>81111</v>
      </c>
      <c r="K2123">
        <v>2.4162760353742811E-5</v>
      </c>
      <c r="L2123">
        <v>41386</v>
      </c>
      <c r="M2123">
        <v>1</v>
      </c>
      <c r="O2123">
        <v>65</v>
      </c>
    </row>
    <row r="2124" spans="1:15" x14ac:dyDescent="0.25">
      <c r="A2124" t="s">
        <v>564</v>
      </c>
      <c r="B2124" t="s">
        <v>30</v>
      </c>
      <c r="C2124" t="s">
        <v>390</v>
      </c>
      <c r="D2124" t="s">
        <v>76</v>
      </c>
      <c r="E2124" t="s">
        <v>602</v>
      </c>
      <c r="F2124" t="s">
        <v>854</v>
      </c>
      <c r="G2124" t="s">
        <v>855</v>
      </c>
      <c r="H2124" t="s">
        <v>10514</v>
      </c>
      <c r="I2124">
        <v>1.232878401203289E-5</v>
      </c>
      <c r="J2124">
        <v>81111</v>
      </c>
      <c r="K2124">
        <v>2.4162760353742811E-5</v>
      </c>
      <c r="L2124">
        <v>41386</v>
      </c>
      <c r="M2124">
        <v>1</v>
      </c>
      <c r="O2124">
        <v>66</v>
      </c>
    </row>
    <row r="2125" spans="1:15" x14ac:dyDescent="0.25">
      <c r="A2125" t="s">
        <v>564</v>
      </c>
      <c r="B2125" t="s">
        <v>30</v>
      </c>
      <c r="C2125" t="s">
        <v>390</v>
      </c>
      <c r="D2125" t="s">
        <v>76</v>
      </c>
      <c r="E2125" t="s">
        <v>680</v>
      </c>
      <c r="F2125" t="s">
        <v>78</v>
      </c>
      <c r="G2125" t="s">
        <v>681</v>
      </c>
      <c r="H2125" t="s">
        <v>10479</v>
      </c>
      <c r="I2125">
        <v>1.232878401203289E-5</v>
      </c>
      <c r="J2125">
        <v>81111</v>
      </c>
      <c r="K2125">
        <v>2.4162760353742811E-5</v>
      </c>
      <c r="L2125">
        <v>41386</v>
      </c>
      <c r="M2125">
        <v>1</v>
      </c>
      <c r="O2125">
        <v>67</v>
      </c>
    </row>
    <row r="2126" spans="1:15" x14ac:dyDescent="0.25">
      <c r="A2126" t="s">
        <v>564</v>
      </c>
      <c r="B2126" t="s">
        <v>30</v>
      </c>
      <c r="C2126" t="s">
        <v>390</v>
      </c>
      <c r="D2126" t="s">
        <v>76</v>
      </c>
      <c r="E2126" t="s">
        <v>634</v>
      </c>
      <c r="F2126" t="s">
        <v>880</v>
      </c>
      <c r="G2126" t="s">
        <v>881</v>
      </c>
      <c r="H2126" t="s">
        <v>10455</v>
      </c>
      <c r="J2126">
        <v>81111</v>
      </c>
      <c r="L2126">
        <v>41386</v>
      </c>
      <c r="O2126">
        <v>68</v>
      </c>
    </row>
    <row r="2127" spans="1:15" x14ac:dyDescent="0.25">
      <c r="A2127" t="s">
        <v>564</v>
      </c>
      <c r="B2127" t="s">
        <v>30</v>
      </c>
      <c r="C2127" t="s">
        <v>390</v>
      </c>
      <c r="D2127" t="s">
        <v>76</v>
      </c>
      <c r="E2127" t="s">
        <v>602</v>
      </c>
      <c r="F2127" t="s">
        <v>876</v>
      </c>
      <c r="G2127" t="s">
        <v>877</v>
      </c>
      <c r="H2127" t="s">
        <v>10515</v>
      </c>
      <c r="J2127">
        <v>81111</v>
      </c>
      <c r="L2127">
        <v>41386</v>
      </c>
      <c r="O2127">
        <v>69</v>
      </c>
    </row>
    <row r="2128" spans="1:15" x14ac:dyDescent="0.25">
      <c r="A2128" t="s">
        <v>564</v>
      </c>
      <c r="B2128" t="s">
        <v>30</v>
      </c>
      <c r="C2128" t="s">
        <v>390</v>
      </c>
      <c r="D2128" t="s">
        <v>76</v>
      </c>
      <c r="E2128" t="s">
        <v>602</v>
      </c>
      <c r="F2128" t="s">
        <v>870</v>
      </c>
      <c r="G2128" t="s">
        <v>871</v>
      </c>
      <c r="H2128" t="s">
        <v>10519</v>
      </c>
      <c r="J2128">
        <v>81111</v>
      </c>
      <c r="L2128">
        <v>41386</v>
      </c>
      <c r="O2128">
        <v>70</v>
      </c>
    </row>
    <row r="2129" spans="1:15" x14ac:dyDescent="0.25">
      <c r="A2129" t="s">
        <v>564</v>
      </c>
      <c r="B2129" t="s">
        <v>30</v>
      </c>
      <c r="C2129" t="s">
        <v>390</v>
      </c>
      <c r="D2129" t="s">
        <v>76</v>
      </c>
      <c r="E2129" t="s">
        <v>602</v>
      </c>
      <c r="F2129" t="s">
        <v>867</v>
      </c>
      <c r="G2129" t="s">
        <v>868</v>
      </c>
      <c r="H2129" t="s">
        <v>10521</v>
      </c>
      <c r="J2129">
        <v>81111</v>
      </c>
      <c r="L2129">
        <v>41386</v>
      </c>
      <c r="O2129">
        <v>71</v>
      </c>
    </row>
    <row r="2130" spans="1:15" x14ac:dyDescent="0.25">
      <c r="A2130" t="s">
        <v>564</v>
      </c>
      <c r="B2130" t="s">
        <v>30</v>
      </c>
      <c r="C2130" t="s">
        <v>390</v>
      </c>
      <c r="D2130" t="s">
        <v>76</v>
      </c>
      <c r="E2130" t="s">
        <v>602</v>
      </c>
      <c r="F2130" t="s">
        <v>864</v>
      </c>
      <c r="G2130" t="s">
        <v>865</v>
      </c>
      <c r="H2130" t="s">
        <v>10518</v>
      </c>
      <c r="J2130">
        <v>81111</v>
      </c>
      <c r="L2130">
        <v>41386</v>
      </c>
      <c r="O2130">
        <v>72</v>
      </c>
    </row>
    <row r="2131" spans="1:15" x14ac:dyDescent="0.25">
      <c r="A2131" t="s">
        <v>564</v>
      </c>
      <c r="B2131" t="s">
        <v>30</v>
      </c>
      <c r="C2131" t="s">
        <v>390</v>
      </c>
      <c r="D2131" t="s">
        <v>76</v>
      </c>
      <c r="E2131" t="s">
        <v>602</v>
      </c>
      <c r="F2131" t="s">
        <v>1099</v>
      </c>
      <c r="G2131" t="s">
        <v>1100</v>
      </c>
      <c r="H2131" t="s">
        <v>10517</v>
      </c>
      <c r="J2131">
        <v>81111</v>
      </c>
      <c r="L2131">
        <v>41386</v>
      </c>
      <c r="O2131">
        <v>73</v>
      </c>
    </row>
    <row r="2132" spans="1:15" x14ac:dyDescent="0.25">
      <c r="A2132" t="s">
        <v>564</v>
      </c>
      <c r="B2132" t="s">
        <v>30</v>
      </c>
      <c r="C2132" t="s">
        <v>390</v>
      </c>
      <c r="D2132" t="s">
        <v>76</v>
      </c>
      <c r="E2132" t="s">
        <v>602</v>
      </c>
      <c r="F2132" t="s">
        <v>1090</v>
      </c>
      <c r="G2132" t="s">
        <v>1091</v>
      </c>
      <c r="H2132" t="s">
        <v>10516</v>
      </c>
      <c r="J2132">
        <v>81111</v>
      </c>
      <c r="L2132">
        <v>41386</v>
      </c>
      <c r="O2132">
        <v>74</v>
      </c>
    </row>
    <row r="2133" spans="1:15" x14ac:dyDescent="0.25">
      <c r="A2133" t="s">
        <v>564</v>
      </c>
      <c r="B2133" t="s">
        <v>30</v>
      </c>
      <c r="C2133" t="s">
        <v>390</v>
      </c>
      <c r="D2133" t="s">
        <v>76</v>
      </c>
      <c r="E2133" t="s">
        <v>602</v>
      </c>
      <c r="F2133" t="s">
        <v>1087</v>
      </c>
      <c r="G2133" t="s">
        <v>1088</v>
      </c>
      <c r="H2133" t="s">
        <v>10520</v>
      </c>
      <c r="J2133">
        <v>81111</v>
      </c>
      <c r="L2133">
        <v>41386</v>
      </c>
      <c r="O2133">
        <v>75</v>
      </c>
    </row>
    <row r="2134" spans="1:15" x14ac:dyDescent="0.25">
      <c r="A2134" t="s">
        <v>564</v>
      </c>
      <c r="B2134" t="s">
        <v>30</v>
      </c>
      <c r="C2134" t="s">
        <v>390</v>
      </c>
      <c r="D2134" t="s">
        <v>76</v>
      </c>
      <c r="E2134" t="s">
        <v>81</v>
      </c>
      <c r="F2134" t="s">
        <v>851</v>
      </c>
      <c r="G2134" t="s">
        <v>852</v>
      </c>
      <c r="H2134" t="s">
        <v>10484</v>
      </c>
      <c r="J2134">
        <v>81111</v>
      </c>
      <c r="L2134">
        <v>41386</v>
      </c>
      <c r="O2134">
        <v>76</v>
      </c>
    </row>
    <row r="2135" spans="1:15" x14ac:dyDescent="0.25">
      <c r="A2135" t="s">
        <v>564</v>
      </c>
      <c r="B2135" t="s">
        <v>30</v>
      </c>
      <c r="C2135" t="s">
        <v>390</v>
      </c>
      <c r="D2135" t="s">
        <v>76</v>
      </c>
      <c r="E2135" t="s">
        <v>81</v>
      </c>
      <c r="F2135" t="s">
        <v>604</v>
      </c>
      <c r="G2135" t="s">
        <v>605</v>
      </c>
      <c r="H2135" t="s">
        <v>10480</v>
      </c>
      <c r="J2135">
        <v>81111</v>
      </c>
      <c r="L2135">
        <v>41386</v>
      </c>
      <c r="O2135">
        <v>77</v>
      </c>
    </row>
    <row r="2136" spans="1:15" x14ac:dyDescent="0.25">
      <c r="A2136" t="s">
        <v>564</v>
      </c>
      <c r="B2136" t="s">
        <v>30</v>
      </c>
      <c r="C2136" t="s">
        <v>390</v>
      </c>
      <c r="D2136" t="s">
        <v>76</v>
      </c>
      <c r="E2136" t="s">
        <v>654</v>
      </c>
      <c r="F2136" t="s">
        <v>8507</v>
      </c>
      <c r="G2136" t="s">
        <v>8508</v>
      </c>
      <c r="H2136" t="s">
        <v>10471</v>
      </c>
      <c r="J2136">
        <v>81111</v>
      </c>
      <c r="L2136">
        <v>41386</v>
      </c>
      <c r="O2136">
        <v>78</v>
      </c>
    </row>
    <row r="2137" spans="1:15" x14ac:dyDescent="0.25">
      <c r="A2137" t="s">
        <v>564</v>
      </c>
      <c r="B2137" t="s">
        <v>30</v>
      </c>
      <c r="C2137" t="s">
        <v>390</v>
      </c>
      <c r="D2137" t="s">
        <v>76</v>
      </c>
      <c r="E2137" t="s">
        <v>654</v>
      </c>
      <c r="F2137" t="s">
        <v>8518</v>
      </c>
      <c r="G2137" t="s">
        <v>8519</v>
      </c>
      <c r="H2137" t="s">
        <v>10566</v>
      </c>
      <c r="J2137">
        <v>81111</v>
      </c>
      <c r="L2137">
        <v>41386</v>
      </c>
      <c r="O2137">
        <v>79</v>
      </c>
    </row>
    <row r="2138" spans="1:15" x14ac:dyDescent="0.25">
      <c r="A2138" t="s">
        <v>564</v>
      </c>
      <c r="B2138" t="s">
        <v>30</v>
      </c>
      <c r="C2138" t="s">
        <v>390</v>
      </c>
      <c r="D2138" t="s">
        <v>76</v>
      </c>
      <c r="E2138" t="s">
        <v>654</v>
      </c>
      <c r="F2138" t="s">
        <v>8471</v>
      </c>
      <c r="G2138" t="s">
        <v>8472</v>
      </c>
      <c r="H2138" t="s">
        <v>10483</v>
      </c>
      <c r="J2138">
        <v>81111</v>
      </c>
      <c r="L2138">
        <v>41386</v>
      </c>
      <c r="O2138">
        <v>80</v>
      </c>
    </row>
    <row r="2139" spans="1:15" x14ac:dyDescent="0.25">
      <c r="A2139" t="s">
        <v>564</v>
      </c>
      <c r="B2139" t="s">
        <v>30</v>
      </c>
      <c r="C2139" t="s">
        <v>390</v>
      </c>
      <c r="D2139" t="s">
        <v>76</v>
      </c>
      <c r="E2139" t="s">
        <v>654</v>
      </c>
      <c r="F2139" t="s">
        <v>8465</v>
      </c>
      <c r="G2139" t="s">
        <v>8466</v>
      </c>
      <c r="H2139" t="s">
        <v>10565</v>
      </c>
      <c r="J2139">
        <v>81111</v>
      </c>
      <c r="L2139">
        <v>41386</v>
      </c>
      <c r="O2139">
        <v>81</v>
      </c>
    </row>
    <row r="2140" spans="1:15" x14ac:dyDescent="0.25">
      <c r="A2140" t="s">
        <v>564</v>
      </c>
      <c r="B2140" t="s">
        <v>30</v>
      </c>
      <c r="C2140" t="s">
        <v>390</v>
      </c>
      <c r="D2140" t="s">
        <v>76</v>
      </c>
      <c r="E2140" t="s">
        <v>886</v>
      </c>
      <c r="F2140" t="s">
        <v>8512</v>
      </c>
      <c r="G2140" t="s">
        <v>8513</v>
      </c>
      <c r="H2140" t="s">
        <v>10489</v>
      </c>
      <c r="J2140">
        <v>81111</v>
      </c>
      <c r="L2140">
        <v>41386</v>
      </c>
      <c r="O2140">
        <v>82</v>
      </c>
    </row>
    <row r="2141" spans="1:15" x14ac:dyDescent="0.25">
      <c r="A2141" t="s">
        <v>564</v>
      </c>
      <c r="B2141" t="s">
        <v>30</v>
      </c>
      <c r="C2141" t="s">
        <v>390</v>
      </c>
      <c r="D2141" t="s">
        <v>76</v>
      </c>
      <c r="E2141" t="s">
        <v>886</v>
      </c>
      <c r="F2141" t="s">
        <v>8495</v>
      </c>
      <c r="G2141" t="s">
        <v>8496</v>
      </c>
      <c r="H2141" t="s">
        <v>10490</v>
      </c>
      <c r="J2141">
        <v>81111</v>
      </c>
      <c r="L2141">
        <v>41386</v>
      </c>
      <c r="O2141">
        <v>83</v>
      </c>
    </row>
    <row r="2142" spans="1:15" x14ac:dyDescent="0.25">
      <c r="A2142" t="s">
        <v>564</v>
      </c>
      <c r="B2142" t="s">
        <v>30</v>
      </c>
      <c r="C2142" t="s">
        <v>390</v>
      </c>
      <c r="D2142" t="s">
        <v>76</v>
      </c>
      <c r="E2142" t="s">
        <v>886</v>
      </c>
      <c r="F2142" t="s">
        <v>8504</v>
      </c>
      <c r="G2142" t="s">
        <v>8505</v>
      </c>
      <c r="H2142" t="s">
        <v>10461</v>
      </c>
      <c r="J2142">
        <v>81111</v>
      </c>
      <c r="L2142">
        <v>41386</v>
      </c>
      <c r="O2142">
        <v>84</v>
      </c>
    </row>
    <row r="2143" spans="1:15" x14ac:dyDescent="0.25">
      <c r="A2143" t="s">
        <v>564</v>
      </c>
      <c r="B2143" t="s">
        <v>30</v>
      </c>
      <c r="C2143" t="s">
        <v>390</v>
      </c>
      <c r="D2143" t="s">
        <v>76</v>
      </c>
      <c r="E2143" t="s">
        <v>686</v>
      </c>
      <c r="F2143" t="s">
        <v>1084</v>
      </c>
      <c r="G2143" t="s">
        <v>1085</v>
      </c>
      <c r="H2143" t="s">
        <v>10505</v>
      </c>
      <c r="J2143">
        <v>81111</v>
      </c>
      <c r="L2143">
        <v>41386</v>
      </c>
      <c r="O2143">
        <v>85</v>
      </c>
    </row>
    <row r="2144" spans="1:15" x14ac:dyDescent="0.25">
      <c r="A2144" t="s">
        <v>564</v>
      </c>
      <c r="B2144" t="s">
        <v>30</v>
      </c>
      <c r="C2144" t="s">
        <v>390</v>
      </c>
      <c r="D2144" t="s">
        <v>76</v>
      </c>
      <c r="E2144" t="s">
        <v>686</v>
      </c>
      <c r="F2144" t="s">
        <v>1069</v>
      </c>
      <c r="G2144" t="s">
        <v>1070</v>
      </c>
      <c r="H2144" t="s">
        <v>10491</v>
      </c>
      <c r="J2144">
        <v>81111</v>
      </c>
      <c r="L2144">
        <v>41386</v>
      </c>
      <c r="O2144">
        <v>86</v>
      </c>
    </row>
    <row r="2145" spans="1:15" x14ac:dyDescent="0.25">
      <c r="A2145" t="s">
        <v>564</v>
      </c>
      <c r="B2145" t="s">
        <v>30</v>
      </c>
      <c r="C2145" t="s">
        <v>390</v>
      </c>
      <c r="D2145" t="s">
        <v>76</v>
      </c>
      <c r="E2145" t="s">
        <v>686</v>
      </c>
      <c r="F2145" t="s">
        <v>1063</v>
      </c>
      <c r="G2145" t="s">
        <v>1064</v>
      </c>
      <c r="H2145" t="s">
        <v>10492</v>
      </c>
      <c r="J2145">
        <v>81111</v>
      </c>
      <c r="L2145">
        <v>41386</v>
      </c>
      <c r="O2145">
        <v>87</v>
      </c>
    </row>
    <row r="2146" spans="1:15" x14ac:dyDescent="0.25">
      <c r="A2146" t="s">
        <v>564</v>
      </c>
      <c r="B2146" t="s">
        <v>30</v>
      </c>
      <c r="C2146" t="s">
        <v>390</v>
      </c>
      <c r="D2146" t="s">
        <v>76</v>
      </c>
      <c r="E2146" t="s">
        <v>686</v>
      </c>
      <c r="F2146" t="s">
        <v>1045</v>
      </c>
      <c r="G2146" t="s">
        <v>1046</v>
      </c>
      <c r="H2146" t="s">
        <v>10499</v>
      </c>
      <c r="J2146">
        <v>81111</v>
      </c>
      <c r="L2146">
        <v>41386</v>
      </c>
      <c r="O2146">
        <v>88</v>
      </c>
    </row>
    <row r="2147" spans="1:15" x14ac:dyDescent="0.25">
      <c r="A2147" t="s">
        <v>564</v>
      </c>
      <c r="B2147" t="s">
        <v>30</v>
      </c>
      <c r="C2147" t="s">
        <v>390</v>
      </c>
      <c r="D2147" t="s">
        <v>76</v>
      </c>
      <c r="E2147" t="s">
        <v>686</v>
      </c>
      <c r="F2147" t="s">
        <v>1039</v>
      </c>
      <c r="G2147" t="s">
        <v>1040</v>
      </c>
      <c r="H2147" t="s">
        <v>10507</v>
      </c>
      <c r="J2147">
        <v>81111</v>
      </c>
      <c r="L2147">
        <v>41386</v>
      </c>
      <c r="O2147">
        <v>89</v>
      </c>
    </row>
    <row r="2148" spans="1:15" x14ac:dyDescent="0.25">
      <c r="A2148" t="s">
        <v>564</v>
      </c>
      <c r="B2148" t="s">
        <v>30</v>
      </c>
      <c r="C2148" t="s">
        <v>390</v>
      </c>
      <c r="D2148" t="s">
        <v>76</v>
      </c>
      <c r="E2148" t="s">
        <v>686</v>
      </c>
      <c r="F2148" t="s">
        <v>1036</v>
      </c>
      <c r="G2148" t="s">
        <v>1037</v>
      </c>
      <c r="H2148" t="s">
        <v>10501</v>
      </c>
      <c r="J2148">
        <v>81111</v>
      </c>
      <c r="L2148">
        <v>41386</v>
      </c>
      <c r="O2148">
        <v>90</v>
      </c>
    </row>
    <row r="2149" spans="1:15" x14ac:dyDescent="0.25">
      <c r="A2149" t="s">
        <v>564</v>
      </c>
      <c r="B2149" t="s">
        <v>30</v>
      </c>
      <c r="C2149" t="s">
        <v>390</v>
      </c>
      <c r="D2149" t="s">
        <v>76</v>
      </c>
      <c r="E2149" t="s">
        <v>686</v>
      </c>
      <c r="F2149" t="s">
        <v>1024</v>
      </c>
      <c r="G2149" t="s">
        <v>1025</v>
      </c>
      <c r="H2149" t="s">
        <v>10498</v>
      </c>
      <c r="J2149">
        <v>81111</v>
      </c>
      <c r="L2149">
        <v>41386</v>
      </c>
      <c r="O2149">
        <v>91</v>
      </c>
    </row>
    <row r="2150" spans="1:15" x14ac:dyDescent="0.25">
      <c r="A2150" t="s">
        <v>564</v>
      </c>
      <c r="B2150" t="s">
        <v>30</v>
      </c>
      <c r="C2150" t="s">
        <v>390</v>
      </c>
      <c r="D2150" t="s">
        <v>76</v>
      </c>
      <c r="E2150" t="s">
        <v>686</v>
      </c>
      <c r="F2150" t="s">
        <v>1021</v>
      </c>
      <c r="G2150" t="s">
        <v>1022</v>
      </c>
      <c r="H2150" t="s">
        <v>10510</v>
      </c>
      <c r="J2150">
        <v>81111</v>
      </c>
      <c r="L2150">
        <v>41386</v>
      </c>
      <c r="O2150">
        <v>92</v>
      </c>
    </row>
    <row r="2151" spans="1:15" x14ac:dyDescent="0.25">
      <c r="A2151" t="s">
        <v>564</v>
      </c>
      <c r="B2151" t="s">
        <v>30</v>
      </c>
      <c r="C2151" t="s">
        <v>390</v>
      </c>
      <c r="D2151" t="s">
        <v>76</v>
      </c>
      <c r="E2151" t="s">
        <v>686</v>
      </c>
      <c r="F2151" t="s">
        <v>1012</v>
      </c>
      <c r="G2151" t="s">
        <v>1013</v>
      </c>
      <c r="H2151" t="s">
        <v>10500</v>
      </c>
      <c r="J2151">
        <v>81111</v>
      </c>
      <c r="L2151">
        <v>41386</v>
      </c>
      <c r="O2151">
        <v>93</v>
      </c>
    </row>
    <row r="2152" spans="1:15" x14ac:dyDescent="0.25">
      <c r="A2152" t="s">
        <v>564</v>
      </c>
      <c r="B2152" t="s">
        <v>30</v>
      </c>
      <c r="C2152" t="s">
        <v>390</v>
      </c>
      <c r="D2152" t="s">
        <v>76</v>
      </c>
      <c r="E2152" t="s">
        <v>686</v>
      </c>
      <c r="F2152" t="s">
        <v>1009</v>
      </c>
      <c r="G2152" t="s">
        <v>1010</v>
      </c>
      <c r="H2152" t="s">
        <v>10494</v>
      </c>
      <c r="J2152">
        <v>81111</v>
      </c>
      <c r="L2152">
        <v>41386</v>
      </c>
      <c r="O2152">
        <v>94</v>
      </c>
    </row>
    <row r="2153" spans="1:15" x14ac:dyDescent="0.25">
      <c r="A2153" t="s">
        <v>564</v>
      </c>
      <c r="B2153" t="s">
        <v>30</v>
      </c>
      <c r="C2153" t="s">
        <v>390</v>
      </c>
      <c r="D2153" t="s">
        <v>76</v>
      </c>
      <c r="E2153" t="s">
        <v>686</v>
      </c>
      <c r="F2153" t="s">
        <v>1006</v>
      </c>
      <c r="G2153" t="s">
        <v>1007</v>
      </c>
      <c r="H2153" t="s">
        <v>10495</v>
      </c>
      <c r="J2153">
        <v>81111</v>
      </c>
      <c r="L2153">
        <v>41386</v>
      </c>
      <c r="O2153">
        <v>95</v>
      </c>
    </row>
    <row r="2154" spans="1:15" x14ac:dyDescent="0.25">
      <c r="A2154" t="s">
        <v>564</v>
      </c>
      <c r="B2154" t="s">
        <v>30</v>
      </c>
      <c r="C2154" t="s">
        <v>390</v>
      </c>
      <c r="D2154" t="s">
        <v>76</v>
      </c>
      <c r="E2154" t="s">
        <v>686</v>
      </c>
      <c r="F2154" t="s">
        <v>991</v>
      </c>
      <c r="G2154" t="s">
        <v>992</v>
      </c>
      <c r="H2154" t="s">
        <v>10496</v>
      </c>
      <c r="J2154">
        <v>81111</v>
      </c>
      <c r="L2154">
        <v>41386</v>
      </c>
      <c r="O2154">
        <v>96</v>
      </c>
    </row>
    <row r="2155" spans="1:15" x14ac:dyDescent="0.25">
      <c r="A2155" t="s">
        <v>564</v>
      </c>
      <c r="B2155" t="s">
        <v>30</v>
      </c>
      <c r="C2155" t="s">
        <v>390</v>
      </c>
      <c r="D2155" t="s">
        <v>76</v>
      </c>
      <c r="E2155" t="s">
        <v>686</v>
      </c>
      <c r="F2155" t="s">
        <v>958</v>
      </c>
      <c r="G2155" t="s">
        <v>959</v>
      </c>
      <c r="H2155" t="s">
        <v>10508</v>
      </c>
      <c r="J2155">
        <v>81111</v>
      </c>
      <c r="L2155">
        <v>41386</v>
      </c>
      <c r="O2155">
        <v>97</v>
      </c>
    </row>
    <row r="2156" spans="1:15" x14ac:dyDescent="0.25">
      <c r="A2156" t="s">
        <v>564</v>
      </c>
      <c r="B2156" t="s">
        <v>30</v>
      </c>
      <c r="C2156" t="s">
        <v>390</v>
      </c>
      <c r="D2156" t="s">
        <v>76</v>
      </c>
      <c r="E2156" t="s">
        <v>686</v>
      </c>
      <c r="F2156" t="s">
        <v>952</v>
      </c>
      <c r="G2156" t="s">
        <v>953</v>
      </c>
      <c r="H2156" t="s">
        <v>10503</v>
      </c>
      <c r="J2156">
        <v>81111</v>
      </c>
      <c r="L2156">
        <v>41386</v>
      </c>
      <c r="O2156">
        <v>98</v>
      </c>
    </row>
    <row r="2157" spans="1:15" x14ac:dyDescent="0.25">
      <c r="A2157" t="s">
        <v>564</v>
      </c>
      <c r="B2157" t="s">
        <v>30</v>
      </c>
      <c r="C2157" t="s">
        <v>390</v>
      </c>
      <c r="D2157" t="s">
        <v>76</v>
      </c>
      <c r="E2157" t="s">
        <v>686</v>
      </c>
      <c r="F2157" t="s">
        <v>940</v>
      </c>
      <c r="G2157" t="s">
        <v>941</v>
      </c>
      <c r="H2157" t="s">
        <v>10493</v>
      </c>
      <c r="J2157">
        <v>81111</v>
      </c>
      <c r="L2157">
        <v>41386</v>
      </c>
      <c r="O2157">
        <v>99</v>
      </c>
    </row>
    <row r="2158" spans="1:15" x14ac:dyDescent="0.25">
      <c r="A2158" t="s">
        <v>564</v>
      </c>
      <c r="B2158" t="s">
        <v>30</v>
      </c>
      <c r="C2158" t="s">
        <v>390</v>
      </c>
      <c r="D2158" t="s">
        <v>76</v>
      </c>
      <c r="E2158" t="s">
        <v>686</v>
      </c>
      <c r="F2158" t="s">
        <v>937</v>
      </c>
      <c r="G2158" t="s">
        <v>938</v>
      </c>
      <c r="H2158" t="s">
        <v>10506</v>
      </c>
      <c r="J2158">
        <v>81111</v>
      </c>
      <c r="L2158">
        <v>41386</v>
      </c>
      <c r="O2158">
        <v>100</v>
      </c>
    </row>
    <row r="2159" spans="1:15" x14ac:dyDescent="0.25">
      <c r="A2159" t="s">
        <v>564</v>
      </c>
      <c r="B2159" t="s">
        <v>30</v>
      </c>
      <c r="C2159" t="s">
        <v>390</v>
      </c>
      <c r="D2159" t="s">
        <v>76</v>
      </c>
      <c r="E2159" t="s">
        <v>686</v>
      </c>
      <c r="F2159" t="s">
        <v>934</v>
      </c>
      <c r="G2159" t="s">
        <v>935</v>
      </c>
      <c r="H2159" t="s">
        <v>10502</v>
      </c>
      <c r="J2159">
        <v>81111</v>
      </c>
      <c r="L2159">
        <v>41386</v>
      </c>
      <c r="O2159">
        <v>101</v>
      </c>
    </row>
    <row r="2160" spans="1:15" x14ac:dyDescent="0.25">
      <c r="A2160" t="s">
        <v>564</v>
      </c>
      <c r="B2160" t="s">
        <v>30</v>
      </c>
      <c r="C2160" t="s">
        <v>390</v>
      </c>
      <c r="D2160" t="s">
        <v>76</v>
      </c>
      <c r="E2160" t="s">
        <v>686</v>
      </c>
      <c r="F2160" t="s">
        <v>924</v>
      </c>
      <c r="G2160" t="s">
        <v>925</v>
      </c>
      <c r="H2160" t="s">
        <v>10509</v>
      </c>
      <c r="J2160">
        <v>81111</v>
      </c>
      <c r="L2160">
        <v>41386</v>
      </c>
      <c r="O2160">
        <v>102</v>
      </c>
    </row>
    <row r="2161" spans="1:15" x14ac:dyDescent="0.25">
      <c r="A2161" t="s">
        <v>564</v>
      </c>
      <c r="B2161" t="s">
        <v>30</v>
      </c>
      <c r="C2161" t="s">
        <v>390</v>
      </c>
      <c r="D2161" t="s">
        <v>76</v>
      </c>
      <c r="E2161" t="s">
        <v>686</v>
      </c>
      <c r="F2161" t="s">
        <v>921</v>
      </c>
      <c r="G2161" t="s">
        <v>922</v>
      </c>
      <c r="H2161" t="s">
        <v>10504</v>
      </c>
      <c r="J2161">
        <v>81111</v>
      </c>
      <c r="L2161">
        <v>41386</v>
      </c>
      <c r="O2161">
        <v>103</v>
      </c>
    </row>
    <row r="2162" spans="1:15" x14ac:dyDescent="0.25">
      <c r="A2162" t="s">
        <v>564</v>
      </c>
      <c r="B2162" t="s">
        <v>30</v>
      </c>
      <c r="C2162" t="s">
        <v>390</v>
      </c>
      <c r="D2162" t="s">
        <v>76</v>
      </c>
      <c r="E2162" t="s">
        <v>686</v>
      </c>
      <c r="F2162" t="s">
        <v>915</v>
      </c>
      <c r="G2162" t="s">
        <v>916</v>
      </c>
      <c r="H2162" t="s">
        <v>10497</v>
      </c>
      <c r="J2162">
        <v>81111</v>
      </c>
      <c r="L2162">
        <v>41386</v>
      </c>
      <c r="O2162">
        <v>104</v>
      </c>
    </row>
    <row r="2163" spans="1:15" x14ac:dyDescent="0.25">
      <c r="A2163" t="s">
        <v>564</v>
      </c>
      <c r="B2163" t="s">
        <v>30</v>
      </c>
      <c r="C2163" t="s">
        <v>390</v>
      </c>
      <c r="D2163" t="s">
        <v>76</v>
      </c>
      <c r="E2163" t="s">
        <v>686</v>
      </c>
      <c r="F2163" t="s">
        <v>909</v>
      </c>
      <c r="G2163" t="s">
        <v>910</v>
      </c>
      <c r="H2163" t="s">
        <v>10511</v>
      </c>
      <c r="J2163">
        <v>81111</v>
      </c>
      <c r="L2163">
        <v>41386</v>
      </c>
      <c r="O2163">
        <v>105</v>
      </c>
    </row>
    <row r="2164" spans="1:15" x14ac:dyDescent="0.25">
      <c r="A2164" t="s">
        <v>564</v>
      </c>
      <c r="B2164" t="s">
        <v>30</v>
      </c>
      <c r="C2164" t="s">
        <v>390</v>
      </c>
      <c r="D2164" t="s">
        <v>76</v>
      </c>
      <c r="E2164" t="s">
        <v>686</v>
      </c>
      <c r="F2164" t="s">
        <v>894</v>
      </c>
      <c r="G2164" t="s">
        <v>895</v>
      </c>
      <c r="H2164" t="s">
        <v>10512</v>
      </c>
      <c r="J2164">
        <v>81111</v>
      </c>
      <c r="L2164">
        <v>41386</v>
      </c>
      <c r="O2164">
        <v>106</v>
      </c>
    </row>
    <row r="2165" spans="1:15" x14ac:dyDescent="0.25">
      <c r="A2165" t="s">
        <v>564</v>
      </c>
      <c r="B2165" t="s">
        <v>30</v>
      </c>
      <c r="C2165" t="s">
        <v>390</v>
      </c>
      <c r="D2165" t="s">
        <v>76</v>
      </c>
      <c r="E2165" t="s">
        <v>897</v>
      </c>
      <c r="F2165" t="s">
        <v>78</v>
      </c>
      <c r="G2165" t="s">
        <v>898</v>
      </c>
      <c r="H2165" t="s">
        <v>10550</v>
      </c>
      <c r="J2165">
        <v>81111</v>
      </c>
      <c r="L2165">
        <v>41386</v>
      </c>
      <c r="O2165">
        <v>107</v>
      </c>
    </row>
    <row r="2166" spans="1:15" x14ac:dyDescent="0.25">
      <c r="A2166" t="s">
        <v>564</v>
      </c>
      <c r="B2166" t="s">
        <v>30</v>
      </c>
      <c r="C2166" t="s">
        <v>390</v>
      </c>
      <c r="D2166" t="s">
        <v>76</v>
      </c>
      <c r="E2166" t="s">
        <v>900</v>
      </c>
      <c r="F2166" t="s">
        <v>78</v>
      </c>
      <c r="G2166" t="s">
        <v>901</v>
      </c>
      <c r="H2166" t="s">
        <v>10552</v>
      </c>
      <c r="J2166">
        <v>81111</v>
      </c>
      <c r="L2166">
        <v>41386</v>
      </c>
      <c r="O2166">
        <v>108</v>
      </c>
    </row>
    <row r="2167" spans="1:15" x14ac:dyDescent="0.25">
      <c r="A2167" t="s">
        <v>564</v>
      </c>
      <c r="B2167" t="s">
        <v>30</v>
      </c>
      <c r="C2167" t="s">
        <v>390</v>
      </c>
      <c r="D2167" t="s">
        <v>76</v>
      </c>
      <c r="E2167" t="s">
        <v>903</v>
      </c>
      <c r="F2167" t="s">
        <v>78</v>
      </c>
      <c r="G2167" t="s">
        <v>904</v>
      </c>
      <c r="H2167" t="s">
        <v>10562</v>
      </c>
      <c r="J2167">
        <v>81111</v>
      </c>
      <c r="L2167">
        <v>41386</v>
      </c>
      <c r="O2167">
        <v>109</v>
      </c>
    </row>
    <row r="2168" spans="1:15" x14ac:dyDescent="0.25">
      <c r="A2168" t="s">
        <v>564</v>
      </c>
      <c r="B2168" t="s">
        <v>30</v>
      </c>
      <c r="C2168" t="s">
        <v>390</v>
      </c>
      <c r="D2168" t="s">
        <v>76</v>
      </c>
      <c r="E2168" t="s">
        <v>906</v>
      </c>
      <c r="F2168" t="s">
        <v>78</v>
      </c>
      <c r="G2168" t="s">
        <v>907</v>
      </c>
      <c r="H2168" t="s">
        <v>10564</v>
      </c>
      <c r="J2168">
        <v>81111</v>
      </c>
      <c r="L2168">
        <v>41386</v>
      </c>
      <c r="O2168">
        <v>110</v>
      </c>
    </row>
    <row r="2169" spans="1:15" x14ac:dyDescent="0.25">
      <c r="A2169" t="s">
        <v>564</v>
      </c>
      <c r="B2169" t="s">
        <v>30</v>
      </c>
      <c r="C2169" t="s">
        <v>390</v>
      </c>
      <c r="D2169" t="s">
        <v>76</v>
      </c>
      <c r="E2169" t="s">
        <v>912</v>
      </c>
      <c r="F2169" t="s">
        <v>78</v>
      </c>
      <c r="G2169" t="s">
        <v>913</v>
      </c>
      <c r="H2169" t="s">
        <v>10557</v>
      </c>
      <c r="J2169">
        <v>81111</v>
      </c>
      <c r="L2169">
        <v>41386</v>
      </c>
      <c r="O2169">
        <v>111</v>
      </c>
    </row>
    <row r="2170" spans="1:15" x14ac:dyDescent="0.25">
      <c r="A2170" t="s">
        <v>564</v>
      </c>
      <c r="B2170" t="s">
        <v>30</v>
      </c>
      <c r="C2170" t="s">
        <v>390</v>
      </c>
      <c r="D2170" t="s">
        <v>76</v>
      </c>
      <c r="E2170" t="s">
        <v>918</v>
      </c>
      <c r="F2170" t="s">
        <v>78</v>
      </c>
      <c r="G2170" t="s">
        <v>919</v>
      </c>
      <c r="H2170" t="s">
        <v>10554</v>
      </c>
      <c r="J2170">
        <v>81111</v>
      </c>
      <c r="L2170">
        <v>41386</v>
      </c>
      <c r="O2170">
        <v>112</v>
      </c>
    </row>
    <row r="2171" spans="1:15" x14ac:dyDescent="0.25">
      <c r="A2171" t="s">
        <v>564</v>
      </c>
      <c r="B2171" t="s">
        <v>30</v>
      </c>
      <c r="C2171" t="s">
        <v>390</v>
      </c>
      <c r="D2171" t="s">
        <v>76</v>
      </c>
      <c r="E2171" t="s">
        <v>664</v>
      </c>
      <c r="F2171" t="s">
        <v>78</v>
      </c>
      <c r="G2171" t="s">
        <v>665</v>
      </c>
      <c r="H2171" t="s">
        <v>10567</v>
      </c>
      <c r="J2171">
        <v>81111</v>
      </c>
      <c r="L2171">
        <v>41386</v>
      </c>
      <c r="O2171">
        <v>113</v>
      </c>
    </row>
    <row r="2172" spans="1:15" x14ac:dyDescent="0.25">
      <c r="A2172" t="s">
        <v>564</v>
      </c>
      <c r="B2172" t="s">
        <v>30</v>
      </c>
      <c r="C2172" t="s">
        <v>390</v>
      </c>
      <c r="D2172" t="s">
        <v>76</v>
      </c>
      <c r="E2172" t="s">
        <v>927</v>
      </c>
      <c r="F2172" t="s">
        <v>78</v>
      </c>
      <c r="G2172" t="s">
        <v>928</v>
      </c>
      <c r="H2172" t="s">
        <v>10555</v>
      </c>
      <c r="J2172">
        <v>81111</v>
      </c>
      <c r="L2172">
        <v>41386</v>
      </c>
      <c r="O2172">
        <v>114</v>
      </c>
    </row>
    <row r="2173" spans="1:15" x14ac:dyDescent="0.25">
      <c r="A2173" t="s">
        <v>564</v>
      </c>
      <c r="B2173" t="s">
        <v>30</v>
      </c>
      <c r="C2173" t="s">
        <v>390</v>
      </c>
      <c r="D2173" t="s">
        <v>76</v>
      </c>
      <c r="E2173" t="s">
        <v>690</v>
      </c>
      <c r="F2173" t="s">
        <v>78</v>
      </c>
      <c r="G2173" t="s">
        <v>691</v>
      </c>
      <c r="H2173" t="s">
        <v>10559</v>
      </c>
      <c r="J2173">
        <v>81111</v>
      </c>
      <c r="L2173">
        <v>41386</v>
      </c>
      <c r="O2173">
        <v>115</v>
      </c>
    </row>
    <row r="2174" spans="1:15" x14ac:dyDescent="0.25">
      <c r="A2174" t="s">
        <v>564</v>
      </c>
      <c r="B2174" t="s">
        <v>30</v>
      </c>
      <c r="C2174" t="s">
        <v>390</v>
      </c>
      <c r="D2174" t="s">
        <v>76</v>
      </c>
      <c r="E2174" t="s">
        <v>931</v>
      </c>
      <c r="F2174" t="s">
        <v>78</v>
      </c>
      <c r="G2174" t="s">
        <v>932</v>
      </c>
      <c r="H2174" t="s">
        <v>10570</v>
      </c>
      <c r="J2174">
        <v>81111</v>
      </c>
      <c r="L2174">
        <v>41386</v>
      </c>
      <c r="O2174">
        <v>116</v>
      </c>
    </row>
    <row r="2175" spans="1:15" x14ac:dyDescent="0.25">
      <c r="A2175" t="s">
        <v>564</v>
      </c>
      <c r="B2175" t="s">
        <v>30</v>
      </c>
      <c r="C2175" t="s">
        <v>390</v>
      </c>
      <c r="D2175" t="s">
        <v>76</v>
      </c>
      <c r="E2175" t="s">
        <v>943</v>
      </c>
      <c r="F2175" t="s">
        <v>78</v>
      </c>
      <c r="G2175" t="s">
        <v>944</v>
      </c>
      <c r="H2175" t="s">
        <v>10569</v>
      </c>
      <c r="J2175">
        <v>81111</v>
      </c>
      <c r="L2175">
        <v>41386</v>
      </c>
      <c r="O2175">
        <v>117</v>
      </c>
    </row>
    <row r="2176" spans="1:15" x14ac:dyDescent="0.25">
      <c r="A2176" t="s">
        <v>564</v>
      </c>
      <c r="B2176" t="s">
        <v>30</v>
      </c>
      <c r="C2176" t="s">
        <v>390</v>
      </c>
      <c r="D2176" t="s">
        <v>76</v>
      </c>
      <c r="E2176" t="s">
        <v>946</v>
      </c>
      <c r="F2176" t="s">
        <v>78</v>
      </c>
      <c r="G2176" t="s">
        <v>947</v>
      </c>
      <c r="H2176" t="s">
        <v>10535</v>
      </c>
      <c r="J2176">
        <v>81111</v>
      </c>
      <c r="L2176">
        <v>41386</v>
      </c>
      <c r="O2176">
        <v>118</v>
      </c>
    </row>
    <row r="2177" spans="1:15" x14ac:dyDescent="0.25">
      <c r="A2177" t="s">
        <v>564</v>
      </c>
      <c r="B2177" t="s">
        <v>30</v>
      </c>
      <c r="C2177" t="s">
        <v>390</v>
      </c>
      <c r="D2177" t="s">
        <v>76</v>
      </c>
      <c r="E2177" t="s">
        <v>949</v>
      </c>
      <c r="F2177" t="s">
        <v>78</v>
      </c>
      <c r="G2177" t="s">
        <v>950</v>
      </c>
      <c r="H2177" t="s">
        <v>10536</v>
      </c>
      <c r="J2177">
        <v>81111</v>
      </c>
      <c r="L2177">
        <v>41386</v>
      </c>
      <c r="O2177">
        <v>119</v>
      </c>
    </row>
    <row r="2178" spans="1:15" x14ac:dyDescent="0.25">
      <c r="A2178" t="s">
        <v>564</v>
      </c>
      <c r="B2178" t="s">
        <v>30</v>
      </c>
      <c r="C2178" t="s">
        <v>390</v>
      </c>
      <c r="D2178" t="s">
        <v>76</v>
      </c>
      <c r="E2178" t="s">
        <v>955</v>
      </c>
      <c r="F2178" t="s">
        <v>78</v>
      </c>
      <c r="G2178" t="s">
        <v>956</v>
      </c>
      <c r="H2178" t="s">
        <v>10538</v>
      </c>
      <c r="J2178">
        <v>81111</v>
      </c>
      <c r="L2178">
        <v>41386</v>
      </c>
      <c r="O2178">
        <v>120</v>
      </c>
    </row>
    <row r="2179" spans="1:15" x14ac:dyDescent="0.25">
      <c r="A2179" t="s">
        <v>564</v>
      </c>
      <c r="B2179" t="s">
        <v>30</v>
      </c>
      <c r="C2179" t="s">
        <v>390</v>
      </c>
      <c r="D2179" t="s">
        <v>76</v>
      </c>
      <c r="E2179" t="s">
        <v>961</v>
      </c>
      <c r="F2179" t="s">
        <v>78</v>
      </c>
      <c r="G2179" t="s">
        <v>962</v>
      </c>
      <c r="H2179" t="s">
        <v>10561</v>
      </c>
      <c r="J2179">
        <v>81111</v>
      </c>
      <c r="L2179">
        <v>41386</v>
      </c>
      <c r="O2179">
        <v>121</v>
      </c>
    </row>
    <row r="2180" spans="1:15" x14ac:dyDescent="0.25">
      <c r="A2180" t="s">
        <v>564</v>
      </c>
      <c r="B2180" t="s">
        <v>30</v>
      </c>
      <c r="C2180" t="s">
        <v>390</v>
      </c>
      <c r="D2180" t="s">
        <v>76</v>
      </c>
      <c r="E2180" t="s">
        <v>964</v>
      </c>
      <c r="F2180" t="s">
        <v>78</v>
      </c>
      <c r="G2180" t="s">
        <v>965</v>
      </c>
      <c r="H2180" t="s">
        <v>10541</v>
      </c>
      <c r="J2180">
        <v>81111</v>
      </c>
      <c r="L2180">
        <v>41386</v>
      </c>
      <c r="O2180">
        <v>122</v>
      </c>
    </row>
    <row r="2181" spans="1:15" x14ac:dyDescent="0.25">
      <c r="A2181" t="s">
        <v>564</v>
      </c>
      <c r="B2181" t="s">
        <v>30</v>
      </c>
      <c r="C2181" t="s">
        <v>390</v>
      </c>
      <c r="D2181" t="s">
        <v>76</v>
      </c>
      <c r="E2181" t="s">
        <v>967</v>
      </c>
      <c r="F2181" t="s">
        <v>78</v>
      </c>
      <c r="G2181" t="s">
        <v>968</v>
      </c>
      <c r="H2181" t="s">
        <v>10486</v>
      </c>
      <c r="J2181">
        <v>81111</v>
      </c>
      <c r="L2181">
        <v>41386</v>
      </c>
      <c r="O2181">
        <v>123</v>
      </c>
    </row>
    <row r="2182" spans="1:15" x14ac:dyDescent="0.25">
      <c r="A2182" t="s">
        <v>564</v>
      </c>
      <c r="B2182" t="s">
        <v>30</v>
      </c>
      <c r="C2182" t="s">
        <v>390</v>
      </c>
      <c r="D2182" t="s">
        <v>76</v>
      </c>
      <c r="E2182" t="s">
        <v>970</v>
      </c>
      <c r="F2182" t="s">
        <v>78</v>
      </c>
      <c r="G2182" t="s">
        <v>971</v>
      </c>
      <c r="H2182" t="s">
        <v>10532</v>
      </c>
      <c r="J2182">
        <v>81111</v>
      </c>
      <c r="L2182">
        <v>41386</v>
      </c>
      <c r="O2182">
        <v>124</v>
      </c>
    </row>
    <row r="2183" spans="1:15" x14ac:dyDescent="0.25">
      <c r="A2183" t="s">
        <v>564</v>
      </c>
      <c r="B2183" t="s">
        <v>30</v>
      </c>
      <c r="C2183" t="s">
        <v>390</v>
      </c>
      <c r="D2183" t="s">
        <v>76</v>
      </c>
      <c r="E2183" t="s">
        <v>973</v>
      </c>
      <c r="F2183" t="s">
        <v>78</v>
      </c>
      <c r="G2183" t="s">
        <v>974</v>
      </c>
      <c r="H2183" t="s">
        <v>10524</v>
      </c>
      <c r="J2183">
        <v>81111</v>
      </c>
      <c r="L2183">
        <v>41386</v>
      </c>
      <c r="O2183">
        <v>125</v>
      </c>
    </row>
    <row r="2184" spans="1:15" x14ac:dyDescent="0.25">
      <c r="A2184" t="s">
        <v>564</v>
      </c>
      <c r="B2184" t="s">
        <v>30</v>
      </c>
      <c r="C2184" t="s">
        <v>390</v>
      </c>
      <c r="D2184" t="s">
        <v>76</v>
      </c>
      <c r="E2184" t="s">
        <v>976</v>
      </c>
      <c r="F2184" t="s">
        <v>78</v>
      </c>
      <c r="G2184" t="s">
        <v>977</v>
      </c>
      <c r="H2184" t="s">
        <v>10533</v>
      </c>
      <c r="J2184">
        <v>81111</v>
      </c>
      <c r="L2184">
        <v>41386</v>
      </c>
      <c r="O2184">
        <v>126</v>
      </c>
    </row>
    <row r="2185" spans="1:15" x14ac:dyDescent="0.25">
      <c r="A2185" t="s">
        <v>564</v>
      </c>
      <c r="B2185" t="s">
        <v>30</v>
      </c>
      <c r="C2185" t="s">
        <v>390</v>
      </c>
      <c r="D2185" t="s">
        <v>76</v>
      </c>
      <c r="E2185" t="s">
        <v>979</v>
      </c>
      <c r="F2185" t="s">
        <v>78</v>
      </c>
      <c r="G2185" t="s">
        <v>980</v>
      </c>
      <c r="H2185" t="s">
        <v>10539</v>
      </c>
      <c r="J2185">
        <v>81111</v>
      </c>
      <c r="L2185">
        <v>41386</v>
      </c>
      <c r="O2185">
        <v>127</v>
      </c>
    </row>
    <row r="2186" spans="1:15" x14ac:dyDescent="0.25">
      <c r="A2186" t="s">
        <v>564</v>
      </c>
      <c r="B2186" t="s">
        <v>30</v>
      </c>
      <c r="C2186" t="s">
        <v>390</v>
      </c>
      <c r="D2186" t="s">
        <v>76</v>
      </c>
      <c r="E2186" t="s">
        <v>982</v>
      </c>
      <c r="F2186" t="s">
        <v>78</v>
      </c>
      <c r="G2186" t="s">
        <v>983</v>
      </c>
      <c r="H2186" t="s">
        <v>10540</v>
      </c>
      <c r="J2186">
        <v>81111</v>
      </c>
      <c r="L2186">
        <v>41386</v>
      </c>
      <c r="O2186">
        <v>128</v>
      </c>
    </row>
    <row r="2187" spans="1:15" x14ac:dyDescent="0.25">
      <c r="A2187" t="s">
        <v>564</v>
      </c>
      <c r="B2187" t="s">
        <v>30</v>
      </c>
      <c r="C2187" t="s">
        <v>390</v>
      </c>
      <c r="D2187" t="s">
        <v>76</v>
      </c>
      <c r="E2187" t="s">
        <v>985</v>
      </c>
      <c r="F2187" t="s">
        <v>78</v>
      </c>
      <c r="G2187" t="s">
        <v>986</v>
      </c>
      <c r="H2187" t="s">
        <v>10525</v>
      </c>
      <c r="J2187">
        <v>81111</v>
      </c>
      <c r="L2187">
        <v>41386</v>
      </c>
      <c r="O2187">
        <v>129</v>
      </c>
    </row>
    <row r="2188" spans="1:15" x14ac:dyDescent="0.25">
      <c r="A2188" t="s">
        <v>564</v>
      </c>
      <c r="B2188" t="s">
        <v>30</v>
      </c>
      <c r="C2188" t="s">
        <v>390</v>
      </c>
      <c r="D2188" t="s">
        <v>76</v>
      </c>
      <c r="E2188" t="s">
        <v>988</v>
      </c>
      <c r="F2188" t="s">
        <v>78</v>
      </c>
      <c r="G2188" t="s">
        <v>989</v>
      </c>
      <c r="H2188" t="s">
        <v>10530</v>
      </c>
      <c r="J2188">
        <v>81111</v>
      </c>
      <c r="L2188">
        <v>41386</v>
      </c>
      <c r="O2188">
        <v>130</v>
      </c>
    </row>
    <row r="2189" spans="1:15" x14ac:dyDescent="0.25">
      <c r="A2189" t="s">
        <v>564</v>
      </c>
      <c r="B2189" t="s">
        <v>30</v>
      </c>
      <c r="C2189" t="s">
        <v>390</v>
      </c>
      <c r="D2189" t="s">
        <v>76</v>
      </c>
      <c r="E2189" t="s">
        <v>994</v>
      </c>
      <c r="F2189" t="s">
        <v>78</v>
      </c>
      <c r="G2189" t="s">
        <v>995</v>
      </c>
      <c r="H2189" t="s">
        <v>10542</v>
      </c>
      <c r="J2189">
        <v>81111</v>
      </c>
      <c r="L2189">
        <v>41386</v>
      </c>
      <c r="O2189">
        <v>131</v>
      </c>
    </row>
    <row r="2190" spans="1:15" x14ac:dyDescent="0.25">
      <c r="A2190" t="s">
        <v>564</v>
      </c>
      <c r="B2190" t="s">
        <v>30</v>
      </c>
      <c r="C2190" t="s">
        <v>390</v>
      </c>
      <c r="D2190" t="s">
        <v>76</v>
      </c>
      <c r="E2190" t="s">
        <v>997</v>
      </c>
      <c r="F2190" t="s">
        <v>78</v>
      </c>
      <c r="G2190" t="s">
        <v>998</v>
      </c>
      <c r="H2190" t="s">
        <v>10531</v>
      </c>
      <c r="J2190">
        <v>81111</v>
      </c>
      <c r="L2190">
        <v>41386</v>
      </c>
      <c r="O2190">
        <v>132</v>
      </c>
    </row>
    <row r="2191" spans="1:15" x14ac:dyDescent="0.25">
      <c r="A2191" t="s">
        <v>564</v>
      </c>
      <c r="B2191" t="s">
        <v>30</v>
      </c>
      <c r="C2191" t="s">
        <v>390</v>
      </c>
      <c r="D2191" t="s">
        <v>76</v>
      </c>
      <c r="E2191" t="s">
        <v>1000</v>
      </c>
      <c r="F2191" t="s">
        <v>78</v>
      </c>
      <c r="G2191" t="s">
        <v>1001</v>
      </c>
      <c r="H2191" t="s">
        <v>10534</v>
      </c>
      <c r="J2191">
        <v>81111</v>
      </c>
      <c r="L2191">
        <v>41386</v>
      </c>
      <c r="O2191">
        <v>133</v>
      </c>
    </row>
    <row r="2192" spans="1:15" x14ac:dyDescent="0.25">
      <c r="A2192" t="s">
        <v>564</v>
      </c>
      <c r="B2192" t="s">
        <v>30</v>
      </c>
      <c r="C2192" t="s">
        <v>390</v>
      </c>
      <c r="D2192" t="s">
        <v>76</v>
      </c>
      <c r="E2192" t="s">
        <v>1003</v>
      </c>
      <c r="F2192" t="s">
        <v>78</v>
      </c>
      <c r="G2192" t="s">
        <v>1004</v>
      </c>
      <c r="H2192" t="s">
        <v>10526</v>
      </c>
      <c r="J2192">
        <v>81111</v>
      </c>
      <c r="L2192">
        <v>41386</v>
      </c>
      <c r="O2192">
        <v>134</v>
      </c>
    </row>
    <row r="2193" spans="1:15" x14ac:dyDescent="0.25">
      <c r="A2193" t="s">
        <v>564</v>
      </c>
      <c r="B2193" t="s">
        <v>30</v>
      </c>
      <c r="C2193" t="s">
        <v>390</v>
      </c>
      <c r="D2193" t="s">
        <v>76</v>
      </c>
      <c r="E2193" t="s">
        <v>1015</v>
      </c>
      <c r="F2193" t="s">
        <v>78</v>
      </c>
      <c r="G2193" t="s">
        <v>1016</v>
      </c>
      <c r="H2193" t="s">
        <v>10568</v>
      </c>
      <c r="J2193">
        <v>81111</v>
      </c>
      <c r="L2193">
        <v>41386</v>
      </c>
      <c r="O2193">
        <v>135</v>
      </c>
    </row>
    <row r="2194" spans="1:15" x14ac:dyDescent="0.25">
      <c r="A2194" t="s">
        <v>564</v>
      </c>
      <c r="B2194" t="s">
        <v>30</v>
      </c>
      <c r="C2194" t="s">
        <v>390</v>
      </c>
      <c r="D2194" t="s">
        <v>76</v>
      </c>
      <c r="E2194" t="s">
        <v>1018</v>
      </c>
      <c r="F2194" t="s">
        <v>78</v>
      </c>
      <c r="G2194" t="s">
        <v>1019</v>
      </c>
      <c r="H2194" t="s">
        <v>10546</v>
      </c>
      <c r="J2194">
        <v>81111</v>
      </c>
      <c r="L2194">
        <v>41386</v>
      </c>
      <c r="O2194">
        <v>136</v>
      </c>
    </row>
    <row r="2195" spans="1:15" x14ac:dyDescent="0.25">
      <c r="A2195" t="s">
        <v>564</v>
      </c>
      <c r="B2195" t="s">
        <v>30</v>
      </c>
      <c r="C2195" t="s">
        <v>390</v>
      </c>
      <c r="D2195" t="s">
        <v>76</v>
      </c>
      <c r="E2195" t="s">
        <v>692</v>
      </c>
      <c r="F2195" t="s">
        <v>78</v>
      </c>
      <c r="G2195" t="s">
        <v>693</v>
      </c>
      <c r="H2195" t="s">
        <v>10560</v>
      </c>
      <c r="J2195">
        <v>81111</v>
      </c>
      <c r="L2195">
        <v>41386</v>
      </c>
      <c r="O2195">
        <v>137</v>
      </c>
    </row>
    <row r="2196" spans="1:15" x14ac:dyDescent="0.25">
      <c r="A2196" t="s">
        <v>564</v>
      </c>
      <c r="B2196" t="s">
        <v>30</v>
      </c>
      <c r="C2196" t="s">
        <v>390</v>
      </c>
      <c r="D2196" t="s">
        <v>76</v>
      </c>
      <c r="E2196" t="s">
        <v>678</v>
      </c>
      <c r="F2196" t="s">
        <v>78</v>
      </c>
      <c r="G2196" t="s">
        <v>679</v>
      </c>
      <c r="H2196" t="s">
        <v>10481</v>
      </c>
      <c r="J2196">
        <v>81111</v>
      </c>
      <c r="L2196">
        <v>41386</v>
      </c>
      <c r="O2196">
        <v>138</v>
      </c>
    </row>
    <row r="2197" spans="1:15" x14ac:dyDescent="0.25">
      <c r="A2197" t="s">
        <v>564</v>
      </c>
      <c r="B2197" t="s">
        <v>30</v>
      </c>
      <c r="C2197" t="s">
        <v>390</v>
      </c>
      <c r="D2197" t="s">
        <v>76</v>
      </c>
      <c r="E2197" t="s">
        <v>1027</v>
      </c>
      <c r="F2197" t="s">
        <v>78</v>
      </c>
      <c r="G2197" t="s">
        <v>1028</v>
      </c>
      <c r="H2197" t="s">
        <v>10528</v>
      </c>
      <c r="J2197">
        <v>81111</v>
      </c>
      <c r="L2197">
        <v>41386</v>
      </c>
      <c r="O2197">
        <v>139</v>
      </c>
    </row>
    <row r="2198" spans="1:15" x14ac:dyDescent="0.25">
      <c r="A2198" t="s">
        <v>564</v>
      </c>
      <c r="B2198" t="s">
        <v>30</v>
      </c>
      <c r="C2198" t="s">
        <v>390</v>
      </c>
      <c r="D2198" t="s">
        <v>76</v>
      </c>
      <c r="E2198" t="s">
        <v>1030</v>
      </c>
      <c r="F2198" t="s">
        <v>78</v>
      </c>
      <c r="G2198" t="s">
        <v>1031</v>
      </c>
      <c r="H2198" t="s">
        <v>10487</v>
      </c>
      <c r="J2198">
        <v>81111</v>
      </c>
      <c r="L2198">
        <v>41386</v>
      </c>
      <c r="O2198">
        <v>140</v>
      </c>
    </row>
    <row r="2199" spans="1:15" x14ac:dyDescent="0.25">
      <c r="A2199" t="s">
        <v>564</v>
      </c>
      <c r="B2199" t="s">
        <v>30</v>
      </c>
      <c r="C2199" t="s">
        <v>390</v>
      </c>
      <c r="D2199" t="s">
        <v>76</v>
      </c>
      <c r="E2199" t="s">
        <v>1033</v>
      </c>
      <c r="F2199" t="s">
        <v>78</v>
      </c>
      <c r="G2199" t="s">
        <v>1034</v>
      </c>
      <c r="H2199" t="s">
        <v>10523</v>
      </c>
      <c r="J2199">
        <v>81111</v>
      </c>
      <c r="L2199">
        <v>41386</v>
      </c>
      <c r="O2199">
        <v>141</v>
      </c>
    </row>
    <row r="2200" spans="1:15" x14ac:dyDescent="0.25">
      <c r="A2200" t="s">
        <v>564</v>
      </c>
      <c r="B2200" t="s">
        <v>30</v>
      </c>
      <c r="C2200" t="s">
        <v>390</v>
      </c>
      <c r="D2200" t="s">
        <v>76</v>
      </c>
      <c r="E2200" t="s">
        <v>1042</v>
      </c>
      <c r="F2200" t="s">
        <v>78</v>
      </c>
      <c r="G2200" t="s">
        <v>1043</v>
      </c>
      <c r="H2200" t="s">
        <v>10545</v>
      </c>
      <c r="J2200">
        <v>81111</v>
      </c>
      <c r="L2200">
        <v>41386</v>
      </c>
      <c r="O2200">
        <v>142</v>
      </c>
    </row>
    <row r="2201" spans="1:15" x14ac:dyDescent="0.25">
      <c r="A2201" t="s">
        <v>564</v>
      </c>
      <c r="B2201" t="s">
        <v>30</v>
      </c>
      <c r="C2201" t="s">
        <v>390</v>
      </c>
      <c r="D2201" t="s">
        <v>76</v>
      </c>
      <c r="E2201" t="s">
        <v>10855</v>
      </c>
      <c r="F2201" t="s">
        <v>78</v>
      </c>
      <c r="G2201" t="s">
        <v>10856</v>
      </c>
      <c r="H2201" t="s">
        <v>10868</v>
      </c>
      <c r="J2201">
        <v>81111</v>
      </c>
      <c r="L2201">
        <v>41386</v>
      </c>
      <c r="O2201">
        <v>143</v>
      </c>
    </row>
    <row r="2202" spans="1:15" x14ac:dyDescent="0.25">
      <c r="A2202" t="s">
        <v>564</v>
      </c>
      <c r="B2202" t="s">
        <v>30</v>
      </c>
      <c r="C2202" t="s">
        <v>390</v>
      </c>
      <c r="D2202" t="s">
        <v>76</v>
      </c>
      <c r="E2202" t="s">
        <v>1048</v>
      </c>
      <c r="F2202" t="s">
        <v>78</v>
      </c>
      <c r="G2202" t="s">
        <v>1049</v>
      </c>
      <c r="H2202" t="s">
        <v>10527</v>
      </c>
      <c r="J2202">
        <v>81111</v>
      </c>
      <c r="L2202">
        <v>41386</v>
      </c>
      <c r="O2202">
        <v>144</v>
      </c>
    </row>
    <row r="2203" spans="1:15" x14ac:dyDescent="0.25">
      <c r="A2203" t="s">
        <v>564</v>
      </c>
      <c r="B2203" t="s">
        <v>30</v>
      </c>
      <c r="C2203" t="s">
        <v>390</v>
      </c>
      <c r="D2203" t="s">
        <v>76</v>
      </c>
      <c r="E2203" t="s">
        <v>1051</v>
      </c>
      <c r="F2203" t="s">
        <v>78</v>
      </c>
      <c r="G2203" t="s">
        <v>1052</v>
      </c>
      <c r="H2203" t="s">
        <v>10529</v>
      </c>
      <c r="J2203">
        <v>81111</v>
      </c>
      <c r="L2203">
        <v>41386</v>
      </c>
      <c r="O2203">
        <v>145</v>
      </c>
    </row>
    <row r="2204" spans="1:15" x14ac:dyDescent="0.25">
      <c r="A2204" t="s">
        <v>564</v>
      </c>
      <c r="B2204" t="s">
        <v>30</v>
      </c>
      <c r="C2204" t="s">
        <v>390</v>
      </c>
      <c r="D2204" t="s">
        <v>76</v>
      </c>
      <c r="E2204" t="s">
        <v>1054</v>
      </c>
      <c r="F2204" t="s">
        <v>78</v>
      </c>
      <c r="G2204" t="s">
        <v>1055</v>
      </c>
      <c r="H2204" t="s">
        <v>10543</v>
      </c>
      <c r="J2204">
        <v>81111</v>
      </c>
      <c r="L2204">
        <v>41386</v>
      </c>
      <c r="O2204">
        <v>146</v>
      </c>
    </row>
    <row r="2205" spans="1:15" x14ac:dyDescent="0.25">
      <c r="A2205" t="s">
        <v>564</v>
      </c>
      <c r="B2205" t="s">
        <v>30</v>
      </c>
      <c r="C2205" t="s">
        <v>390</v>
      </c>
      <c r="D2205" t="s">
        <v>76</v>
      </c>
      <c r="E2205" t="s">
        <v>1057</v>
      </c>
      <c r="F2205" t="s">
        <v>78</v>
      </c>
      <c r="G2205" t="s">
        <v>1058</v>
      </c>
      <c r="H2205" t="s">
        <v>10537</v>
      </c>
      <c r="J2205">
        <v>81111</v>
      </c>
      <c r="L2205">
        <v>41386</v>
      </c>
      <c r="O2205">
        <v>147</v>
      </c>
    </row>
    <row r="2206" spans="1:15" x14ac:dyDescent="0.25">
      <c r="A2206" t="s">
        <v>564</v>
      </c>
      <c r="B2206" t="s">
        <v>30</v>
      </c>
      <c r="C2206" t="s">
        <v>390</v>
      </c>
      <c r="D2206" t="s">
        <v>76</v>
      </c>
      <c r="E2206" t="s">
        <v>1060</v>
      </c>
      <c r="F2206" t="s">
        <v>78</v>
      </c>
      <c r="G2206" t="s">
        <v>1061</v>
      </c>
      <c r="H2206" t="s">
        <v>10544</v>
      </c>
      <c r="J2206">
        <v>81111</v>
      </c>
      <c r="L2206">
        <v>41386</v>
      </c>
      <c r="O2206">
        <v>148</v>
      </c>
    </row>
    <row r="2207" spans="1:15" x14ac:dyDescent="0.25">
      <c r="A2207" t="s">
        <v>564</v>
      </c>
      <c r="B2207" t="s">
        <v>30</v>
      </c>
      <c r="C2207" t="s">
        <v>390</v>
      </c>
      <c r="D2207" t="s">
        <v>76</v>
      </c>
      <c r="E2207" t="s">
        <v>1066</v>
      </c>
      <c r="F2207" t="s">
        <v>78</v>
      </c>
      <c r="G2207" t="s">
        <v>1067</v>
      </c>
      <c r="H2207" t="s">
        <v>10547</v>
      </c>
      <c r="J2207">
        <v>81111</v>
      </c>
      <c r="L2207">
        <v>41386</v>
      </c>
      <c r="O2207">
        <v>149</v>
      </c>
    </row>
    <row r="2208" spans="1:15" x14ac:dyDescent="0.25">
      <c r="A2208" t="s">
        <v>564</v>
      </c>
      <c r="B2208" t="s">
        <v>30</v>
      </c>
      <c r="C2208" t="s">
        <v>390</v>
      </c>
      <c r="D2208" t="s">
        <v>76</v>
      </c>
      <c r="E2208" t="s">
        <v>1072</v>
      </c>
      <c r="F2208" t="s">
        <v>78</v>
      </c>
      <c r="G2208" t="s">
        <v>1073</v>
      </c>
      <c r="H2208" t="s">
        <v>10548</v>
      </c>
      <c r="J2208">
        <v>81111</v>
      </c>
      <c r="L2208">
        <v>41386</v>
      </c>
      <c r="O2208">
        <v>150</v>
      </c>
    </row>
    <row r="2209" spans="1:15" x14ac:dyDescent="0.25">
      <c r="A2209" t="s">
        <v>564</v>
      </c>
      <c r="B2209" t="s">
        <v>30</v>
      </c>
      <c r="C2209" t="s">
        <v>390</v>
      </c>
      <c r="D2209" t="s">
        <v>76</v>
      </c>
      <c r="E2209" t="s">
        <v>1075</v>
      </c>
      <c r="F2209" t="s">
        <v>78</v>
      </c>
      <c r="G2209" t="s">
        <v>1076</v>
      </c>
      <c r="H2209" t="s">
        <v>10549</v>
      </c>
      <c r="J2209">
        <v>81111</v>
      </c>
      <c r="L2209">
        <v>41386</v>
      </c>
      <c r="O2209">
        <v>151</v>
      </c>
    </row>
    <row r="2210" spans="1:15" x14ac:dyDescent="0.25">
      <c r="A2210" t="s">
        <v>564</v>
      </c>
      <c r="B2210" t="s">
        <v>30</v>
      </c>
      <c r="C2210" t="s">
        <v>390</v>
      </c>
      <c r="D2210" t="s">
        <v>76</v>
      </c>
      <c r="E2210" t="s">
        <v>1078</v>
      </c>
      <c r="F2210" t="s">
        <v>78</v>
      </c>
      <c r="G2210" t="s">
        <v>1079</v>
      </c>
      <c r="H2210" t="s">
        <v>10563</v>
      </c>
      <c r="J2210">
        <v>81111</v>
      </c>
      <c r="L2210">
        <v>41386</v>
      </c>
      <c r="O2210">
        <v>152</v>
      </c>
    </row>
    <row r="2211" spans="1:15" x14ac:dyDescent="0.25">
      <c r="A2211" t="s">
        <v>564</v>
      </c>
      <c r="B2211" t="s">
        <v>30</v>
      </c>
      <c r="C2211" t="s">
        <v>390</v>
      </c>
      <c r="D2211" t="s">
        <v>76</v>
      </c>
      <c r="E2211" t="s">
        <v>1081</v>
      </c>
      <c r="F2211" t="s">
        <v>78</v>
      </c>
      <c r="G2211" t="s">
        <v>1082</v>
      </c>
      <c r="H2211" t="s">
        <v>10572</v>
      </c>
      <c r="J2211">
        <v>81111</v>
      </c>
      <c r="L2211">
        <v>41386</v>
      </c>
      <c r="O2211">
        <v>153</v>
      </c>
    </row>
    <row r="2212" spans="1:15" x14ac:dyDescent="0.25">
      <c r="A2212" t="s">
        <v>564</v>
      </c>
      <c r="B2212" t="s">
        <v>30</v>
      </c>
      <c r="C2212" t="s">
        <v>390</v>
      </c>
      <c r="D2212" t="s">
        <v>76</v>
      </c>
      <c r="E2212" t="s">
        <v>1093</v>
      </c>
      <c r="F2212" t="s">
        <v>78</v>
      </c>
      <c r="G2212" t="s">
        <v>1094</v>
      </c>
      <c r="H2212" t="s">
        <v>10571</v>
      </c>
      <c r="J2212">
        <v>81111</v>
      </c>
      <c r="L2212">
        <v>41386</v>
      </c>
      <c r="O2212">
        <v>154</v>
      </c>
    </row>
    <row r="2213" spans="1:15" x14ac:dyDescent="0.25">
      <c r="A2213" t="s">
        <v>564</v>
      </c>
      <c r="B2213" t="s">
        <v>30</v>
      </c>
      <c r="C2213" t="s">
        <v>390</v>
      </c>
      <c r="D2213" t="s">
        <v>76</v>
      </c>
      <c r="E2213" t="s">
        <v>1096</v>
      </c>
      <c r="F2213" t="s">
        <v>78</v>
      </c>
      <c r="G2213" t="s">
        <v>1097</v>
      </c>
      <c r="H2213" t="s">
        <v>10551</v>
      </c>
      <c r="J2213">
        <v>81111</v>
      </c>
      <c r="L2213">
        <v>41386</v>
      </c>
      <c r="O2213">
        <v>155</v>
      </c>
    </row>
    <row r="2214" spans="1:15" x14ac:dyDescent="0.25">
      <c r="A2214" t="s">
        <v>564</v>
      </c>
      <c r="B2214" t="s">
        <v>30</v>
      </c>
      <c r="C2214" t="s">
        <v>390</v>
      </c>
      <c r="D2214" t="s">
        <v>76</v>
      </c>
      <c r="E2214" t="s">
        <v>8468</v>
      </c>
      <c r="F2214" t="s">
        <v>78</v>
      </c>
      <c r="G2214" t="s">
        <v>8469</v>
      </c>
      <c r="H2214" t="s">
        <v>10488</v>
      </c>
      <c r="J2214">
        <v>81111</v>
      </c>
      <c r="L2214">
        <v>41386</v>
      </c>
      <c r="O2214">
        <v>156</v>
      </c>
    </row>
    <row r="2215" spans="1:15" x14ac:dyDescent="0.25">
      <c r="A2215" t="s">
        <v>564</v>
      </c>
      <c r="B2215" t="s">
        <v>30</v>
      </c>
      <c r="C2215" t="s">
        <v>390</v>
      </c>
      <c r="D2215" t="s">
        <v>76</v>
      </c>
      <c r="E2215" t="s">
        <v>688</v>
      </c>
      <c r="F2215" t="s">
        <v>78</v>
      </c>
      <c r="G2215" t="s">
        <v>689</v>
      </c>
      <c r="H2215" t="s">
        <v>10556</v>
      </c>
      <c r="J2215">
        <v>81111</v>
      </c>
      <c r="L2215">
        <v>41386</v>
      </c>
      <c r="O2215">
        <v>157</v>
      </c>
    </row>
    <row r="2216" spans="1:15" x14ac:dyDescent="0.25">
      <c r="A2216" t="s">
        <v>564</v>
      </c>
      <c r="B2216" t="s">
        <v>30</v>
      </c>
      <c r="C2216" t="s">
        <v>390</v>
      </c>
      <c r="D2216" t="s">
        <v>76</v>
      </c>
      <c r="E2216" t="s">
        <v>858</v>
      </c>
      <c r="F2216" t="s">
        <v>78</v>
      </c>
      <c r="G2216" t="s">
        <v>859</v>
      </c>
      <c r="H2216" t="s">
        <v>10553</v>
      </c>
      <c r="J2216">
        <v>81111</v>
      </c>
      <c r="L2216">
        <v>41386</v>
      </c>
      <c r="O2216">
        <v>158</v>
      </c>
    </row>
    <row r="2217" spans="1:15" x14ac:dyDescent="0.25">
      <c r="A2217" t="s">
        <v>564</v>
      </c>
      <c r="B2217" t="s">
        <v>30</v>
      </c>
      <c r="C2217" t="s">
        <v>390</v>
      </c>
      <c r="D2217" t="s">
        <v>76</v>
      </c>
      <c r="E2217" t="s">
        <v>861</v>
      </c>
      <c r="F2217" t="s">
        <v>78</v>
      </c>
      <c r="G2217" t="s">
        <v>862</v>
      </c>
      <c r="H2217" t="s">
        <v>10558</v>
      </c>
      <c r="J2217">
        <v>81111</v>
      </c>
      <c r="L2217">
        <v>41386</v>
      </c>
      <c r="O2217">
        <v>159</v>
      </c>
    </row>
    <row r="2218" spans="1:15" x14ac:dyDescent="0.25">
      <c r="A2218" t="s">
        <v>564</v>
      </c>
      <c r="B2218" t="s">
        <v>30</v>
      </c>
      <c r="C2218" t="s">
        <v>390</v>
      </c>
      <c r="D2218" t="s">
        <v>76</v>
      </c>
      <c r="E2218" t="s">
        <v>873</v>
      </c>
      <c r="F2218" t="s">
        <v>78</v>
      </c>
      <c r="G2218" t="s">
        <v>874</v>
      </c>
      <c r="H2218" t="s">
        <v>10574</v>
      </c>
      <c r="J2218">
        <v>81111</v>
      </c>
      <c r="L2218">
        <v>41386</v>
      </c>
      <c r="O2218">
        <v>160</v>
      </c>
    </row>
    <row r="2219" spans="1:15" x14ac:dyDescent="0.25">
      <c r="A2219" t="s">
        <v>564</v>
      </c>
      <c r="B2219" t="s">
        <v>30</v>
      </c>
      <c r="C2219" t="s">
        <v>390</v>
      </c>
      <c r="D2219" t="s">
        <v>76</v>
      </c>
      <c r="E2219" t="s">
        <v>636</v>
      </c>
      <c r="F2219" t="s">
        <v>78</v>
      </c>
      <c r="G2219" t="s">
        <v>637</v>
      </c>
      <c r="H2219" t="s">
        <v>10443</v>
      </c>
      <c r="J2219">
        <v>81111</v>
      </c>
      <c r="L2219">
        <v>41386</v>
      </c>
      <c r="O2219">
        <v>161</v>
      </c>
    </row>
    <row r="2220" spans="1:15" x14ac:dyDescent="0.25">
      <c r="A2220" t="s">
        <v>564</v>
      </c>
      <c r="B2220" t="s">
        <v>30</v>
      </c>
      <c r="C2220" t="s">
        <v>390</v>
      </c>
      <c r="D2220" t="s">
        <v>76</v>
      </c>
      <c r="E2220" t="s">
        <v>886</v>
      </c>
      <c r="F2220" t="s">
        <v>78</v>
      </c>
      <c r="G2220" t="s">
        <v>887</v>
      </c>
      <c r="H2220" t="s">
        <v>10460</v>
      </c>
      <c r="J2220">
        <v>81111</v>
      </c>
      <c r="L2220">
        <v>41386</v>
      </c>
      <c r="O2220">
        <v>162</v>
      </c>
    </row>
    <row r="2221" spans="1:15" x14ac:dyDescent="0.25">
      <c r="A2221" t="s">
        <v>564</v>
      </c>
      <c r="B2221" t="s">
        <v>30</v>
      </c>
      <c r="C2221" t="s">
        <v>390</v>
      </c>
      <c r="D2221" t="s">
        <v>76</v>
      </c>
      <c r="E2221" t="s">
        <v>684</v>
      </c>
      <c r="F2221" t="s">
        <v>78</v>
      </c>
      <c r="G2221" t="s">
        <v>685</v>
      </c>
      <c r="H2221" t="s">
        <v>10482</v>
      </c>
      <c r="J2221">
        <v>81111</v>
      </c>
      <c r="L2221">
        <v>41386</v>
      </c>
      <c r="O2221">
        <v>163</v>
      </c>
    </row>
    <row r="2222" spans="1:15" x14ac:dyDescent="0.25">
      <c r="A2222" t="s">
        <v>564</v>
      </c>
      <c r="B2222" t="s">
        <v>30</v>
      </c>
      <c r="C2222" t="s">
        <v>390</v>
      </c>
      <c r="D2222" t="s">
        <v>76</v>
      </c>
      <c r="E2222" t="s">
        <v>890</v>
      </c>
      <c r="F2222" t="s">
        <v>78</v>
      </c>
      <c r="G2222" t="s">
        <v>891</v>
      </c>
      <c r="H2222" t="s">
        <v>10573</v>
      </c>
      <c r="J2222">
        <v>81111</v>
      </c>
      <c r="L2222">
        <v>41386</v>
      </c>
      <c r="O2222">
        <v>164</v>
      </c>
    </row>
    <row r="2223" spans="1:15" x14ac:dyDescent="0.25">
      <c r="A2223" t="s">
        <v>564</v>
      </c>
      <c r="B2223" t="s">
        <v>30</v>
      </c>
      <c r="C2223" t="s">
        <v>390</v>
      </c>
      <c r="D2223" t="s">
        <v>76</v>
      </c>
      <c r="E2223" t="s">
        <v>686</v>
      </c>
      <c r="F2223" t="s">
        <v>78</v>
      </c>
      <c r="G2223" t="s">
        <v>687</v>
      </c>
      <c r="H2223" t="s">
        <v>10513</v>
      </c>
      <c r="J2223">
        <v>81111</v>
      </c>
      <c r="L2223">
        <v>41386</v>
      </c>
      <c r="O2223">
        <v>165</v>
      </c>
    </row>
    <row r="2224" spans="1:15" x14ac:dyDescent="0.25">
      <c r="A2224" t="s">
        <v>564</v>
      </c>
      <c r="B2224" t="s">
        <v>30</v>
      </c>
      <c r="C2224" t="s">
        <v>390</v>
      </c>
      <c r="D2224" t="s">
        <v>76</v>
      </c>
      <c r="E2224" t="s">
        <v>634</v>
      </c>
      <c r="F2224" t="s">
        <v>883</v>
      </c>
      <c r="G2224" t="s">
        <v>884</v>
      </c>
      <c r="H2224" t="s">
        <v>10522</v>
      </c>
      <c r="J2224">
        <v>81111</v>
      </c>
      <c r="L2224">
        <v>41386</v>
      </c>
      <c r="O2224">
        <v>166</v>
      </c>
    </row>
    <row r="2225" spans="1:17" x14ac:dyDescent="0.25">
      <c r="A2225" t="s">
        <v>564</v>
      </c>
      <c r="B2225" t="s">
        <v>30</v>
      </c>
      <c r="C2225" t="s">
        <v>390</v>
      </c>
      <c r="D2225" t="s">
        <v>59</v>
      </c>
      <c r="E2225" t="s">
        <v>78</v>
      </c>
      <c r="F2225" t="s">
        <v>78</v>
      </c>
      <c r="G2225" t="s">
        <v>696</v>
      </c>
      <c r="H2225" t="s">
        <v>10575</v>
      </c>
      <c r="I2225">
        <v>0.4897609448780067</v>
      </c>
      <c r="J2225">
        <v>81111</v>
      </c>
      <c r="K2225">
        <v>1</v>
      </c>
      <c r="L2225">
        <v>39725</v>
      </c>
      <c r="M2225">
        <v>39725</v>
      </c>
      <c r="N2225">
        <v>3.8800000000000001E-2</v>
      </c>
      <c r="O2225">
        <v>1</v>
      </c>
    </row>
    <row r="2226" spans="1:17" x14ac:dyDescent="0.25">
      <c r="A2226" t="s">
        <v>564</v>
      </c>
      <c r="B2226" t="s">
        <v>30</v>
      </c>
      <c r="C2226" t="s">
        <v>390</v>
      </c>
      <c r="D2226" t="s">
        <v>59</v>
      </c>
      <c r="E2226" t="s">
        <v>60</v>
      </c>
      <c r="F2226" t="s">
        <v>78</v>
      </c>
      <c r="G2226" t="s">
        <v>697</v>
      </c>
      <c r="H2226" t="s">
        <v>10576</v>
      </c>
      <c r="I2226">
        <v>0.37266215433171829</v>
      </c>
      <c r="J2226">
        <v>81111</v>
      </c>
      <c r="K2226">
        <v>0.7609062303335431</v>
      </c>
      <c r="L2226">
        <v>39725</v>
      </c>
      <c r="M2226">
        <v>30227</v>
      </c>
      <c r="N2226">
        <v>3.6700000000000003E-2</v>
      </c>
      <c r="O2226">
        <v>2</v>
      </c>
    </row>
    <row r="2227" spans="1:17" x14ac:dyDescent="0.25">
      <c r="A2227" t="s">
        <v>564</v>
      </c>
      <c r="B2227" t="s">
        <v>30</v>
      </c>
      <c r="C2227" t="s">
        <v>390</v>
      </c>
      <c r="D2227" t="s">
        <v>59</v>
      </c>
      <c r="E2227" t="s">
        <v>60</v>
      </c>
      <c r="F2227" t="s">
        <v>61</v>
      </c>
      <c r="G2227" t="s">
        <v>698</v>
      </c>
      <c r="H2227" t="s">
        <v>10577</v>
      </c>
      <c r="I2227">
        <v>0.2384140252246921</v>
      </c>
      <c r="J2227">
        <v>81111</v>
      </c>
      <c r="K2227">
        <v>0.48679672750157332</v>
      </c>
      <c r="L2227">
        <v>39725</v>
      </c>
      <c r="M2227">
        <v>19338</v>
      </c>
      <c r="N2227">
        <v>3.9199999999999999E-2</v>
      </c>
      <c r="O2227">
        <v>3</v>
      </c>
      <c r="Q2227">
        <v>1</v>
      </c>
    </row>
    <row r="2228" spans="1:17" x14ac:dyDescent="0.25">
      <c r="A2228" t="s">
        <v>564</v>
      </c>
      <c r="B2228" t="s">
        <v>30</v>
      </c>
      <c r="C2228" t="s">
        <v>390</v>
      </c>
      <c r="D2228" t="s">
        <v>59</v>
      </c>
      <c r="E2228" t="s">
        <v>60</v>
      </c>
      <c r="F2228" t="s">
        <v>63</v>
      </c>
      <c r="G2228" t="s">
        <v>702</v>
      </c>
      <c r="H2228" t="s">
        <v>10578</v>
      </c>
      <c r="I2228">
        <v>0.1371577221338659</v>
      </c>
      <c r="J2228">
        <v>81111</v>
      </c>
      <c r="K2228">
        <v>0.2800503461296413</v>
      </c>
      <c r="L2228">
        <v>39725</v>
      </c>
      <c r="M2228">
        <v>11125</v>
      </c>
      <c r="N2228">
        <v>3.3399999999999999E-2</v>
      </c>
      <c r="O2228">
        <v>4</v>
      </c>
      <c r="Q2228">
        <v>3</v>
      </c>
    </row>
    <row r="2229" spans="1:17" x14ac:dyDescent="0.25">
      <c r="A2229" t="s">
        <v>564</v>
      </c>
      <c r="B2229" t="s">
        <v>30</v>
      </c>
      <c r="C2229" t="s">
        <v>390</v>
      </c>
      <c r="D2229" t="s">
        <v>59</v>
      </c>
      <c r="E2229" t="s">
        <v>64</v>
      </c>
      <c r="F2229" t="s">
        <v>78</v>
      </c>
      <c r="G2229" t="s">
        <v>703</v>
      </c>
      <c r="H2229" t="s">
        <v>10582</v>
      </c>
      <c r="I2229">
        <v>0.11039193204374249</v>
      </c>
      <c r="J2229">
        <v>81111</v>
      </c>
      <c r="K2229">
        <v>0.22539962240402769</v>
      </c>
      <c r="L2229">
        <v>39725</v>
      </c>
      <c r="M2229">
        <v>8954</v>
      </c>
      <c r="N2229">
        <v>4.0300000000000002E-2</v>
      </c>
      <c r="O2229">
        <v>5</v>
      </c>
    </row>
    <row r="2230" spans="1:17" x14ac:dyDescent="0.25">
      <c r="A2230" t="s">
        <v>564</v>
      </c>
      <c r="B2230" t="s">
        <v>30</v>
      </c>
      <c r="C2230" t="s">
        <v>390</v>
      </c>
      <c r="D2230" t="s">
        <v>59</v>
      </c>
      <c r="E2230" t="s">
        <v>64</v>
      </c>
      <c r="F2230" t="s">
        <v>65</v>
      </c>
      <c r="G2230" t="s">
        <v>704</v>
      </c>
      <c r="H2230" t="s">
        <v>10583</v>
      </c>
      <c r="I2230">
        <v>0.1103549456917064</v>
      </c>
      <c r="J2230">
        <v>81111</v>
      </c>
      <c r="K2230">
        <v>0.22532410320956581</v>
      </c>
      <c r="L2230">
        <v>39725</v>
      </c>
      <c r="M2230">
        <v>8951</v>
      </c>
      <c r="N2230">
        <v>4.0300000000000002E-2</v>
      </c>
      <c r="O2230">
        <v>6</v>
      </c>
      <c r="Q2230">
        <v>4</v>
      </c>
    </row>
    <row r="2231" spans="1:17" x14ac:dyDescent="0.25">
      <c r="A2231" t="s">
        <v>564</v>
      </c>
      <c r="B2231" t="s">
        <v>30</v>
      </c>
      <c r="C2231" t="s">
        <v>390</v>
      </c>
      <c r="D2231" t="s">
        <v>59</v>
      </c>
      <c r="E2231" t="s">
        <v>68</v>
      </c>
      <c r="F2231" t="s">
        <v>78</v>
      </c>
      <c r="G2231" t="s">
        <v>700</v>
      </c>
      <c r="H2231" t="s">
        <v>10584</v>
      </c>
      <c r="I2231">
        <v>2.0835644980335591E-2</v>
      </c>
      <c r="J2231">
        <v>81111</v>
      </c>
      <c r="K2231">
        <v>4.254247954688483E-2</v>
      </c>
      <c r="L2231">
        <v>39725</v>
      </c>
      <c r="M2231">
        <v>1690</v>
      </c>
      <c r="O2231">
        <v>7</v>
      </c>
    </row>
    <row r="2232" spans="1:17" x14ac:dyDescent="0.25">
      <c r="A2232" t="s">
        <v>564</v>
      </c>
      <c r="B2232" t="s">
        <v>30</v>
      </c>
      <c r="C2232" t="s">
        <v>390</v>
      </c>
      <c r="D2232" t="s">
        <v>59</v>
      </c>
      <c r="E2232" t="s">
        <v>68</v>
      </c>
      <c r="F2232" t="s">
        <v>70</v>
      </c>
      <c r="G2232" t="s">
        <v>707</v>
      </c>
      <c r="H2232" t="s">
        <v>10585</v>
      </c>
      <c r="I2232">
        <v>2.079865862829949E-2</v>
      </c>
      <c r="J2232">
        <v>81111</v>
      </c>
      <c r="K2232">
        <v>4.2466960352422908E-2</v>
      </c>
      <c r="L2232">
        <v>39725</v>
      </c>
      <c r="M2232">
        <v>1687</v>
      </c>
      <c r="O2232">
        <v>8</v>
      </c>
      <c r="Q2232">
        <v>10</v>
      </c>
    </row>
    <row r="2233" spans="1:17" x14ac:dyDescent="0.25">
      <c r="A2233" t="s">
        <v>564</v>
      </c>
      <c r="B2233" t="s">
        <v>30</v>
      </c>
      <c r="C2233" t="s">
        <v>390</v>
      </c>
      <c r="D2233" t="s">
        <v>59</v>
      </c>
      <c r="E2233" t="s">
        <v>60</v>
      </c>
      <c r="F2233" t="s">
        <v>62</v>
      </c>
      <c r="G2233" t="s">
        <v>699</v>
      </c>
      <c r="H2233" t="s">
        <v>10579</v>
      </c>
      <c r="I2233">
        <v>1.9269889410807411E-2</v>
      </c>
      <c r="J2233">
        <v>81111</v>
      </c>
      <c r="K2233">
        <v>3.9345500314663308E-2</v>
      </c>
      <c r="L2233">
        <v>39725</v>
      </c>
      <c r="M2233">
        <v>1563</v>
      </c>
      <c r="N2233">
        <v>2.0400000000000001E-2</v>
      </c>
      <c r="O2233">
        <v>9</v>
      </c>
      <c r="Q2233">
        <v>2</v>
      </c>
    </row>
    <row r="2234" spans="1:17" x14ac:dyDescent="0.25">
      <c r="A2234" t="s">
        <v>564</v>
      </c>
      <c r="B2234" t="s">
        <v>30</v>
      </c>
      <c r="C2234" t="s">
        <v>390</v>
      </c>
      <c r="D2234" t="s">
        <v>59</v>
      </c>
      <c r="E2234" t="s">
        <v>72</v>
      </c>
      <c r="F2234" t="s">
        <v>78</v>
      </c>
      <c r="G2234" t="s">
        <v>705</v>
      </c>
      <c r="H2234" t="s">
        <v>10580</v>
      </c>
      <c r="I2234">
        <v>1.6668515984268471E-2</v>
      </c>
      <c r="J2234">
        <v>81111</v>
      </c>
      <c r="K2234">
        <v>3.403398363750787E-2</v>
      </c>
      <c r="L2234">
        <v>39725</v>
      </c>
      <c r="M2234">
        <v>1352</v>
      </c>
      <c r="N2234">
        <v>0.14199999999999999</v>
      </c>
      <c r="O2234">
        <v>10</v>
      </c>
    </row>
    <row r="2235" spans="1:17" x14ac:dyDescent="0.25">
      <c r="A2235" t="s">
        <v>564</v>
      </c>
      <c r="B2235" t="s">
        <v>30</v>
      </c>
      <c r="C2235" t="s">
        <v>390</v>
      </c>
      <c r="D2235" t="s">
        <v>59</v>
      </c>
      <c r="E2235" t="s">
        <v>72</v>
      </c>
      <c r="F2235" t="s">
        <v>73</v>
      </c>
      <c r="G2235" t="s">
        <v>706</v>
      </c>
      <c r="H2235" t="s">
        <v>10581</v>
      </c>
      <c r="I2235">
        <v>1.6557556928160171E-2</v>
      </c>
      <c r="J2235">
        <v>81111</v>
      </c>
      <c r="K2235">
        <v>3.380742605412209E-2</v>
      </c>
      <c r="L2235">
        <v>39725</v>
      </c>
      <c r="M2235">
        <v>1343</v>
      </c>
      <c r="N2235">
        <v>0.14280000000000001</v>
      </c>
      <c r="O2235">
        <v>11</v>
      </c>
      <c r="Q2235">
        <v>6</v>
      </c>
    </row>
    <row r="2236" spans="1:17" x14ac:dyDescent="0.25">
      <c r="A2236" t="s">
        <v>564</v>
      </c>
      <c r="B2236" t="s">
        <v>30</v>
      </c>
      <c r="C2236" t="s">
        <v>390</v>
      </c>
      <c r="D2236" t="s">
        <v>59</v>
      </c>
      <c r="E2236" t="s">
        <v>72</v>
      </c>
      <c r="F2236" t="s">
        <v>75</v>
      </c>
      <c r="G2236" t="s">
        <v>710</v>
      </c>
      <c r="H2236" t="s">
        <v>10586</v>
      </c>
      <c r="I2236">
        <v>8.6301488084230258E-5</v>
      </c>
      <c r="J2236">
        <v>81111</v>
      </c>
      <c r="K2236">
        <v>1.7621145374449341E-4</v>
      </c>
      <c r="L2236">
        <v>39725</v>
      </c>
      <c r="M2236">
        <v>7</v>
      </c>
      <c r="O2236">
        <v>12</v>
      </c>
      <c r="Q2236">
        <v>7</v>
      </c>
    </row>
    <row r="2237" spans="1:17" x14ac:dyDescent="0.25">
      <c r="A2237" t="s">
        <v>564</v>
      </c>
      <c r="B2237" t="s">
        <v>30</v>
      </c>
      <c r="C2237" t="s">
        <v>390</v>
      </c>
      <c r="D2237" t="s">
        <v>59</v>
      </c>
      <c r="E2237" t="s">
        <v>68</v>
      </c>
      <c r="F2237" t="s">
        <v>69</v>
      </c>
      <c r="G2237" t="s">
        <v>701</v>
      </c>
      <c r="H2237" t="s">
        <v>10587</v>
      </c>
      <c r="I2237">
        <v>3.6986352036098678E-5</v>
      </c>
      <c r="J2237">
        <v>81111</v>
      </c>
      <c r="K2237">
        <v>7.5519194461925735E-5</v>
      </c>
      <c r="L2237">
        <v>39725</v>
      </c>
      <c r="M2237">
        <v>3</v>
      </c>
      <c r="O2237">
        <v>13</v>
      </c>
      <c r="Q2237">
        <v>11</v>
      </c>
    </row>
    <row r="2238" spans="1:17" x14ac:dyDescent="0.25">
      <c r="A2238" t="s">
        <v>564</v>
      </c>
      <c r="B2238" t="s">
        <v>30</v>
      </c>
      <c r="C2238" t="s">
        <v>390</v>
      </c>
      <c r="D2238" t="s">
        <v>59</v>
      </c>
      <c r="E2238" t="s">
        <v>64</v>
      </c>
      <c r="F2238" t="s">
        <v>8535</v>
      </c>
      <c r="G2238" t="s">
        <v>8536</v>
      </c>
      <c r="H2238" t="s">
        <v>10588</v>
      </c>
      <c r="I2238">
        <v>1.232878401203289E-5</v>
      </c>
      <c r="J2238">
        <v>81111</v>
      </c>
      <c r="K2238">
        <v>2.5173064820641911E-5</v>
      </c>
      <c r="L2238">
        <v>39725</v>
      </c>
      <c r="M2238">
        <v>1</v>
      </c>
      <c r="O2238">
        <v>14</v>
      </c>
    </row>
    <row r="2239" spans="1:17" x14ac:dyDescent="0.25">
      <c r="A2239" t="s">
        <v>564</v>
      </c>
      <c r="B2239" t="s">
        <v>30</v>
      </c>
      <c r="C2239" t="s">
        <v>390</v>
      </c>
      <c r="D2239" t="s">
        <v>59</v>
      </c>
      <c r="E2239" t="s">
        <v>72</v>
      </c>
      <c r="F2239" t="s">
        <v>74</v>
      </c>
      <c r="G2239" t="s">
        <v>708</v>
      </c>
      <c r="H2239" t="s">
        <v>10589</v>
      </c>
      <c r="I2239">
        <v>1.232878401203289E-5</v>
      </c>
      <c r="J2239">
        <v>81111</v>
      </c>
      <c r="K2239">
        <v>2.5173064820641911E-5</v>
      </c>
      <c r="L2239">
        <v>39725</v>
      </c>
      <c r="M2239">
        <v>1</v>
      </c>
      <c r="O2239">
        <v>15</v>
      </c>
      <c r="Q2239">
        <v>9</v>
      </c>
    </row>
    <row r="2240" spans="1:17" x14ac:dyDescent="0.25">
      <c r="A2240" t="s">
        <v>564</v>
      </c>
      <c r="B2240" t="s">
        <v>30</v>
      </c>
      <c r="C2240" t="s">
        <v>390</v>
      </c>
      <c r="D2240" t="s">
        <v>59</v>
      </c>
      <c r="E2240" t="s">
        <v>64</v>
      </c>
      <c r="F2240" t="s">
        <v>8547</v>
      </c>
      <c r="G2240" t="s">
        <v>8548</v>
      </c>
      <c r="H2240" t="s">
        <v>10591</v>
      </c>
      <c r="I2240">
        <v>1.232878401203289E-5</v>
      </c>
      <c r="J2240">
        <v>81111</v>
      </c>
      <c r="K2240">
        <v>2.5173064820641911E-5</v>
      </c>
      <c r="L2240">
        <v>39725</v>
      </c>
      <c r="M2240">
        <v>1</v>
      </c>
      <c r="O2240">
        <v>16</v>
      </c>
    </row>
    <row r="2241" spans="1:17" x14ac:dyDescent="0.25">
      <c r="A2241" t="s">
        <v>564</v>
      </c>
      <c r="B2241" t="s">
        <v>30</v>
      </c>
      <c r="C2241" t="s">
        <v>390</v>
      </c>
      <c r="D2241" t="s">
        <v>59</v>
      </c>
      <c r="E2241" t="s">
        <v>68</v>
      </c>
      <c r="F2241" t="s">
        <v>71</v>
      </c>
      <c r="G2241" t="s">
        <v>8538</v>
      </c>
      <c r="H2241" t="s">
        <v>10593</v>
      </c>
      <c r="J2241">
        <v>81111</v>
      </c>
      <c r="L2241">
        <v>39725</v>
      </c>
      <c r="O2241">
        <v>17</v>
      </c>
    </row>
    <row r="2242" spans="1:17" x14ac:dyDescent="0.25">
      <c r="A2242" t="s">
        <v>564</v>
      </c>
      <c r="B2242" t="s">
        <v>30</v>
      </c>
      <c r="C2242" t="s">
        <v>390</v>
      </c>
      <c r="D2242" t="s">
        <v>59</v>
      </c>
      <c r="E2242" t="s">
        <v>72</v>
      </c>
      <c r="F2242" t="s">
        <v>352</v>
      </c>
      <c r="G2242" t="s">
        <v>1117</v>
      </c>
      <c r="H2242" t="s">
        <v>10594</v>
      </c>
      <c r="J2242">
        <v>81111</v>
      </c>
      <c r="L2242">
        <v>39725</v>
      </c>
      <c r="O2242">
        <v>18</v>
      </c>
      <c r="Q2242">
        <v>8</v>
      </c>
    </row>
    <row r="2243" spans="1:17" x14ac:dyDescent="0.25">
      <c r="A2243" t="s">
        <v>564</v>
      </c>
      <c r="B2243" t="s">
        <v>30</v>
      </c>
      <c r="C2243" t="s">
        <v>390</v>
      </c>
      <c r="D2243" t="s">
        <v>59</v>
      </c>
      <c r="E2243" t="s">
        <v>64</v>
      </c>
      <c r="F2243" t="s">
        <v>8543</v>
      </c>
      <c r="G2243" t="s">
        <v>8544</v>
      </c>
      <c r="H2243" t="s">
        <v>10592</v>
      </c>
      <c r="J2243">
        <v>81111</v>
      </c>
      <c r="L2243">
        <v>39725</v>
      </c>
      <c r="O2243">
        <v>19</v>
      </c>
    </row>
    <row r="2244" spans="1:17" x14ac:dyDescent="0.25">
      <c r="A2244" t="s">
        <v>564</v>
      </c>
      <c r="B2244" t="s">
        <v>30</v>
      </c>
      <c r="C2244" t="s">
        <v>390</v>
      </c>
      <c r="D2244" t="s">
        <v>59</v>
      </c>
      <c r="E2244" t="s">
        <v>64</v>
      </c>
      <c r="F2244" t="s">
        <v>470</v>
      </c>
      <c r="G2244" t="s">
        <v>8540</v>
      </c>
      <c r="H2244" t="s">
        <v>10590</v>
      </c>
      <c r="J2244">
        <v>81111</v>
      </c>
      <c r="L2244">
        <v>39725</v>
      </c>
      <c r="O2244">
        <v>20</v>
      </c>
    </row>
    <row r="2245" spans="1:17" x14ac:dyDescent="0.25">
      <c r="A2245" t="s">
        <v>564</v>
      </c>
      <c r="B2245" t="s">
        <v>30</v>
      </c>
      <c r="C2245" t="s">
        <v>390</v>
      </c>
      <c r="D2245" t="s">
        <v>59</v>
      </c>
      <c r="E2245" t="s">
        <v>64</v>
      </c>
      <c r="F2245" t="s">
        <v>67</v>
      </c>
      <c r="G2245" t="s">
        <v>709</v>
      </c>
      <c r="H2245" t="s">
        <v>10595</v>
      </c>
      <c r="J2245">
        <v>81111</v>
      </c>
      <c r="L2245">
        <v>39725</v>
      </c>
      <c r="O2245">
        <v>21</v>
      </c>
      <c r="Q2245">
        <v>5</v>
      </c>
    </row>
    <row r="2246" spans="1:17" x14ac:dyDescent="0.25">
      <c r="A2246" t="s">
        <v>564</v>
      </c>
      <c r="B2246" t="s">
        <v>30</v>
      </c>
      <c r="C2246" t="s">
        <v>392</v>
      </c>
      <c r="D2246" t="s">
        <v>76</v>
      </c>
      <c r="E2246" t="s">
        <v>78</v>
      </c>
      <c r="F2246" t="s">
        <v>78</v>
      </c>
      <c r="G2246" t="s">
        <v>575</v>
      </c>
      <c r="H2246" t="s">
        <v>10596</v>
      </c>
      <c r="I2246">
        <v>0.34819984356370981</v>
      </c>
      <c r="J2246">
        <v>131683</v>
      </c>
      <c r="K2246">
        <v>1</v>
      </c>
      <c r="L2246">
        <v>45852</v>
      </c>
      <c r="M2246">
        <v>45852</v>
      </c>
      <c r="N2246">
        <v>4.7500000000000001E-2</v>
      </c>
      <c r="O2246">
        <v>1</v>
      </c>
    </row>
    <row r="2247" spans="1:17" x14ac:dyDescent="0.25">
      <c r="A2247" t="s">
        <v>564</v>
      </c>
      <c r="B2247" t="s">
        <v>30</v>
      </c>
      <c r="C2247" t="s">
        <v>392</v>
      </c>
      <c r="D2247" t="s">
        <v>76</v>
      </c>
      <c r="E2247" t="s">
        <v>79</v>
      </c>
      <c r="F2247" t="s">
        <v>78</v>
      </c>
      <c r="G2247" t="s">
        <v>577</v>
      </c>
      <c r="H2247" t="s">
        <v>10597</v>
      </c>
      <c r="I2247">
        <v>0.1586385486357389</v>
      </c>
      <c r="J2247">
        <v>131683</v>
      </c>
      <c r="K2247">
        <v>0.45559626624792809</v>
      </c>
      <c r="L2247">
        <v>45852</v>
      </c>
      <c r="M2247">
        <v>20890</v>
      </c>
      <c r="N2247">
        <v>3.4299999999999997E-2</v>
      </c>
      <c r="O2247">
        <v>2</v>
      </c>
      <c r="P2247">
        <v>5</v>
      </c>
    </row>
    <row r="2248" spans="1:17" x14ac:dyDescent="0.25">
      <c r="A2248" t="s">
        <v>564</v>
      </c>
      <c r="B2248" t="s">
        <v>30</v>
      </c>
      <c r="C2248" t="s">
        <v>392</v>
      </c>
      <c r="D2248" t="s">
        <v>76</v>
      </c>
      <c r="E2248" t="s">
        <v>80</v>
      </c>
      <c r="F2248" t="s">
        <v>78</v>
      </c>
      <c r="G2248" t="s">
        <v>576</v>
      </c>
      <c r="H2248" t="s">
        <v>10598</v>
      </c>
      <c r="I2248">
        <v>7.6281676450263125E-2</v>
      </c>
      <c r="J2248">
        <v>131683</v>
      </c>
      <c r="K2248">
        <v>0.21907441332984379</v>
      </c>
      <c r="L2248">
        <v>45852</v>
      </c>
      <c r="M2248">
        <v>10045</v>
      </c>
      <c r="N2248">
        <v>4.0500000000000001E-2</v>
      </c>
      <c r="O2248">
        <v>3</v>
      </c>
      <c r="P2248">
        <v>1</v>
      </c>
    </row>
    <row r="2249" spans="1:17" x14ac:dyDescent="0.25">
      <c r="A2249" t="s">
        <v>564</v>
      </c>
      <c r="B2249" t="s">
        <v>30</v>
      </c>
      <c r="C2249" t="s">
        <v>392</v>
      </c>
      <c r="D2249" t="s">
        <v>76</v>
      </c>
      <c r="E2249" t="s">
        <v>80</v>
      </c>
      <c r="F2249" t="s">
        <v>8326</v>
      </c>
      <c r="G2249" t="s">
        <v>8327</v>
      </c>
      <c r="H2249" t="s">
        <v>10599</v>
      </c>
      <c r="I2249">
        <v>7.3775658209487935E-2</v>
      </c>
      <c r="J2249">
        <v>131683</v>
      </c>
      <c r="K2249">
        <v>0.2118773444996947</v>
      </c>
      <c r="L2249">
        <v>45852</v>
      </c>
      <c r="M2249">
        <v>9715</v>
      </c>
      <c r="N2249">
        <v>4.0800000000000003E-2</v>
      </c>
      <c r="O2249">
        <v>4</v>
      </c>
    </row>
    <row r="2250" spans="1:17" x14ac:dyDescent="0.25">
      <c r="A2250" t="s">
        <v>564</v>
      </c>
      <c r="B2250" t="s">
        <v>30</v>
      </c>
      <c r="C2250" t="s">
        <v>392</v>
      </c>
      <c r="D2250" t="s">
        <v>76</v>
      </c>
      <c r="E2250" t="s">
        <v>83</v>
      </c>
      <c r="F2250" t="s">
        <v>78</v>
      </c>
      <c r="G2250" t="s">
        <v>580</v>
      </c>
      <c r="H2250" t="s">
        <v>10600</v>
      </c>
      <c r="I2250">
        <v>3.8273733131839342E-2</v>
      </c>
      <c r="J2250">
        <v>131683</v>
      </c>
      <c r="K2250">
        <v>0.10991886940591469</v>
      </c>
      <c r="L2250">
        <v>45852</v>
      </c>
      <c r="M2250">
        <v>5040</v>
      </c>
      <c r="N2250">
        <v>0.1968</v>
      </c>
      <c r="O2250">
        <v>5</v>
      </c>
      <c r="P2250">
        <v>2</v>
      </c>
    </row>
    <row r="2251" spans="1:17" x14ac:dyDescent="0.25">
      <c r="A2251" t="s">
        <v>564</v>
      </c>
      <c r="B2251" t="s">
        <v>30</v>
      </c>
      <c r="C2251" t="s">
        <v>392</v>
      </c>
      <c r="D2251" t="s">
        <v>76</v>
      </c>
      <c r="E2251" t="s">
        <v>82</v>
      </c>
      <c r="F2251" t="s">
        <v>78</v>
      </c>
      <c r="G2251" t="s">
        <v>579</v>
      </c>
      <c r="H2251" t="s">
        <v>10601</v>
      </c>
      <c r="I2251">
        <v>3.4188163999908872E-2</v>
      </c>
      <c r="J2251">
        <v>131683</v>
      </c>
      <c r="K2251">
        <v>9.8185466282823E-2</v>
      </c>
      <c r="L2251">
        <v>45852</v>
      </c>
      <c r="M2251">
        <v>4502</v>
      </c>
      <c r="N2251">
        <v>8.5300000000000001E-2</v>
      </c>
      <c r="O2251">
        <v>6</v>
      </c>
      <c r="P2251">
        <v>3</v>
      </c>
    </row>
    <row r="2252" spans="1:17" x14ac:dyDescent="0.25">
      <c r="A2252" t="s">
        <v>564</v>
      </c>
      <c r="B2252" t="s">
        <v>30</v>
      </c>
      <c r="C2252" t="s">
        <v>392</v>
      </c>
      <c r="D2252" t="s">
        <v>76</v>
      </c>
      <c r="E2252" t="s">
        <v>77</v>
      </c>
      <c r="F2252" t="s">
        <v>78</v>
      </c>
      <c r="G2252" t="s">
        <v>581</v>
      </c>
      <c r="H2252" t="s">
        <v>10603</v>
      </c>
      <c r="I2252">
        <v>2.76877045632314E-2</v>
      </c>
      <c r="J2252">
        <v>131683</v>
      </c>
      <c r="K2252">
        <v>7.9516705923405734E-2</v>
      </c>
      <c r="L2252">
        <v>45852</v>
      </c>
      <c r="M2252">
        <v>3646</v>
      </c>
      <c r="N2252">
        <v>0.10829999999999999</v>
      </c>
      <c r="O2252">
        <v>7</v>
      </c>
      <c r="P2252">
        <v>4</v>
      </c>
    </row>
    <row r="2253" spans="1:17" x14ac:dyDescent="0.25">
      <c r="A2253" t="s">
        <v>564</v>
      </c>
      <c r="B2253" t="s">
        <v>30</v>
      </c>
      <c r="C2253" t="s">
        <v>392</v>
      </c>
      <c r="D2253" t="s">
        <v>76</v>
      </c>
      <c r="E2253" t="s">
        <v>81</v>
      </c>
      <c r="F2253" t="s">
        <v>78</v>
      </c>
      <c r="G2253" t="s">
        <v>578</v>
      </c>
      <c r="H2253" t="s">
        <v>10604</v>
      </c>
      <c r="I2253">
        <v>2.2728826044364121E-2</v>
      </c>
      <c r="J2253">
        <v>131683</v>
      </c>
      <c r="K2253">
        <v>6.5275233359504498E-2</v>
      </c>
      <c r="L2253">
        <v>45852</v>
      </c>
      <c r="M2253">
        <v>2993</v>
      </c>
      <c r="N2253">
        <v>3.78E-2</v>
      </c>
      <c r="O2253">
        <v>8</v>
      </c>
      <c r="P2253">
        <v>6</v>
      </c>
    </row>
    <row r="2254" spans="1:17" x14ac:dyDescent="0.25">
      <c r="A2254" t="s">
        <v>564</v>
      </c>
      <c r="B2254" t="s">
        <v>30</v>
      </c>
      <c r="C2254" t="s">
        <v>392</v>
      </c>
      <c r="D2254" t="s">
        <v>76</v>
      </c>
      <c r="E2254" t="s">
        <v>84</v>
      </c>
      <c r="F2254" t="s">
        <v>78</v>
      </c>
      <c r="G2254" t="s">
        <v>589</v>
      </c>
      <c r="H2254" t="s">
        <v>10602</v>
      </c>
      <c r="I2254">
        <v>2.015446185156778E-2</v>
      </c>
      <c r="J2254">
        <v>131683</v>
      </c>
      <c r="K2254">
        <v>5.7881880833987612E-2</v>
      </c>
      <c r="L2254">
        <v>45852</v>
      </c>
      <c r="M2254">
        <v>2654</v>
      </c>
      <c r="N2254">
        <v>0.11899999999999999</v>
      </c>
      <c r="O2254">
        <v>9</v>
      </c>
      <c r="P2254">
        <v>7</v>
      </c>
    </row>
    <row r="2255" spans="1:17" x14ac:dyDescent="0.25">
      <c r="A2255" t="s">
        <v>564</v>
      </c>
      <c r="B2255" t="s">
        <v>30</v>
      </c>
      <c r="C2255" t="s">
        <v>392</v>
      </c>
      <c r="D2255" t="s">
        <v>76</v>
      </c>
      <c r="E2255" t="s">
        <v>600</v>
      </c>
      <c r="F2255" t="s">
        <v>78</v>
      </c>
      <c r="G2255" t="s">
        <v>601</v>
      </c>
      <c r="H2255" t="s">
        <v>10605</v>
      </c>
      <c r="I2255">
        <v>1.8445813051039241E-2</v>
      </c>
      <c r="J2255">
        <v>131683</v>
      </c>
      <c r="K2255">
        <v>5.2974788449794988E-2</v>
      </c>
      <c r="L2255">
        <v>45852</v>
      </c>
      <c r="M2255">
        <v>2429</v>
      </c>
      <c r="N2255">
        <v>3.95E-2</v>
      </c>
      <c r="O2255">
        <v>10</v>
      </c>
    </row>
    <row r="2256" spans="1:17" x14ac:dyDescent="0.25">
      <c r="A2256" t="s">
        <v>564</v>
      </c>
      <c r="B2256" t="s">
        <v>30</v>
      </c>
      <c r="C2256" t="s">
        <v>392</v>
      </c>
      <c r="D2256" t="s">
        <v>76</v>
      </c>
      <c r="E2256" t="s">
        <v>600</v>
      </c>
      <c r="F2256" t="s">
        <v>614</v>
      </c>
      <c r="G2256" t="s">
        <v>615</v>
      </c>
      <c r="H2256" t="s">
        <v>10606</v>
      </c>
      <c r="I2256">
        <v>1.720799191998967E-2</v>
      </c>
      <c r="J2256">
        <v>131683</v>
      </c>
      <c r="K2256">
        <v>4.9419872633691013E-2</v>
      </c>
      <c r="L2256">
        <v>45852</v>
      </c>
      <c r="M2256">
        <v>2266</v>
      </c>
      <c r="N2256">
        <v>2.3800000000000002E-2</v>
      </c>
      <c r="O2256">
        <v>11</v>
      </c>
    </row>
    <row r="2257" spans="1:15" x14ac:dyDescent="0.25">
      <c r="A2257" t="s">
        <v>564</v>
      </c>
      <c r="B2257" t="s">
        <v>30</v>
      </c>
      <c r="C2257" t="s">
        <v>392</v>
      </c>
      <c r="D2257" t="s">
        <v>76</v>
      </c>
      <c r="E2257" t="s">
        <v>81</v>
      </c>
      <c r="F2257" t="s">
        <v>590</v>
      </c>
      <c r="G2257" t="s">
        <v>591</v>
      </c>
      <c r="H2257" t="s">
        <v>10607</v>
      </c>
      <c r="I2257">
        <v>9.932945027072591E-3</v>
      </c>
      <c r="J2257">
        <v>131683</v>
      </c>
      <c r="K2257">
        <v>2.8526563726773091E-2</v>
      </c>
      <c r="L2257">
        <v>45852</v>
      </c>
      <c r="M2257">
        <v>1308</v>
      </c>
      <c r="N2257">
        <v>6.1899999999999997E-2</v>
      </c>
      <c r="O2257">
        <v>12</v>
      </c>
    </row>
    <row r="2258" spans="1:15" x14ac:dyDescent="0.25">
      <c r="A2258" t="s">
        <v>564</v>
      </c>
      <c r="B2258" t="s">
        <v>30</v>
      </c>
      <c r="C2258" t="s">
        <v>392</v>
      </c>
      <c r="D2258" t="s">
        <v>76</v>
      </c>
      <c r="E2258" t="s">
        <v>81</v>
      </c>
      <c r="F2258" t="s">
        <v>585</v>
      </c>
      <c r="G2258" t="s">
        <v>586</v>
      </c>
      <c r="H2258" t="s">
        <v>10610</v>
      </c>
      <c r="I2258">
        <v>6.6067753620436959E-3</v>
      </c>
      <c r="J2258">
        <v>131683</v>
      </c>
      <c r="K2258">
        <v>1.897409055221146E-2</v>
      </c>
      <c r="L2258">
        <v>45852</v>
      </c>
      <c r="M2258">
        <v>870</v>
      </c>
      <c r="N2258">
        <v>8.0000000000000002E-3</v>
      </c>
      <c r="O2258">
        <v>13</v>
      </c>
    </row>
    <row r="2259" spans="1:15" x14ac:dyDescent="0.25">
      <c r="A2259" t="s">
        <v>564</v>
      </c>
      <c r="B2259" t="s">
        <v>30</v>
      </c>
      <c r="C2259" t="s">
        <v>392</v>
      </c>
      <c r="D2259" t="s">
        <v>76</v>
      </c>
      <c r="E2259" t="s">
        <v>608</v>
      </c>
      <c r="F2259" t="s">
        <v>78</v>
      </c>
      <c r="G2259" t="s">
        <v>609</v>
      </c>
      <c r="H2259" t="s">
        <v>10609</v>
      </c>
      <c r="I2259">
        <v>6.3485795432971608E-3</v>
      </c>
      <c r="J2259">
        <v>131683</v>
      </c>
      <c r="K2259">
        <v>1.8232574369711249E-2</v>
      </c>
      <c r="L2259">
        <v>45852</v>
      </c>
      <c r="M2259">
        <v>836</v>
      </c>
      <c r="N2259">
        <v>0.28199999999999997</v>
      </c>
      <c r="O2259">
        <v>14</v>
      </c>
    </row>
    <row r="2260" spans="1:15" x14ac:dyDescent="0.25">
      <c r="A2260" t="s">
        <v>564</v>
      </c>
      <c r="B2260" t="s">
        <v>30</v>
      </c>
      <c r="C2260" t="s">
        <v>392</v>
      </c>
      <c r="D2260" t="s">
        <v>76</v>
      </c>
      <c r="E2260" t="s">
        <v>81</v>
      </c>
      <c r="F2260" t="s">
        <v>582</v>
      </c>
      <c r="G2260" t="s">
        <v>583</v>
      </c>
      <c r="H2260" t="s">
        <v>10608</v>
      </c>
      <c r="I2260">
        <v>6.0296317671984997E-3</v>
      </c>
      <c r="J2260">
        <v>131683</v>
      </c>
      <c r="K2260">
        <v>1.7316583791328621E-2</v>
      </c>
      <c r="L2260">
        <v>45852</v>
      </c>
      <c r="M2260">
        <v>794</v>
      </c>
      <c r="N2260">
        <v>3.27E-2</v>
      </c>
      <c r="O2260">
        <v>15</v>
      </c>
    </row>
    <row r="2261" spans="1:15" x14ac:dyDescent="0.25">
      <c r="A2261" t="s">
        <v>564</v>
      </c>
      <c r="B2261" t="s">
        <v>30</v>
      </c>
      <c r="C2261" t="s">
        <v>392</v>
      </c>
      <c r="D2261" t="s">
        <v>76</v>
      </c>
      <c r="E2261" t="s">
        <v>592</v>
      </c>
      <c r="F2261" t="s">
        <v>78</v>
      </c>
      <c r="G2261" t="s">
        <v>593</v>
      </c>
      <c r="H2261" t="s">
        <v>10611</v>
      </c>
      <c r="I2261">
        <v>5.5436161083814916E-3</v>
      </c>
      <c r="J2261">
        <v>131683</v>
      </c>
      <c r="K2261">
        <v>1.5920788624269391E-2</v>
      </c>
      <c r="L2261">
        <v>45852</v>
      </c>
      <c r="M2261">
        <v>730</v>
      </c>
      <c r="N2261">
        <v>3.9699999999999999E-2</v>
      </c>
      <c r="O2261">
        <v>16</v>
      </c>
    </row>
    <row r="2262" spans="1:15" x14ac:dyDescent="0.25">
      <c r="A2262" t="s">
        <v>564</v>
      </c>
      <c r="B2262" t="s">
        <v>30</v>
      </c>
      <c r="C2262" t="s">
        <v>392</v>
      </c>
      <c r="D2262" t="s">
        <v>76</v>
      </c>
      <c r="E2262" t="s">
        <v>80</v>
      </c>
      <c r="F2262" t="s">
        <v>8354</v>
      </c>
      <c r="G2262" t="s">
        <v>8355</v>
      </c>
      <c r="H2262" t="s">
        <v>10614</v>
      </c>
      <c r="I2262">
        <v>3.1818837663175961E-3</v>
      </c>
      <c r="J2262">
        <v>131683</v>
      </c>
      <c r="K2262">
        <v>9.1380964843409233E-3</v>
      </c>
      <c r="L2262">
        <v>45852</v>
      </c>
      <c r="M2262">
        <v>419</v>
      </c>
      <c r="N2262">
        <v>3.5700000000000003E-2</v>
      </c>
      <c r="O2262">
        <v>17</v>
      </c>
    </row>
    <row r="2263" spans="1:15" x14ac:dyDescent="0.25">
      <c r="A2263" t="s">
        <v>564</v>
      </c>
      <c r="B2263" t="s">
        <v>30</v>
      </c>
      <c r="C2263" t="s">
        <v>392</v>
      </c>
      <c r="D2263" t="s">
        <v>76</v>
      </c>
      <c r="E2263" t="s">
        <v>592</v>
      </c>
      <c r="F2263" t="s">
        <v>624</v>
      </c>
      <c r="G2263" t="s">
        <v>625</v>
      </c>
      <c r="H2263" t="s">
        <v>10618</v>
      </c>
      <c r="I2263">
        <v>3.0907558302894068E-3</v>
      </c>
      <c r="J2263">
        <v>131683</v>
      </c>
      <c r="K2263">
        <v>8.8763848905173172E-3</v>
      </c>
      <c r="L2263">
        <v>45852</v>
      </c>
      <c r="M2263">
        <v>407</v>
      </c>
      <c r="N2263">
        <v>3.6799999999999999E-2</v>
      </c>
      <c r="O2263">
        <v>18</v>
      </c>
    </row>
    <row r="2264" spans="1:15" x14ac:dyDescent="0.25">
      <c r="A2264" t="s">
        <v>564</v>
      </c>
      <c r="B2264" t="s">
        <v>30</v>
      </c>
      <c r="C2264" t="s">
        <v>392</v>
      </c>
      <c r="D2264" t="s">
        <v>76</v>
      </c>
      <c r="E2264" t="s">
        <v>606</v>
      </c>
      <c r="F2264" t="s">
        <v>78</v>
      </c>
      <c r="G2264" t="s">
        <v>607</v>
      </c>
      <c r="H2264" t="s">
        <v>10612</v>
      </c>
      <c r="I2264">
        <v>3.052785856944329E-3</v>
      </c>
      <c r="J2264">
        <v>131683</v>
      </c>
      <c r="K2264">
        <v>8.7673383930908146E-3</v>
      </c>
      <c r="L2264">
        <v>45852</v>
      </c>
      <c r="M2264">
        <v>402</v>
      </c>
      <c r="N2264">
        <v>0.11409999999999999</v>
      </c>
      <c r="O2264">
        <v>19</v>
      </c>
    </row>
    <row r="2265" spans="1:15" x14ac:dyDescent="0.25">
      <c r="A2265" t="s">
        <v>564</v>
      </c>
      <c r="B2265" t="s">
        <v>30</v>
      </c>
      <c r="C2265" t="s">
        <v>392</v>
      </c>
      <c r="D2265" t="s">
        <v>76</v>
      </c>
      <c r="E2265" t="s">
        <v>626</v>
      </c>
      <c r="F2265" t="s">
        <v>78</v>
      </c>
      <c r="G2265" t="s">
        <v>627</v>
      </c>
      <c r="H2265" t="s">
        <v>10617</v>
      </c>
      <c r="I2265">
        <v>2.8097780275358249E-3</v>
      </c>
      <c r="J2265">
        <v>131683</v>
      </c>
      <c r="K2265">
        <v>8.0694408095611965E-3</v>
      </c>
      <c r="L2265">
        <v>45852</v>
      </c>
      <c r="M2265">
        <v>370</v>
      </c>
      <c r="N2265">
        <v>4.8500000000000001E-2</v>
      </c>
      <c r="O2265">
        <v>20</v>
      </c>
    </row>
    <row r="2266" spans="1:15" x14ac:dyDescent="0.25">
      <c r="A2266" t="s">
        <v>564</v>
      </c>
      <c r="B2266" t="s">
        <v>30</v>
      </c>
      <c r="C2266" t="s">
        <v>392</v>
      </c>
      <c r="D2266" t="s">
        <v>76</v>
      </c>
      <c r="E2266" t="s">
        <v>632</v>
      </c>
      <c r="F2266" t="s">
        <v>78</v>
      </c>
      <c r="G2266" t="s">
        <v>633</v>
      </c>
      <c r="H2266" t="s">
        <v>10619</v>
      </c>
      <c r="I2266">
        <v>2.5667701981273209E-3</v>
      </c>
      <c r="J2266">
        <v>131683</v>
      </c>
      <c r="K2266">
        <v>7.3715432260315801E-3</v>
      </c>
      <c r="L2266">
        <v>45852</v>
      </c>
      <c r="M2266">
        <v>338</v>
      </c>
      <c r="N2266">
        <v>3.0000000000000001E-3</v>
      </c>
      <c r="O2266">
        <v>21</v>
      </c>
    </row>
    <row r="2267" spans="1:15" x14ac:dyDescent="0.25">
      <c r="A2267" t="s">
        <v>564</v>
      </c>
      <c r="B2267" t="s">
        <v>30</v>
      </c>
      <c r="C2267" t="s">
        <v>392</v>
      </c>
      <c r="D2267" t="s">
        <v>76</v>
      </c>
      <c r="E2267" t="s">
        <v>346</v>
      </c>
      <c r="F2267" t="s">
        <v>78</v>
      </c>
      <c r="G2267" t="s">
        <v>584</v>
      </c>
      <c r="H2267" t="s">
        <v>10615</v>
      </c>
      <c r="I2267">
        <v>2.2402284273596441E-3</v>
      </c>
      <c r="J2267">
        <v>131683</v>
      </c>
      <c r="K2267">
        <v>6.4337433481636572E-3</v>
      </c>
      <c r="L2267">
        <v>45852</v>
      </c>
      <c r="M2267">
        <v>295</v>
      </c>
      <c r="N2267">
        <v>3.3799999999999997E-2</v>
      </c>
      <c r="O2267">
        <v>22</v>
      </c>
    </row>
    <row r="2268" spans="1:15" x14ac:dyDescent="0.25">
      <c r="A2268" t="s">
        <v>564</v>
      </c>
      <c r="B2268" t="s">
        <v>30</v>
      </c>
      <c r="C2268" t="s">
        <v>392</v>
      </c>
      <c r="D2268" t="s">
        <v>76</v>
      </c>
      <c r="E2268" t="s">
        <v>602</v>
      </c>
      <c r="F2268" t="s">
        <v>78</v>
      </c>
      <c r="G2268" t="s">
        <v>603</v>
      </c>
      <c r="H2268" t="s">
        <v>10621</v>
      </c>
      <c r="I2268">
        <v>2.2250404380216131E-3</v>
      </c>
      <c r="J2268">
        <v>131683</v>
      </c>
      <c r="K2268">
        <v>6.3901247491930562E-3</v>
      </c>
      <c r="L2268">
        <v>45852</v>
      </c>
      <c r="M2268">
        <v>293</v>
      </c>
      <c r="N2268">
        <v>4.4200000000000003E-2</v>
      </c>
      <c r="O2268">
        <v>23</v>
      </c>
    </row>
    <row r="2269" spans="1:15" x14ac:dyDescent="0.25">
      <c r="A2269" t="s">
        <v>564</v>
      </c>
      <c r="B2269" t="s">
        <v>30</v>
      </c>
      <c r="C2269" t="s">
        <v>392</v>
      </c>
      <c r="D2269" t="s">
        <v>76</v>
      </c>
      <c r="E2269" t="s">
        <v>620</v>
      </c>
      <c r="F2269" t="s">
        <v>78</v>
      </c>
      <c r="G2269" t="s">
        <v>621</v>
      </c>
      <c r="H2269" t="s">
        <v>10616</v>
      </c>
      <c r="I2269">
        <v>2.0048145926201558E-3</v>
      </c>
      <c r="J2269">
        <v>131683</v>
      </c>
      <c r="K2269">
        <v>5.7576550641193396E-3</v>
      </c>
      <c r="L2269">
        <v>45852</v>
      </c>
      <c r="M2269">
        <v>264</v>
      </c>
      <c r="N2269">
        <v>0.1245</v>
      </c>
      <c r="O2269">
        <v>24</v>
      </c>
    </row>
    <row r="2270" spans="1:15" x14ac:dyDescent="0.25">
      <c r="A2270" t="s">
        <v>564</v>
      </c>
      <c r="B2270" t="s">
        <v>30</v>
      </c>
      <c r="C2270" t="s">
        <v>392</v>
      </c>
      <c r="D2270" t="s">
        <v>76</v>
      </c>
      <c r="E2270" t="s">
        <v>610</v>
      </c>
      <c r="F2270" t="s">
        <v>78</v>
      </c>
      <c r="G2270" t="s">
        <v>611</v>
      </c>
      <c r="H2270" t="s">
        <v>10613</v>
      </c>
      <c r="I2270">
        <v>1.9364686405990139E-3</v>
      </c>
      <c r="J2270">
        <v>131683</v>
      </c>
      <c r="K2270">
        <v>5.5613713687516358E-3</v>
      </c>
      <c r="L2270">
        <v>45852</v>
      </c>
      <c r="M2270">
        <v>255</v>
      </c>
      <c r="N2270">
        <v>0.14449999999999999</v>
      </c>
      <c r="O2270">
        <v>25</v>
      </c>
    </row>
    <row r="2271" spans="1:15" x14ac:dyDescent="0.25">
      <c r="A2271" t="s">
        <v>564</v>
      </c>
      <c r="B2271" t="s">
        <v>30</v>
      </c>
      <c r="C2271" t="s">
        <v>392</v>
      </c>
      <c r="D2271" t="s">
        <v>76</v>
      </c>
      <c r="E2271" t="s">
        <v>594</v>
      </c>
      <c r="F2271" t="s">
        <v>78</v>
      </c>
      <c r="G2271" t="s">
        <v>595</v>
      </c>
      <c r="H2271" t="s">
        <v>10620</v>
      </c>
      <c r="I2271">
        <v>1.9288746459299991E-3</v>
      </c>
      <c r="J2271">
        <v>131683</v>
      </c>
      <c r="K2271">
        <v>5.5395620692663353E-3</v>
      </c>
      <c r="L2271">
        <v>45852</v>
      </c>
      <c r="M2271">
        <v>254</v>
      </c>
      <c r="N2271">
        <v>4.7100000000000003E-2</v>
      </c>
      <c r="O2271">
        <v>26</v>
      </c>
    </row>
    <row r="2272" spans="1:15" x14ac:dyDescent="0.25">
      <c r="A2272" t="s">
        <v>564</v>
      </c>
      <c r="B2272" t="s">
        <v>30</v>
      </c>
      <c r="C2272" t="s">
        <v>392</v>
      </c>
      <c r="D2272" t="s">
        <v>76</v>
      </c>
      <c r="E2272" t="s">
        <v>592</v>
      </c>
      <c r="F2272" t="s">
        <v>811</v>
      </c>
      <c r="G2272" t="s">
        <v>812</v>
      </c>
      <c r="H2272" t="s">
        <v>10626</v>
      </c>
      <c r="I2272">
        <v>1.609926869831337E-3</v>
      </c>
      <c r="J2272">
        <v>131683</v>
      </c>
      <c r="K2272">
        <v>4.6235714908837129E-3</v>
      </c>
      <c r="L2272">
        <v>45852</v>
      </c>
      <c r="M2272">
        <v>212</v>
      </c>
      <c r="N2272">
        <v>5.1700000000000003E-2</v>
      </c>
      <c r="O2272">
        <v>27</v>
      </c>
    </row>
    <row r="2273" spans="1:15" x14ac:dyDescent="0.25">
      <c r="A2273" t="s">
        <v>564</v>
      </c>
      <c r="B2273" t="s">
        <v>30</v>
      </c>
      <c r="C2273" t="s">
        <v>392</v>
      </c>
      <c r="D2273" t="s">
        <v>76</v>
      </c>
      <c r="E2273" t="s">
        <v>600</v>
      </c>
      <c r="F2273" t="s">
        <v>612</v>
      </c>
      <c r="G2273" t="s">
        <v>613</v>
      </c>
      <c r="H2273" t="s">
        <v>10623</v>
      </c>
      <c r="I2273">
        <v>1.268197109725629E-3</v>
      </c>
      <c r="J2273">
        <v>131683</v>
      </c>
      <c r="K2273">
        <v>3.642153014045189E-3</v>
      </c>
      <c r="L2273">
        <v>45852</v>
      </c>
      <c r="M2273">
        <v>167</v>
      </c>
      <c r="N2273">
        <v>0.25600000000000001</v>
      </c>
      <c r="O2273">
        <v>28</v>
      </c>
    </row>
    <row r="2274" spans="1:15" x14ac:dyDescent="0.25">
      <c r="A2274" t="s">
        <v>564</v>
      </c>
      <c r="B2274" t="s">
        <v>30</v>
      </c>
      <c r="C2274" t="s">
        <v>392</v>
      </c>
      <c r="D2274" t="s">
        <v>76</v>
      </c>
      <c r="E2274" t="s">
        <v>618</v>
      </c>
      <c r="F2274" t="s">
        <v>78</v>
      </c>
      <c r="G2274" t="s">
        <v>619</v>
      </c>
      <c r="H2274" t="s">
        <v>10625</v>
      </c>
      <c r="I2274">
        <v>1.0783472430002359E-3</v>
      </c>
      <c r="J2274">
        <v>131683</v>
      </c>
      <c r="K2274">
        <v>3.0969205269126749E-3</v>
      </c>
      <c r="L2274">
        <v>45852</v>
      </c>
      <c r="M2274">
        <v>142</v>
      </c>
      <c r="N2274">
        <v>4.2000000000000003E-2</v>
      </c>
      <c r="O2274">
        <v>29</v>
      </c>
    </row>
    <row r="2275" spans="1:15" x14ac:dyDescent="0.25">
      <c r="A2275" t="s">
        <v>564</v>
      </c>
      <c r="B2275" t="s">
        <v>30</v>
      </c>
      <c r="C2275" t="s">
        <v>392</v>
      </c>
      <c r="D2275" t="s">
        <v>76</v>
      </c>
      <c r="E2275" t="s">
        <v>598</v>
      </c>
      <c r="F2275" t="s">
        <v>78</v>
      </c>
      <c r="G2275" t="s">
        <v>599</v>
      </c>
      <c r="H2275" t="s">
        <v>10627</v>
      </c>
      <c r="I2275">
        <v>1.0555652589931881E-3</v>
      </c>
      <c r="J2275">
        <v>131683</v>
      </c>
      <c r="K2275">
        <v>3.0314926284567738E-3</v>
      </c>
      <c r="L2275">
        <v>45852</v>
      </c>
      <c r="M2275">
        <v>139</v>
      </c>
      <c r="N2275">
        <v>5.7200000000000001E-2</v>
      </c>
      <c r="O2275">
        <v>30</v>
      </c>
    </row>
    <row r="2276" spans="1:15" x14ac:dyDescent="0.25">
      <c r="A2276" t="s">
        <v>564</v>
      </c>
      <c r="B2276" t="s">
        <v>30</v>
      </c>
      <c r="C2276" t="s">
        <v>392</v>
      </c>
      <c r="D2276" t="s">
        <v>76</v>
      </c>
      <c r="E2276" t="s">
        <v>602</v>
      </c>
      <c r="F2276" t="s">
        <v>616</v>
      </c>
      <c r="G2276" t="s">
        <v>617</v>
      </c>
      <c r="H2276" t="s">
        <v>10630</v>
      </c>
      <c r="I2276">
        <v>9.9481330164106216E-4</v>
      </c>
      <c r="J2276">
        <v>131683</v>
      </c>
      <c r="K2276">
        <v>2.8570182325743701E-3</v>
      </c>
      <c r="L2276">
        <v>45852</v>
      </c>
      <c r="M2276">
        <v>131</v>
      </c>
      <c r="N2276">
        <v>6.8199999999999997E-2</v>
      </c>
      <c r="O2276">
        <v>31</v>
      </c>
    </row>
    <row r="2277" spans="1:15" x14ac:dyDescent="0.25">
      <c r="A2277" t="s">
        <v>564</v>
      </c>
      <c r="B2277" t="s">
        <v>30</v>
      </c>
      <c r="C2277" t="s">
        <v>392</v>
      </c>
      <c r="D2277" t="s">
        <v>76</v>
      </c>
      <c r="E2277" t="s">
        <v>592</v>
      </c>
      <c r="F2277" t="s">
        <v>803</v>
      </c>
      <c r="G2277" t="s">
        <v>804</v>
      </c>
      <c r="H2277" t="s">
        <v>10629</v>
      </c>
      <c r="I2277">
        <v>8.9609137094385756E-4</v>
      </c>
      <c r="J2277">
        <v>131683</v>
      </c>
      <c r="K2277">
        <v>2.5734973392654631E-3</v>
      </c>
      <c r="L2277">
        <v>45852</v>
      </c>
      <c r="M2277">
        <v>118</v>
      </c>
      <c r="N2277">
        <v>3.3599999999999998E-2</v>
      </c>
      <c r="O2277">
        <v>32</v>
      </c>
    </row>
    <row r="2278" spans="1:15" x14ac:dyDescent="0.25">
      <c r="A2278" t="s">
        <v>564</v>
      </c>
      <c r="B2278" t="s">
        <v>30</v>
      </c>
      <c r="C2278" t="s">
        <v>392</v>
      </c>
      <c r="D2278" t="s">
        <v>76</v>
      </c>
      <c r="E2278" t="s">
        <v>602</v>
      </c>
      <c r="F2278" t="s">
        <v>640</v>
      </c>
      <c r="G2278" t="s">
        <v>641</v>
      </c>
      <c r="H2278" t="s">
        <v>10635</v>
      </c>
      <c r="I2278">
        <v>6.9105351488043252E-4</v>
      </c>
      <c r="J2278">
        <v>131683</v>
      </c>
      <c r="K2278">
        <v>1.9846462531623479E-3</v>
      </c>
      <c r="L2278">
        <v>45852</v>
      </c>
      <c r="M2278">
        <v>91</v>
      </c>
      <c r="O2278">
        <v>33</v>
      </c>
    </row>
    <row r="2279" spans="1:15" x14ac:dyDescent="0.25">
      <c r="A2279" t="s">
        <v>564</v>
      </c>
      <c r="B2279" t="s">
        <v>30</v>
      </c>
      <c r="C2279" t="s">
        <v>392</v>
      </c>
      <c r="D2279" t="s">
        <v>76</v>
      </c>
      <c r="E2279" t="s">
        <v>81</v>
      </c>
      <c r="F2279" t="s">
        <v>622</v>
      </c>
      <c r="G2279" t="s">
        <v>623</v>
      </c>
      <c r="H2279" t="s">
        <v>10622</v>
      </c>
      <c r="I2279">
        <v>6.075195735212594E-4</v>
      </c>
      <c r="J2279">
        <v>131683</v>
      </c>
      <c r="K2279">
        <v>1.7447439588240429E-3</v>
      </c>
      <c r="L2279">
        <v>45852</v>
      </c>
      <c r="M2279">
        <v>80</v>
      </c>
      <c r="O2279">
        <v>34</v>
      </c>
    </row>
    <row r="2280" spans="1:15" x14ac:dyDescent="0.25">
      <c r="A2280" t="s">
        <v>564</v>
      </c>
      <c r="B2280" t="s">
        <v>30</v>
      </c>
      <c r="C2280" t="s">
        <v>392</v>
      </c>
      <c r="D2280" t="s">
        <v>76</v>
      </c>
      <c r="E2280" t="s">
        <v>634</v>
      </c>
      <c r="F2280" t="s">
        <v>78</v>
      </c>
      <c r="G2280" t="s">
        <v>635</v>
      </c>
      <c r="H2280" t="s">
        <v>10624</v>
      </c>
      <c r="I2280">
        <v>5.9233158418322792E-4</v>
      </c>
      <c r="J2280">
        <v>131683</v>
      </c>
      <c r="K2280">
        <v>1.701125359853441E-3</v>
      </c>
      <c r="L2280">
        <v>45852</v>
      </c>
      <c r="M2280">
        <v>78</v>
      </c>
      <c r="N2280">
        <v>1.26E-2</v>
      </c>
      <c r="O2280">
        <v>35</v>
      </c>
    </row>
    <row r="2281" spans="1:15" x14ac:dyDescent="0.25">
      <c r="A2281" t="s">
        <v>564</v>
      </c>
      <c r="B2281" t="s">
        <v>30</v>
      </c>
      <c r="C2281" t="s">
        <v>392</v>
      </c>
      <c r="D2281" t="s">
        <v>76</v>
      </c>
      <c r="E2281" t="s">
        <v>602</v>
      </c>
      <c r="F2281" t="s">
        <v>628</v>
      </c>
      <c r="G2281" t="s">
        <v>629</v>
      </c>
      <c r="H2281" t="s">
        <v>10636</v>
      </c>
      <c r="I2281">
        <v>3.721057387817714E-4</v>
      </c>
      <c r="J2281">
        <v>131683</v>
      </c>
      <c r="K2281">
        <v>1.068655674779726E-3</v>
      </c>
      <c r="L2281">
        <v>45852</v>
      </c>
      <c r="M2281">
        <v>49</v>
      </c>
      <c r="N2281">
        <v>0.06</v>
      </c>
      <c r="O2281">
        <v>36</v>
      </c>
    </row>
    <row r="2282" spans="1:15" x14ac:dyDescent="0.25">
      <c r="A2282" t="s">
        <v>564</v>
      </c>
      <c r="B2282" t="s">
        <v>30</v>
      </c>
      <c r="C2282" t="s">
        <v>392</v>
      </c>
      <c r="D2282" t="s">
        <v>76</v>
      </c>
      <c r="E2282" t="s">
        <v>634</v>
      </c>
      <c r="F2282" t="s">
        <v>638</v>
      </c>
      <c r="G2282" t="s">
        <v>639</v>
      </c>
      <c r="H2282" t="s">
        <v>10634</v>
      </c>
      <c r="I2282">
        <v>3.721057387817714E-4</v>
      </c>
      <c r="J2282">
        <v>131683</v>
      </c>
      <c r="K2282">
        <v>1.068655674779726E-3</v>
      </c>
      <c r="L2282">
        <v>45852</v>
      </c>
      <c r="M2282">
        <v>49</v>
      </c>
      <c r="O2282">
        <v>37</v>
      </c>
    </row>
    <row r="2283" spans="1:15" x14ac:dyDescent="0.25">
      <c r="A2283" t="s">
        <v>564</v>
      </c>
      <c r="B2283" t="s">
        <v>30</v>
      </c>
      <c r="C2283" t="s">
        <v>392</v>
      </c>
      <c r="D2283" t="s">
        <v>76</v>
      </c>
      <c r="E2283" t="s">
        <v>596</v>
      </c>
      <c r="F2283" t="s">
        <v>78</v>
      </c>
      <c r="G2283" t="s">
        <v>597</v>
      </c>
      <c r="H2283" t="s">
        <v>10633</v>
      </c>
      <c r="I2283">
        <v>3.1135378142964538E-4</v>
      </c>
      <c r="J2283">
        <v>131683</v>
      </c>
      <c r="K2283">
        <v>8.9418127889732187E-4</v>
      </c>
      <c r="L2283">
        <v>45852</v>
      </c>
      <c r="M2283">
        <v>41</v>
      </c>
      <c r="N2283">
        <v>4.7600000000000003E-2</v>
      </c>
      <c r="O2283">
        <v>38</v>
      </c>
    </row>
    <row r="2284" spans="1:15" x14ac:dyDescent="0.25">
      <c r="A2284" t="s">
        <v>564</v>
      </c>
      <c r="B2284" t="s">
        <v>30</v>
      </c>
      <c r="C2284" t="s">
        <v>392</v>
      </c>
      <c r="D2284" t="s">
        <v>76</v>
      </c>
      <c r="E2284" t="s">
        <v>587</v>
      </c>
      <c r="F2284" t="s">
        <v>78</v>
      </c>
      <c r="G2284" t="s">
        <v>588</v>
      </c>
      <c r="H2284" t="s">
        <v>10638</v>
      </c>
      <c r="I2284">
        <v>2.2022584540145649E-4</v>
      </c>
      <c r="J2284">
        <v>131683</v>
      </c>
      <c r="K2284">
        <v>6.324696850737154E-4</v>
      </c>
      <c r="L2284">
        <v>45852</v>
      </c>
      <c r="M2284">
        <v>29</v>
      </c>
      <c r="O2284">
        <v>39</v>
      </c>
    </row>
    <row r="2285" spans="1:15" x14ac:dyDescent="0.25">
      <c r="A2285" t="s">
        <v>564</v>
      </c>
      <c r="B2285" t="s">
        <v>30</v>
      </c>
      <c r="C2285" t="s">
        <v>392</v>
      </c>
      <c r="D2285" t="s">
        <v>76</v>
      </c>
      <c r="E2285" t="s">
        <v>630</v>
      </c>
      <c r="F2285" t="s">
        <v>78</v>
      </c>
      <c r="G2285" t="s">
        <v>631</v>
      </c>
      <c r="H2285" t="s">
        <v>10643</v>
      </c>
      <c r="I2285">
        <v>2.1263185073244081E-4</v>
      </c>
      <c r="J2285">
        <v>131683</v>
      </c>
      <c r="K2285">
        <v>6.1066038558841489E-4</v>
      </c>
      <c r="L2285">
        <v>45852</v>
      </c>
      <c r="M2285">
        <v>28</v>
      </c>
      <c r="N2285">
        <v>0.10349999999999999</v>
      </c>
      <c r="O2285">
        <v>40</v>
      </c>
    </row>
    <row r="2286" spans="1:15" x14ac:dyDescent="0.25">
      <c r="A2286" t="s">
        <v>564</v>
      </c>
      <c r="B2286" t="s">
        <v>30</v>
      </c>
      <c r="C2286" t="s">
        <v>392</v>
      </c>
      <c r="D2286" t="s">
        <v>76</v>
      </c>
      <c r="E2286" t="s">
        <v>634</v>
      </c>
      <c r="F2286" t="s">
        <v>658</v>
      </c>
      <c r="G2286" t="s">
        <v>659</v>
      </c>
      <c r="H2286" t="s">
        <v>10628</v>
      </c>
      <c r="I2286">
        <v>2.1263185073244081E-4</v>
      </c>
      <c r="J2286">
        <v>131683</v>
      </c>
      <c r="K2286">
        <v>6.1066038558841489E-4</v>
      </c>
      <c r="L2286">
        <v>45852</v>
      </c>
      <c r="M2286">
        <v>28</v>
      </c>
      <c r="N2286">
        <v>3.4500000000000003E-2</v>
      </c>
      <c r="O2286">
        <v>41</v>
      </c>
    </row>
    <row r="2287" spans="1:15" x14ac:dyDescent="0.25">
      <c r="A2287" t="s">
        <v>564</v>
      </c>
      <c r="B2287" t="s">
        <v>30</v>
      </c>
      <c r="C2287" t="s">
        <v>392</v>
      </c>
      <c r="D2287" t="s">
        <v>76</v>
      </c>
      <c r="E2287" t="s">
        <v>644</v>
      </c>
      <c r="F2287" t="s">
        <v>78</v>
      </c>
      <c r="G2287" t="s">
        <v>645</v>
      </c>
      <c r="H2287" t="s">
        <v>10632</v>
      </c>
      <c r="I2287">
        <v>1.9744386139440931E-4</v>
      </c>
      <c r="J2287">
        <v>131683</v>
      </c>
      <c r="K2287">
        <v>5.6704178661781386E-4</v>
      </c>
      <c r="L2287">
        <v>45852</v>
      </c>
      <c r="M2287">
        <v>26</v>
      </c>
      <c r="N2287">
        <v>7.6899999999999996E-2</v>
      </c>
      <c r="O2287">
        <v>42</v>
      </c>
    </row>
    <row r="2288" spans="1:15" x14ac:dyDescent="0.25">
      <c r="A2288" t="s">
        <v>564</v>
      </c>
      <c r="B2288" t="s">
        <v>30</v>
      </c>
      <c r="C2288" t="s">
        <v>392</v>
      </c>
      <c r="D2288" t="s">
        <v>76</v>
      </c>
      <c r="E2288" t="s">
        <v>642</v>
      </c>
      <c r="F2288" t="s">
        <v>78</v>
      </c>
      <c r="G2288" t="s">
        <v>643</v>
      </c>
      <c r="H2288" t="s">
        <v>10639</v>
      </c>
      <c r="I2288">
        <v>1.9744386139440931E-4</v>
      </c>
      <c r="J2288">
        <v>131683</v>
      </c>
      <c r="K2288">
        <v>5.6704178661781386E-4</v>
      </c>
      <c r="L2288">
        <v>45852</v>
      </c>
      <c r="M2288">
        <v>26</v>
      </c>
      <c r="O2288">
        <v>43</v>
      </c>
    </row>
    <row r="2289" spans="1:15" x14ac:dyDescent="0.25">
      <c r="A2289" t="s">
        <v>564</v>
      </c>
      <c r="B2289" t="s">
        <v>30</v>
      </c>
      <c r="C2289" t="s">
        <v>392</v>
      </c>
      <c r="D2289" t="s">
        <v>76</v>
      </c>
      <c r="E2289" t="s">
        <v>602</v>
      </c>
      <c r="F2289" t="s">
        <v>648</v>
      </c>
      <c r="G2289" t="s">
        <v>649</v>
      </c>
      <c r="H2289" t="s">
        <v>10640</v>
      </c>
      <c r="I2289">
        <v>1.822558720563778E-4</v>
      </c>
      <c r="J2289">
        <v>131683</v>
      </c>
      <c r="K2289">
        <v>5.2342318764721273E-4</v>
      </c>
      <c r="L2289">
        <v>45852</v>
      </c>
      <c r="M2289">
        <v>24</v>
      </c>
      <c r="N2289">
        <v>0.04</v>
      </c>
      <c r="O2289">
        <v>44</v>
      </c>
    </row>
    <row r="2290" spans="1:15" x14ac:dyDescent="0.25">
      <c r="A2290" t="s">
        <v>564</v>
      </c>
      <c r="B2290" t="s">
        <v>30</v>
      </c>
      <c r="C2290" t="s">
        <v>392</v>
      </c>
      <c r="D2290" t="s">
        <v>76</v>
      </c>
      <c r="E2290" t="s">
        <v>654</v>
      </c>
      <c r="F2290" t="s">
        <v>78</v>
      </c>
      <c r="G2290" t="s">
        <v>655</v>
      </c>
      <c r="H2290" t="s">
        <v>10653</v>
      </c>
      <c r="I2290">
        <v>1.5947388804933059E-4</v>
      </c>
      <c r="J2290">
        <v>131683</v>
      </c>
      <c r="K2290">
        <v>4.5799528919131119E-4</v>
      </c>
      <c r="L2290">
        <v>45852</v>
      </c>
      <c r="M2290">
        <v>21</v>
      </c>
      <c r="O2290">
        <v>45</v>
      </c>
    </row>
    <row r="2291" spans="1:15" x14ac:dyDescent="0.25">
      <c r="A2291" t="s">
        <v>564</v>
      </c>
      <c r="B2291" t="s">
        <v>30</v>
      </c>
      <c r="C2291" t="s">
        <v>392</v>
      </c>
      <c r="D2291" t="s">
        <v>76</v>
      </c>
      <c r="E2291" t="s">
        <v>676</v>
      </c>
      <c r="F2291" t="s">
        <v>78</v>
      </c>
      <c r="G2291" t="s">
        <v>677</v>
      </c>
      <c r="H2291" t="s">
        <v>10648</v>
      </c>
      <c r="I2291">
        <v>1.5947388804933059E-4</v>
      </c>
      <c r="J2291">
        <v>131683</v>
      </c>
      <c r="K2291">
        <v>4.5799528919131119E-4</v>
      </c>
      <c r="L2291">
        <v>45852</v>
      </c>
      <c r="M2291">
        <v>21</v>
      </c>
      <c r="O2291">
        <v>46</v>
      </c>
    </row>
    <row r="2292" spans="1:15" x14ac:dyDescent="0.25">
      <c r="A2292" t="s">
        <v>564</v>
      </c>
      <c r="B2292" t="s">
        <v>30</v>
      </c>
      <c r="C2292" t="s">
        <v>392</v>
      </c>
      <c r="D2292" t="s">
        <v>76</v>
      </c>
      <c r="E2292" t="s">
        <v>660</v>
      </c>
      <c r="F2292" t="s">
        <v>78</v>
      </c>
      <c r="G2292" t="s">
        <v>661</v>
      </c>
      <c r="H2292" t="s">
        <v>10645</v>
      </c>
      <c r="I2292">
        <v>1.2909790937326761E-4</v>
      </c>
      <c r="J2292">
        <v>131683</v>
      </c>
      <c r="K2292">
        <v>3.7075809125010898E-4</v>
      </c>
      <c r="L2292">
        <v>45852</v>
      </c>
      <c r="M2292">
        <v>17</v>
      </c>
      <c r="N2292">
        <v>0.23530000000000001</v>
      </c>
      <c r="O2292">
        <v>47</v>
      </c>
    </row>
    <row r="2293" spans="1:15" x14ac:dyDescent="0.25">
      <c r="A2293" t="s">
        <v>564</v>
      </c>
      <c r="B2293" t="s">
        <v>30</v>
      </c>
      <c r="C2293" t="s">
        <v>392</v>
      </c>
      <c r="D2293" t="s">
        <v>76</v>
      </c>
      <c r="E2293" t="s">
        <v>654</v>
      </c>
      <c r="F2293" t="s">
        <v>8392</v>
      </c>
      <c r="G2293" t="s">
        <v>8393</v>
      </c>
      <c r="H2293" t="s">
        <v>10656</v>
      </c>
      <c r="I2293">
        <v>1.139099200352361E-4</v>
      </c>
      <c r="J2293">
        <v>131683</v>
      </c>
      <c r="K2293">
        <v>3.2713949227950801E-4</v>
      </c>
      <c r="L2293">
        <v>45852</v>
      </c>
      <c r="M2293">
        <v>15</v>
      </c>
      <c r="O2293">
        <v>48</v>
      </c>
    </row>
    <row r="2294" spans="1:15" x14ac:dyDescent="0.25">
      <c r="A2294" t="s">
        <v>564</v>
      </c>
      <c r="B2294" t="s">
        <v>30</v>
      </c>
      <c r="C2294" t="s">
        <v>392</v>
      </c>
      <c r="D2294" t="s">
        <v>76</v>
      </c>
      <c r="E2294" t="s">
        <v>80</v>
      </c>
      <c r="F2294" t="s">
        <v>8371</v>
      </c>
      <c r="G2294" t="s">
        <v>8372</v>
      </c>
      <c r="H2294" t="s">
        <v>10650</v>
      </c>
      <c r="I2294">
        <v>1.0631592536622041E-4</v>
      </c>
      <c r="J2294">
        <v>131683</v>
      </c>
      <c r="K2294">
        <v>3.0533019279420739E-4</v>
      </c>
      <c r="L2294">
        <v>45852</v>
      </c>
      <c r="M2294">
        <v>14</v>
      </c>
      <c r="N2294">
        <v>0.14280000000000001</v>
      </c>
      <c r="O2294">
        <v>49</v>
      </c>
    </row>
    <row r="2295" spans="1:15" x14ac:dyDescent="0.25">
      <c r="A2295" t="s">
        <v>564</v>
      </c>
      <c r="B2295" t="s">
        <v>30</v>
      </c>
      <c r="C2295" t="s">
        <v>392</v>
      </c>
      <c r="D2295" t="s">
        <v>76</v>
      </c>
      <c r="E2295" t="s">
        <v>654</v>
      </c>
      <c r="F2295" t="s">
        <v>8395</v>
      </c>
      <c r="G2295" t="s">
        <v>8396</v>
      </c>
      <c r="H2295" t="s">
        <v>10657</v>
      </c>
      <c r="I2295">
        <v>9.8721930697204653E-5</v>
      </c>
      <c r="J2295">
        <v>131683</v>
      </c>
      <c r="K2295">
        <v>2.8352089330890688E-4</v>
      </c>
      <c r="L2295">
        <v>45852</v>
      </c>
      <c r="M2295">
        <v>13</v>
      </c>
      <c r="O2295">
        <v>50</v>
      </c>
    </row>
    <row r="2296" spans="1:15" x14ac:dyDescent="0.25">
      <c r="A2296" t="s">
        <v>564</v>
      </c>
      <c r="B2296" t="s">
        <v>30</v>
      </c>
      <c r="C2296" t="s">
        <v>392</v>
      </c>
      <c r="D2296" t="s">
        <v>76</v>
      </c>
      <c r="E2296" t="s">
        <v>8368</v>
      </c>
      <c r="F2296" t="s">
        <v>78</v>
      </c>
      <c r="G2296" t="s">
        <v>8369</v>
      </c>
      <c r="H2296" t="s">
        <v>10637</v>
      </c>
      <c r="I2296">
        <v>9.8721930697204653E-5</v>
      </c>
      <c r="J2296">
        <v>131683</v>
      </c>
      <c r="K2296">
        <v>2.8352089330890688E-4</v>
      </c>
      <c r="L2296">
        <v>45852</v>
      </c>
      <c r="M2296">
        <v>13</v>
      </c>
      <c r="O2296">
        <v>51</v>
      </c>
    </row>
    <row r="2297" spans="1:15" x14ac:dyDescent="0.25">
      <c r="A2297" t="s">
        <v>564</v>
      </c>
      <c r="B2297" t="s">
        <v>30</v>
      </c>
      <c r="C2297" t="s">
        <v>392</v>
      </c>
      <c r="D2297" t="s">
        <v>76</v>
      </c>
      <c r="E2297" t="s">
        <v>602</v>
      </c>
      <c r="F2297" t="s">
        <v>650</v>
      </c>
      <c r="G2297" t="s">
        <v>651</v>
      </c>
      <c r="H2297" t="s">
        <v>10649</v>
      </c>
      <c r="I2297">
        <v>7.5939946690157425E-5</v>
      </c>
      <c r="J2297">
        <v>131683</v>
      </c>
      <c r="K2297">
        <v>2.1809299485300531E-4</v>
      </c>
      <c r="L2297">
        <v>45852</v>
      </c>
      <c r="M2297">
        <v>10</v>
      </c>
      <c r="N2297">
        <v>0.1</v>
      </c>
      <c r="O2297">
        <v>52</v>
      </c>
    </row>
    <row r="2298" spans="1:15" x14ac:dyDescent="0.25">
      <c r="A2298" t="s">
        <v>564</v>
      </c>
      <c r="B2298" t="s">
        <v>30</v>
      </c>
      <c r="C2298" t="s">
        <v>392</v>
      </c>
      <c r="D2298" t="s">
        <v>76</v>
      </c>
      <c r="E2298" t="s">
        <v>674</v>
      </c>
      <c r="F2298" t="s">
        <v>78</v>
      </c>
      <c r="G2298" t="s">
        <v>675</v>
      </c>
      <c r="H2298" t="s">
        <v>10646</v>
      </c>
      <c r="I2298">
        <v>6.8345952021141686E-5</v>
      </c>
      <c r="J2298">
        <v>131683</v>
      </c>
      <c r="K2298">
        <v>1.962836953677048E-4</v>
      </c>
      <c r="L2298">
        <v>45852</v>
      </c>
      <c r="M2298">
        <v>9</v>
      </c>
      <c r="N2298">
        <v>0.1111</v>
      </c>
      <c r="O2298">
        <v>53</v>
      </c>
    </row>
    <row r="2299" spans="1:15" x14ac:dyDescent="0.25">
      <c r="A2299" t="s">
        <v>564</v>
      </c>
      <c r="B2299" t="s">
        <v>30</v>
      </c>
      <c r="C2299" t="s">
        <v>392</v>
      </c>
      <c r="D2299" t="s">
        <v>76</v>
      </c>
      <c r="E2299" t="s">
        <v>602</v>
      </c>
      <c r="F2299" t="s">
        <v>670</v>
      </c>
      <c r="G2299" t="s">
        <v>671</v>
      </c>
      <c r="H2299" t="s">
        <v>10647</v>
      </c>
      <c r="I2299">
        <v>5.3157962683110203E-5</v>
      </c>
      <c r="J2299">
        <v>131683</v>
      </c>
      <c r="K2299">
        <v>1.5266509639710369E-4</v>
      </c>
      <c r="L2299">
        <v>45852</v>
      </c>
      <c r="M2299">
        <v>7</v>
      </c>
      <c r="N2299">
        <v>0.28570000000000001</v>
      </c>
      <c r="O2299">
        <v>54</v>
      </c>
    </row>
    <row r="2300" spans="1:15" x14ac:dyDescent="0.25">
      <c r="A2300" t="s">
        <v>564</v>
      </c>
      <c r="B2300" t="s">
        <v>30</v>
      </c>
      <c r="C2300" t="s">
        <v>392</v>
      </c>
      <c r="D2300" t="s">
        <v>76</v>
      </c>
      <c r="E2300" t="s">
        <v>602</v>
      </c>
      <c r="F2300" t="s">
        <v>652</v>
      </c>
      <c r="G2300" t="s">
        <v>653</v>
      </c>
      <c r="H2300" t="s">
        <v>10644</v>
      </c>
      <c r="I2300">
        <v>4.5563968014094457E-5</v>
      </c>
      <c r="J2300">
        <v>131683</v>
      </c>
      <c r="K2300">
        <v>1.3085579691180321E-4</v>
      </c>
      <c r="L2300">
        <v>45852</v>
      </c>
      <c r="M2300">
        <v>6</v>
      </c>
      <c r="O2300">
        <v>55</v>
      </c>
    </row>
    <row r="2301" spans="1:15" x14ac:dyDescent="0.25">
      <c r="A2301" t="s">
        <v>564</v>
      </c>
      <c r="B2301" t="s">
        <v>30</v>
      </c>
      <c r="C2301" t="s">
        <v>392</v>
      </c>
      <c r="D2301" t="s">
        <v>76</v>
      </c>
      <c r="E2301" t="s">
        <v>81</v>
      </c>
      <c r="F2301" t="s">
        <v>646</v>
      </c>
      <c r="G2301" t="s">
        <v>647</v>
      </c>
      <c r="H2301" t="s">
        <v>10652</v>
      </c>
      <c r="I2301">
        <v>4.5563968014094457E-5</v>
      </c>
      <c r="J2301">
        <v>131683</v>
      </c>
      <c r="K2301">
        <v>1.3085579691180321E-4</v>
      </c>
      <c r="L2301">
        <v>45852</v>
      </c>
      <c r="M2301">
        <v>6</v>
      </c>
      <c r="O2301">
        <v>56</v>
      </c>
    </row>
    <row r="2302" spans="1:15" x14ac:dyDescent="0.25">
      <c r="A2302" t="s">
        <v>564</v>
      </c>
      <c r="B2302" t="s">
        <v>30</v>
      </c>
      <c r="C2302" t="s">
        <v>392</v>
      </c>
      <c r="D2302" t="s">
        <v>76</v>
      </c>
      <c r="E2302" t="s">
        <v>672</v>
      </c>
      <c r="F2302" t="s">
        <v>78</v>
      </c>
      <c r="G2302" t="s">
        <v>673</v>
      </c>
      <c r="H2302" t="s">
        <v>10659</v>
      </c>
      <c r="I2302">
        <v>3.037597867606297E-5</v>
      </c>
      <c r="J2302">
        <v>131683</v>
      </c>
      <c r="K2302">
        <v>8.7237197941202131E-5</v>
      </c>
      <c r="L2302">
        <v>45852</v>
      </c>
      <c r="M2302">
        <v>4</v>
      </c>
      <c r="N2302">
        <v>0.2</v>
      </c>
      <c r="O2302">
        <v>57</v>
      </c>
    </row>
    <row r="2303" spans="1:15" x14ac:dyDescent="0.25">
      <c r="A2303" t="s">
        <v>564</v>
      </c>
      <c r="B2303" t="s">
        <v>30</v>
      </c>
      <c r="C2303" t="s">
        <v>392</v>
      </c>
      <c r="D2303" t="s">
        <v>76</v>
      </c>
      <c r="E2303" t="s">
        <v>664</v>
      </c>
      <c r="F2303" t="s">
        <v>78</v>
      </c>
      <c r="G2303" t="s">
        <v>665</v>
      </c>
      <c r="H2303" t="s">
        <v>10631</v>
      </c>
      <c r="I2303">
        <v>3.037597867606297E-5</v>
      </c>
      <c r="J2303">
        <v>131683</v>
      </c>
      <c r="K2303">
        <v>8.7237197941202131E-5</v>
      </c>
      <c r="L2303">
        <v>45852</v>
      </c>
      <c r="M2303">
        <v>4</v>
      </c>
      <c r="O2303">
        <v>58</v>
      </c>
    </row>
    <row r="2304" spans="1:15" x14ac:dyDescent="0.25">
      <c r="A2304" t="s">
        <v>564</v>
      </c>
      <c r="B2304" t="s">
        <v>30</v>
      </c>
      <c r="C2304" t="s">
        <v>392</v>
      </c>
      <c r="D2304" t="s">
        <v>76</v>
      </c>
      <c r="E2304" t="s">
        <v>602</v>
      </c>
      <c r="F2304" t="s">
        <v>666</v>
      </c>
      <c r="G2304" t="s">
        <v>667</v>
      </c>
      <c r="H2304" t="s">
        <v>10759</v>
      </c>
      <c r="I2304">
        <v>3.037597867606297E-5</v>
      </c>
      <c r="J2304">
        <v>131683</v>
      </c>
      <c r="K2304">
        <v>8.7237197941202131E-5</v>
      </c>
      <c r="L2304">
        <v>45852</v>
      </c>
      <c r="M2304">
        <v>4</v>
      </c>
      <c r="O2304">
        <v>59</v>
      </c>
    </row>
    <row r="2305" spans="1:15" x14ac:dyDescent="0.25">
      <c r="A2305" t="s">
        <v>564</v>
      </c>
      <c r="B2305" t="s">
        <v>30</v>
      </c>
      <c r="C2305" t="s">
        <v>392</v>
      </c>
      <c r="D2305" t="s">
        <v>76</v>
      </c>
      <c r="E2305" t="s">
        <v>636</v>
      </c>
      <c r="F2305" t="s">
        <v>78</v>
      </c>
      <c r="G2305" t="s">
        <v>637</v>
      </c>
      <c r="H2305" t="s">
        <v>10654</v>
      </c>
      <c r="I2305">
        <v>3.037597867606297E-5</v>
      </c>
      <c r="J2305">
        <v>131683</v>
      </c>
      <c r="K2305">
        <v>8.7237197941202131E-5</v>
      </c>
      <c r="L2305">
        <v>45852</v>
      </c>
      <c r="M2305">
        <v>4</v>
      </c>
      <c r="O2305">
        <v>60</v>
      </c>
    </row>
    <row r="2306" spans="1:15" x14ac:dyDescent="0.25">
      <c r="A2306" t="s">
        <v>564</v>
      </c>
      <c r="B2306" t="s">
        <v>30</v>
      </c>
      <c r="C2306" t="s">
        <v>392</v>
      </c>
      <c r="D2306" t="s">
        <v>76</v>
      </c>
      <c r="E2306" t="s">
        <v>668</v>
      </c>
      <c r="F2306" t="s">
        <v>78</v>
      </c>
      <c r="G2306" t="s">
        <v>669</v>
      </c>
      <c r="H2306" t="s">
        <v>10699</v>
      </c>
      <c r="I2306">
        <v>1.518798933803149E-5</v>
      </c>
      <c r="J2306">
        <v>131683</v>
      </c>
      <c r="K2306">
        <v>4.3618598970601072E-5</v>
      </c>
      <c r="L2306">
        <v>45852</v>
      </c>
      <c r="M2306">
        <v>2</v>
      </c>
      <c r="O2306">
        <v>61</v>
      </c>
    </row>
    <row r="2307" spans="1:15" x14ac:dyDescent="0.25">
      <c r="A2307" t="s">
        <v>564</v>
      </c>
      <c r="B2307" t="s">
        <v>30</v>
      </c>
      <c r="C2307" t="s">
        <v>392</v>
      </c>
      <c r="D2307" t="s">
        <v>76</v>
      </c>
      <c r="E2307" t="s">
        <v>662</v>
      </c>
      <c r="F2307" t="s">
        <v>78</v>
      </c>
      <c r="G2307" t="s">
        <v>663</v>
      </c>
      <c r="H2307" t="s">
        <v>10658</v>
      </c>
      <c r="I2307">
        <v>1.518798933803149E-5</v>
      </c>
      <c r="J2307">
        <v>131683</v>
      </c>
      <c r="K2307">
        <v>4.3618598970601072E-5</v>
      </c>
      <c r="L2307">
        <v>45852</v>
      </c>
      <c r="M2307">
        <v>2</v>
      </c>
      <c r="O2307">
        <v>62</v>
      </c>
    </row>
    <row r="2308" spans="1:15" x14ac:dyDescent="0.25">
      <c r="A2308" t="s">
        <v>564</v>
      </c>
      <c r="B2308" t="s">
        <v>30</v>
      </c>
      <c r="C2308" t="s">
        <v>392</v>
      </c>
      <c r="D2308" t="s">
        <v>76</v>
      </c>
      <c r="E2308" t="s">
        <v>680</v>
      </c>
      <c r="F2308" t="s">
        <v>78</v>
      </c>
      <c r="G2308" t="s">
        <v>681</v>
      </c>
      <c r="H2308" t="s">
        <v>10665</v>
      </c>
      <c r="I2308">
        <v>7.5939946690157426E-6</v>
      </c>
      <c r="J2308">
        <v>131683</v>
      </c>
      <c r="K2308">
        <v>2.1809299485300529E-5</v>
      </c>
      <c r="L2308">
        <v>45852</v>
      </c>
      <c r="M2308">
        <v>1</v>
      </c>
      <c r="O2308">
        <v>63</v>
      </c>
    </row>
    <row r="2309" spans="1:15" x14ac:dyDescent="0.25">
      <c r="A2309" t="s">
        <v>564</v>
      </c>
      <c r="B2309" t="s">
        <v>30</v>
      </c>
      <c r="C2309" t="s">
        <v>392</v>
      </c>
      <c r="D2309" t="s">
        <v>76</v>
      </c>
      <c r="E2309" t="s">
        <v>682</v>
      </c>
      <c r="F2309" t="s">
        <v>78</v>
      </c>
      <c r="G2309" t="s">
        <v>683</v>
      </c>
      <c r="H2309" t="s">
        <v>10655</v>
      </c>
      <c r="I2309">
        <v>7.5939946690157426E-6</v>
      </c>
      <c r="J2309">
        <v>131683</v>
      </c>
      <c r="K2309">
        <v>2.1809299485300529E-5</v>
      </c>
      <c r="L2309">
        <v>45852</v>
      </c>
      <c r="M2309">
        <v>1</v>
      </c>
      <c r="O2309">
        <v>64</v>
      </c>
    </row>
    <row r="2310" spans="1:15" x14ac:dyDescent="0.25">
      <c r="A2310" t="s">
        <v>564</v>
      </c>
      <c r="B2310" t="s">
        <v>30</v>
      </c>
      <c r="C2310" t="s">
        <v>392</v>
      </c>
      <c r="D2310" t="s">
        <v>76</v>
      </c>
      <c r="E2310" t="s">
        <v>654</v>
      </c>
      <c r="F2310" t="s">
        <v>8388</v>
      </c>
      <c r="G2310" t="s">
        <v>8389</v>
      </c>
      <c r="H2310" t="s">
        <v>10678</v>
      </c>
      <c r="I2310">
        <v>7.5939946690157426E-6</v>
      </c>
      <c r="J2310">
        <v>131683</v>
      </c>
      <c r="K2310">
        <v>2.1809299485300529E-5</v>
      </c>
      <c r="L2310">
        <v>45852</v>
      </c>
      <c r="M2310">
        <v>1</v>
      </c>
      <c r="O2310">
        <v>65</v>
      </c>
    </row>
    <row r="2311" spans="1:15" x14ac:dyDescent="0.25">
      <c r="A2311" t="s">
        <v>564</v>
      </c>
      <c r="B2311" t="s">
        <v>30</v>
      </c>
      <c r="C2311" t="s">
        <v>392</v>
      </c>
      <c r="D2311" t="s">
        <v>76</v>
      </c>
      <c r="E2311" t="s">
        <v>654</v>
      </c>
      <c r="F2311" t="s">
        <v>8507</v>
      </c>
      <c r="G2311" t="s">
        <v>8508</v>
      </c>
      <c r="H2311" t="s">
        <v>10679</v>
      </c>
      <c r="I2311">
        <v>7.5939946690157426E-6</v>
      </c>
      <c r="J2311">
        <v>131683</v>
      </c>
      <c r="K2311">
        <v>2.1809299485300529E-5</v>
      </c>
      <c r="L2311">
        <v>45852</v>
      </c>
      <c r="M2311">
        <v>1</v>
      </c>
      <c r="O2311">
        <v>66</v>
      </c>
    </row>
    <row r="2312" spans="1:15" x14ac:dyDescent="0.25">
      <c r="A2312" t="s">
        <v>564</v>
      </c>
      <c r="B2312" t="s">
        <v>30</v>
      </c>
      <c r="C2312" t="s">
        <v>392</v>
      </c>
      <c r="D2312" t="s">
        <v>76</v>
      </c>
      <c r="E2312" t="s">
        <v>1096</v>
      </c>
      <c r="F2312" t="s">
        <v>78</v>
      </c>
      <c r="G2312" t="s">
        <v>1097</v>
      </c>
      <c r="H2312" t="s">
        <v>10695</v>
      </c>
      <c r="J2312">
        <v>131683</v>
      </c>
      <c r="L2312">
        <v>45852</v>
      </c>
      <c r="O2312">
        <v>67</v>
      </c>
    </row>
    <row r="2313" spans="1:15" x14ac:dyDescent="0.25">
      <c r="A2313" t="s">
        <v>564</v>
      </c>
      <c r="B2313" t="s">
        <v>30</v>
      </c>
      <c r="C2313" t="s">
        <v>392</v>
      </c>
      <c r="D2313" t="s">
        <v>76</v>
      </c>
      <c r="E2313" t="s">
        <v>634</v>
      </c>
      <c r="F2313" t="s">
        <v>883</v>
      </c>
      <c r="G2313" t="s">
        <v>884</v>
      </c>
      <c r="H2313" t="s">
        <v>10750</v>
      </c>
      <c r="J2313">
        <v>131683</v>
      </c>
      <c r="L2313">
        <v>45852</v>
      </c>
      <c r="O2313">
        <v>68</v>
      </c>
    </row>
    <row r="2314" spans="1:15" x14ac:dyDescent="0.25">
      <c r="A2314" t="s">
        <v>564</v>
      </c>
      <c r="B2314" t="s">
        <v>30</v>
      </c>
      <c r="C2314" t="s">
        <v>392</v>
      </c>
      <c r="D2314" t="s">
        <v>76</v>
      </c>
      <c r="E2314" t="s">
        <v>634</v>
      </c>
      <c r="F2314" t="s">
        <v>880</v>
      </c>
      <c r="G2314" t="s">
        <v>881</v>
      </c>
      <c r="H2314" t="s">
        <v>10749</v>
      </c>
      <c r="J2314">
        <v>131683</v>
      </c>
      <c r="L2314">
        <v>45852</v>
      </c>
      <c r="O2314">
        <v>69</v>
      </c>
    </row>
    <row r="2315" spans="1:15" x14ac:dyDescent="0.25">
      <c r="A2315" t="s">
        <v>564</v>
      </c>
      <c r="B2315" t="s">
        <v>30</v>
      </c>
      <c r="C2315" t="s">
        <v>392</v>
      </c>
      <c r="D2315" t="s">
        <v>76</v>
      </c>
      <c r="E2315" t="s">
        <v>602</v>
      </c>
      <c r="F2315" t="s">
        <v>876</v>
      </c>
      <c r="G2315" t="s">
        <v>877</v>
      </c>
      <c r="H2315" t="s">
        <v>10729</v>
      </c>
      <c r="J2315">
        <v>131683</v>
      </c>
      <c r="L2315">
        <v>45852</v>
      </c>
      <c r="O2315">
        <v>70</v>
      </c>
    </row>
    <row r="2316" spans="1:15" x14ac:dyDescent="0.25">
      <c r="A2316" t="s">
        <v>564</v>
      </c>
      <c r="B2316" t="s">
        <v>30</v>
      </c>
      <c r="C2316" t="s">
        <v>392</v>
      </c>
      <c r="D2316" t="s">
        <v>76</v>
      </c>
      <c r="E2316" t="s">
        <v>602</v>
      </c>
      <c r="F2316" t="s">
        <v>870</v>
      </c>
      <c r="G2316" t="s">
        <v>871</v>
      </c>
      <c r="H2316" t="s">
        <v>10753</v>
      </c>
      <c r="J2316">
        <v>131683</v>
      </c>
      <c r="L2316">
        <v>45852</v>
      </c>
      <c r="O2316">
        <v>71</v>
      </c>
    </row>
    <row r="2317" spans="1:15" x14ac:dyDescent="0.25">
      <c r="A2317" t="s">
        <v>564</v>
      </c>
      <c r="B2317" t="s">
        <v>30</v>
      </c>
      <c r="C2317" t="s">
        <v>392</v>
      </c>
      <c r="D2317" t="s">
        <v>76</v>
      </c>
      <c r="E2317" t="s">
        <v>602</v>
      </c>
      <c r="F2317" t="s">
        <v>867</v>
      </c>
      <c r="G2317" t="s">
        <v>868</v>
      </c>
      <c r="H2317" t="s">
        <v>10751</v>
      </c>
      <c r="J2317">
        <v>131683</v>
      </c>
      <c r="L2317">
        <v>45852</v>
      </c>
      <c r="O2317">
        <v>72</v>
      </c>
    </row>
    <row r="2318" spans="1:15" x14ac:dyDescent="0.25">
      <c r="A2318" t="s">
        <v>564</v>
      </c>
      <c r="B2318" t="s">
        <v>30</v>
      </c>
      <c r="C2318" t="s">
        <v>392</v>
      </c>
      <c r="D2318" t="s">
        <v>76</v>
      </c>
      <c r="E2318" t="s">
        <v>602</v>
      </c>
      <c r="F2318" t="s">
        <v>864</v>
      </c>
      <c r="G2318" t="s">
        <v>865</v>
      </c>
      <c r="H2318" t="s">
        <v>10754</v>
      </c>
      <c r="J2318">
        <v>131683</v>
      </c>
      <c r="L2318">
        <v>45852</v>
      </c>
      <c r="O2318">
        <v>73</v>
      </c>
    </row>
    <row r="2319" spans="1:15" x14ac:dyDescent="0.25">
      <c r="A2319" t="s">
        <v>564</v>
      </c>
      <c r="B2319" t="s">
        <v>30</v>
      </c>
      <c r="C2319" t="s">
        <v>392</v>
      </c>
      <c r="D2319" t="s">
        <v>76</v>
      </c>
      <c r="E2319" t="s">
        <v>602</v>
      </c>
      <c r="F2319" t="s">
        <v>854</v>
      </c>
      <c r="G2319" t="s">
        <v>855</v>
      </c>
      <c r="H2319" t="s">
        <v>10731</v>
      </c>
      <c r="J2319">
        <v>131683</v>
      </c>
      <c r="L2319">
        <v>45852</v>
      </c>
      <c r="O2319">
        <v>74</v>
      </c>
    </row>
    <row r="2320" spans="1:15" x14ac:dyDescent="0.25">
      <c r="A2320" t="s">
        <v>564</v>
      </c>
      <c r="B2320" t="s">
        <v>30</v>
      </c>
      <c r="C2320" t="s">
        <v>392</v>
      </c>
      <c r="D2320" t="s">
        <v>76</v>
      </c>
      <c r="E2320" t="s">
        <v>602</v>
      </c>
      <c r="F2320" t="s">
        <v>1099</v>
      </c>
      <c r="G2320" t="s">
        <v>1100</v>
      </c>
      <c r="H2320" t="s">
        <v>10755</v>
      </c>
      <c r="J2320">
        <v>131683</v>
      </c>
      <c r="L2320">
        <v>45852</v>
      </c>
      <c r="O2320">
        <v>75</v>
      </c>
    </row>
    <row r="2321" spans="1:15" x14ac:dyDescent="0.25">
      <c r="A2321" t="s">
        <v>564</v>
      </c>
      <c r="B2321" t="s">
        <v>30</v>
      </c>
      <c r="C2321" t="s">
        <v>392</v>
      </c>
      <c r="D2321" t="s">
        <v>76</v>
      </c>
      <c r="E2321" t="s">
        <v>602</v>
      </c>
      <c r="F2321" t="s">
        <v>1090</v>
      </c>
      <c r="G2321" t="s">
        <v>1091</v>
      </c>
      <c r="H2321" t="s">
        <v>10756</v>
      </c>
      <c r="J2321">
        <v>131683</v>
      </c>
      <c r="L2321">
        <v>45852</v>
      </c>
      <c r="O2321">
        <v>76</v>
      </c>
    </row>
    <row r="2322" spans="1:15" x14ac:dyDescent="0.25">
      <c r="A2322" t="s">
        <v>564</v>
      </c>
      <c r="B2322" t="s">
        <v>30</v>
      </c>
      <c r="C2322" t="s">
        <v>392</v>
      </c>
      <c r="D2322" t="s">
        <v>76</v>
      </c>
      <c r="E2322" t="s">
        <v>602</v>
      </c>
      <c r="F2322" t="s">
        <v>1087</v>
      </c>
      <c r="G2322" t="s">
        <v>1088</v>
      </c>
      <c r="H2322" t="s">
        <v>10752</v>
      </c>
      <c r="J2322">
        <v>131683</v>
      </c>
      <c r="L2322">
        <v>45852</v>
      </c>
      <c r="O2322">
        <v>77</v>
      </c>
    </row>
    <row r="2323" spans="1:15" x14ac:dyDescent="0.25">
      <c r="A2323" t="s">
        <v>564</v>
      </c>
      <c r="B2323" t="s">
        <v>30</v>
      </c>
      <c r="C2323" t="s">
        <v>392</v>
      </c>
      <c r="D2323" t="s">
        <v>76</v>
      </c>
      <c r="E2323" t="s">
        <v>81</v>
      </c>
      <c r="F2323" t="s">
        <v>851</v>
      </c>
      <c r="G2323" t="s">
        <v>852</v>
      </c>
      <c r="H2323" t="s">
        <v>10684</v>
      </c>
      <c r="J2323">
        <v>131683</v>
      </c>
      <c r="L2323">
        <v>45852</v>
      </c>
      <c r="O2323">
        <v>78</v>
      </c>
    </row>
    <row r="2324" spans="1:15" x14ac:dyDescent="0.25">
      <c r="A2324" t="s">
        <v>564</v>
      </c>
      <c r="B2324" t="s">
        <v>30</v>
      </c>
      <c r="C2324" t="s">
        <v>392</v>
      </c>
      <c r="D2324" t="s">
        <v>76</v>
      </c>
      <c r="E2324" t="s">
        <v>81</v>
      </c>
      <c r="F2324" t="s">
        <v>604</v>
      </c>
      <c r="G2324" t="s">
        <v>605</v>
      </c>
      <c r="H2324" t="s">
        <v>10663</v>
      </c>
      <c r="J2324">
        <v>131683</v>
      </c>
      <c r="L2324">
        <v>45852</v>
      </c>
      <c r="O2324">
        <v>79</v>
      </c>
    </row>
    <row r="2325" spans="1:15" x14ac:dyDescent="0.25">
      <c r="A2325" t="s">
        <v>564</v>
      </c>
      <c r="B2325" t="s">
        <v>30</v>
      </c>
      <c r="C2325" t="s">
        <v>392</v>
      </c>
      <c r="D2325" t="s">
        <v>76</v>
      </c>
      <c r="E2325" t="s">
        <v>654</v>
      </c>
      <c r="F2325" t="s">
        <v>8518</v>
      </c>
      <c r="G2325" t="s">
        <v>8519</v>
      </c>
      <c r="H2325" t="s">
        <v>10680</v>
      </c>
      <c r="J2325">
        <v>131683</v>
      </c>
      <c r="L2325">
        <v>45852</v>
      </c>
      <c r="O2325">
        <v>80</v>
      </c>
    </row>
    <row r="2326" spans="1:15" x14ac:dyDescent="0.25">
      <c r="A2326" t="s">
        <v>564</v>
      </c>
      <c r="B2326" t="s">
        <v>30</v>
      </c>
      <c r="C2326" t="s">
        <v>392</v>
      </c>
      <c r="D2326" t="s">
        <v>76</v>
      </c>
      <c r="E2326" t="s">
        <v>654</v>
      </c>
      <c r="F2326" t="s">
        <v>8471</v>
      </c>
      <c r="G2326" t="s">
        <v>8472</v>
      </c>
      <c r="H2326" t="s">
        <v>10662</v>
      </c>
      <c r="J2326">
        <v>131683</v>
      </c>
      <c r="L2326">
        <v>45852</v>
      </c>
      <c r="O2326">
        <v>81</v>
      </c>
    </row>
    <row r="2327" spans="1:15" x14ac:dyDescent="0.25">
      <c r="A2327" t="s">
        <v>564</v>
      </c>
      <c r="B2327" t="s">
        <v>30</v>
      </c>
      <c r="C2327" t="s">
        <v>392</v>
      </c>
      <c r="D2327" t="s">
        <v>76</v>
      </c>
      <c r="E2327" t="s">
        <v>654</v>
      </c>
      <c r="F2327" t="s">
        <v>8465</v>
      </c>
      <c r="G2327" t="s">
        <v>8466</v>
      </c>
      <c r="H2327" t="s">
        <v>10681</v>
      </c>
      <c r="J2327">
        <v>131683</v>
      </c>
      <c r="L2327">
        <v>45852</v>
      </c>
      <c r="O2327">
        <v>82</v>
      </c>
    </row>
    <row r="2328" spans="1:15" x14ac:dyDescent="0.25">
      <c r="A2328" t="s">
        <v>564</v>
      </c>
      <c r="B2328" t="s">
        <v>30</v>
      </c>
      <c r="C2328" t="s">
        <v>392</v>
      </c>
      <c r="D2328" t="s">
        <v>76</v>
      </c>
      <c r="E2328" t="s">
        <v>886</v>
      </c>
      <c r="F2328" t="s">
        <v>8512</v>
      </c>
      <c r="G2328" t="s">
        <v>8513</v>
      </c>
      <c r="H2328" t="s">
        <v>10664</v>
      </c>
      <c r="J2328">
        <v>131683</v>
      </c>
      <c r="L2328">
        <v>45852</v>
      </c>
      <c r="O2328">
        <v>83</v>
      </c>
    </row>
    <row r="2329" spans="1:15" x14ac:dyDescent="0.25">
      <c r="A2329" t="s">
        <v>564</v>
      </c>
      <c r="B2329" t="s">
        <v>30</v>
      </c>
      <c r="C2329" t="s">
        <v>392</v>
      </c>
      <c r="D2329" t="s">
        <v>76</v>
      </c>
      <c r="E2329" t="s">
        <v>886</v>
      </c>
      <c r="F2329" t="s">
        <v>8495</v>
      </c>
      <c r="G2329" t="s">
        <v>8496</v>
      </c>
      <c r="H2329" t="s">
        <v>10760</v>
      </c>
      <c r="J2329">
        <v>131683</v>
      </c>
      <c r="L2329">
        <v>45852</v>
      </c>
      <c r="O2329">
        <v>84</v>
      </c>
    </row>
    <row r="2330" spans="1:15" x14ac:dyDescent="0.25">
      <c r="A2330" t="s">
        <v>564</v>
      </c>
      <c r="B2330" t="s">
        <v>30</v>
      </c>
      <c r="C2330" t="s">
        <v>392</v>
      </c>
      <c r="D2330" t="s">
        <v>76</v>
      </c>
      <c r="E2330" t="s">
        <v>886</v>
      </c>
      <c r="F2330" t="s">
        <v>8504</v>
      </c>
      <c r="G2330" t="s">
        <v>8505</v>
      </c>
      <c r="H2330" t="s">
        <v>10642</v>
      </c>
      <c r="J2330">
        <v>131683</v>
      </c>
      <c r="L2330">
        <v>45852</v>
      </c>
      <c r="O2330">
        <v>85</v>
      </c>
    </row>
    <row r="2331" spans="1:15" x14ac:dyDescent="0.25">
      <c r="A2331" t="s">
        <v>564</v>
      </c>
      <c r="B2331" t="s">
        <v>30</v>
      </c>
      <c r="C2331" t="s">
        <v>392</v>
      </c>
      <c r="D2331" t="s">
        <v>76</v>
      </c>
      <c r="E2331" t="s">
        <v>686</v>
      </c>
      <c r="F2331" t="s">
        <v>1084</v>
      </c>
      <c r="G2331" t="s">
        <v>1085</v>
      </c>
      <c r="H2331" t="s">
        <v>10745</v>
      </c>
      <c r="J2331">
        <v>131683</v>
      </c>
      <c r="L2331">
        <v>45852</v>
      </c>
      <c r="O2331">
        <v>86</v>
      </c>
    </row>
    <row r="2332" spans="1:15" x14ac:dyDescent="0.25">
      <c r="A2332" t="s">
        <v>564</v>
      </c>
      <c r="B2332" t="s">
        <v>30</v>
      </c>
      <c r="C2332" t="s">
        <v>392</v>
      </c>
      <c r="D2332" t="s">
        <v>76</v>
      </c>
      <c r="E2332" t="s">
        <v>686</v>
      </c>
      <c r="F2332" t="s">
        <v>1069</v>
      </c>
      <c r="G2332" t="s">
        <v>1070</v>
      </c>
      <c r="H2332" t="s">
        <v>10666</v>
      </c>
      <c r="J2332">
        <v>131683</v>
      </c>
      <c r="L2332">
        <v>45852</v>
      </c>
      <c r="O2332">
        <v>87</v>
      </c>
    </row>
    <row r="2333" spans="1:15" x14ac:dyDescent="0.25">
      <c r="A2333" t="s">
        <v>564</v>
      </c>
      <c r="B2333" t="s">
        <v>30</v>
      </c>
      <c r="C2333" t="s">
        <v>392</v>
      </c>
      <c r="D2333" t="s">
        <v>76</v>
      </c>
      <c r="E2333" t="s">
        <v>686</v>
      </c>
      <c r="F2333" t="s">
        <v>1063</v>
      </c>
      <c r="G2333" t="s">
        <v>1064</v>
      </c>
      <c r="H2333" t="s">
        <v>10728</v>
      </c>
      <c r="J2333">
        <v>131683</v>
      </c>
      <c r="L2333">
        <v>45852</v>
      </c>
      <c r="O2333">
        <v>88</v>
      </c>
    </row>
    <row r="2334" spans="1:15" x14ac:dyDescent="0.25">
      <c r="A2334" t="s">
        <v>564</v>
      </c>
      <c r="B2334" t="s">
        <v>30</v>
      </c>
      <c r="C2334" t="s">
        <v>392</v>
      </c>
      <c r="D2334" t="s">
        <v>76</v>
      </c>
      <c r="E2334" t="s">
        <v>686</v>
      </c>
      <c r="F2334" t="s">
        <v>1045</v>
      </c>
      <c r="G2334" t="s">
        <v>1046</v>
      </c>
      <c r="H2334" t="s">
        <v>10739</v>
      </c>
      <c r="J2334">
        <v>131683</v>
      </c>
      <c r="L2334">
        <v>45852</v>
      </c>
      <c r="O2334">
        <v>89</v>
      </c>
    </row>
    <row r="2335" spans="1:15" x14ac:dyDescent="0.25">
      <c r="A2335" t="s">
        <v>564</v>
      </c>
      <c r="B2335" t="s">
        <v>30</v>
      </c>
      <c r="C2335" t="s">
        <v>392</v>
      </c>
      <c r="D2335" t="s">
        <v>76</v>
      </c>
      <c r="E2335" t="s">
        <v>686</v>
      </c>
      <c r="F2335" t="s">
        <v>1039</v>
      </c>
      <c r="G2335" t="s">
        <v>1040</v>
      </c>
      <c r="H2335" t="s">
        <v>10743</v>
      </c>
      <c r="J2335">
        <v>131683</v>
      </c>
      <c r="L2335">
        <v>45852</v>
      </c>
      <c r="O2335">
        <v>90</v>
      </c>
    </row>
    <row r="2336" spans="1:15" x14ac:dyDescent="0.25">
      <c r="A2336" t="s">
        <v>564</v>
      </c>
      <c r="B2336" t="s">
        <v>30</v>
      </c>
      <c r="C2336" t="s">
        <v>392</v>
      </c>
      <c r="D2336" t="s">
        <v>76</v>
      </c>
      <c r="E2336" t="s">
        <v>686</v>
      </c>
      <c r="F2336" t="s">
        <v>1036</v>
      </c>
      <c r="G2336" t="s">
        <v>1037</v>
      </c>
      <c r="H2336" t="s">
        <v>10669</v>
      </c>
      <c r="J2336">
        <v>131683</v>
      </c>
      <c r="L2336">
        <v>45852</v>
      </c>
      <c r="O2336">
        <v>91</v>
      </c>
    </row>
    <row r="2337" spans="1:15" x14ac:dyDescent="0.25">
      <c r="A2337" t="s">
        <v>564</v>
      </c>
      <c r="B2337" t="s">
        <v>30</v>
      </c>
      <c r="C2337" t="s">
        <v>392</v>
      </c>
      <c r="D2337" t="s">
        <v>76</v>
      </c>
      <c r="E2337" t="s">
        <v>686</v>
      </c>
      <c r="F2337" t="s">
        <v>1024</v>
      </c>
      <c r="G2337" t="s">
        <v>1025</v>
      </c>
      <c r="H2337" t="s">
        <v>10738</v>
      </c>
      <c r="J2337">
        <v>131683</v>
      </c>
      <c r="L2337">
        <v>45852</v>
      </c>
      <c r="O2337">
        <v>92</v>
      </c>
    </row>
    <row r="2338" spans="1:15" x14ac:dyDescent="0.25">
      <c r="A2338" t="s">
        <v>564</v>
      </c>
      <c r="B2338" t="s">
        <v>30</v>
      </c>
      <c r="C2338" t="s">
        <v>392</v>
      </c>
      <c r="D2338" t="s">
        <v>76</v>
      </c>
      <c r="E2338" t="s">
        <v>686</v>
      </c>
      <c r="F2338" t="s">
        <v>1021</v>
      </c>
      <c r="G2338" t="s">
        <v>1022</v>
      </c>
      <c r="H2338" t="s">
        <v>10740</v>
      </c>
      <c r="J2338">
        <v>131683</v>
      </c>
      <c r="L2338">
        <v>45852</v>
      </c>
      <c r="O2338">
        <v>93</v>
      </c>
    </row>
    <row r="2339" spans="1:15" x14ac:dyDescent="0.25">
      <c r="A2339" t="s">
        <v>564</v>
      </c>
      <c r="B2339" t="s">
        <v>30</v>
      </c>
      <c r="C2339" t="s">
        <v>392</v>
      </c>
      <c r="D2339" t="s">
        <v>76</v>
      </c>
      <c r="E2339" t="s">
        <v>686</v>
      </c>
      <c r="F2339" t="s">
        <v>1012</v>
      </c>
      <c r="G2339" t="s">
        <v>1013</v>
      </c>
      <c r="H2339" t="s">
        <v>10757</v>
      </c>
      <c r="J2339">
        <v>131683</v>
      </c>
      <c r="L2339">
        <v>45852</v>
      </c>
      <c r="O2339">
        <v>94</v>
      </c>
    </row>
    <row r="2340" spans="1:15" x14ac:dyDescent="0.25">
      <c r="A2340" t="s">
        <v>564</v>
      </c>
      <c r="B2340" t="s">
        <v>30</v>
      </c>
      <c r="C2340" t="s">
        <v>392</v>
      </c>
      <c r="D2340" t="s">
        <v>76</v>
      </c>
      <c r="E2340" t="s">
        <v>686</v>
      </c>
      <c r="F2340" t="s">
        <v>1009</v>
      </c>
      <c r="G2340" t="s">
        <v>1010</v>
      </c>
      <c r="H2340" t="s">
        <v>10733</v>
      </c>
      <c r="J2340">
        <v>131683</v>
      </c>
      <c r="L2340">
        <v>45852</v>
      </c>
      <c r="O2340">
        <v>95</v>
      </c>
    </row>
    <row r="2341" spans="1:15" x14ac:dyDescent="0.25">
      <c r="A2341" t="s">
        <v>564</v>
      </c>
      <c r="B2341" t="s">
        <v>30</v>
      </c>
      <c r="C2341" t="s">
        <v>392</v>
      </c>
      <c r="D2341" t="s">
        <v>76</v>
      </c>
      <c r="E2341" t="s">
        <v>686</v>
      </c>
      <c r="F2341" t="s">
        <v>1006</v>
      </c>
      <c r="G2341" t="s">
        <v>1007</v>
      </c>
      <c r="H2341" t="s">
        <v>10734</v>
      </c>
      <c r="J2341">
        <v>131683</v>
      </c>
      <c r="L2341">
        <v>45852</v>
      </c>
      <c r="O2341">
        <v>96</v>
      </c>
    </row>
    <row r="2342" spans="1:15" x14ac:dyDescent="0.25">
      <c r="A2342" t="s">
        <v>564</v>
      </c>
      <c r="B2342" t="s">
        <v>30</v>
      </c>
      <c r="C2342" t="s">
        <v>392</v>
      </c>
      <c r="D2342" t="s">
        <v>76</v>
      </c>
      <c r="E2342" t="s">
        <v>686</v>
      </c>
      <c r="F2342" t="s">
        <v>991</v>
      </c>
      <c r="G2342" t="s">
        <v>992</v>
      </c>
      <c r="H2342" t="s">
        <v>10735</v>
      </c>
      <c r="J2342">
        <v>131683</v>
      </c>
      <c r="L2342">
        <v>45852</v>
      </c>
      <c r="O2342">
        <v>97</v>
      </c>
    </row>
    <row r="2343" spans="1:15" x14ac:dyDescent="0.25">
      <c r="A2343" t="s">
        <v>564</v>
      </c>
      <c r="B2343" t="s">
        <v>30</v>
      </c>
      <c r="C2343" t="s">
        <v>392</v>
      </c>
      <c r="D2343" t="s">
        <v>76</v>
      </c>
      <c r="E2343" t="s">
        <v>686</v>
      </c>
      <c r="F2343" t="s">
        <v>958</v>
      </c>
      <c r="G2343" t="s">
        <v>959</v>
      </c>
      <c r="H2343" t="s">
        <v>10742</v>
      </c>
      <c r="J2343">
        <v>131683</v>
      </c>
      <c r="L2343">
        <v>45852</v>
      </c>
      <c r="O2343">
        <v>98</v>
      </c>
    </row>
    <row r="2344" spans="1:15" x14ac:dyDescent="0.25">
      <c r="A2344" t="s">
        <v>564</v>
      </c>
      <c r="B2344" t="s">
        <v>30</v>
      </c>
      <c r="C2344" t="s">
        <v>392</v>
      </c>
      <c r="D2344" t="s">
        <v>76</v>
      </c>
      <c r="E2344" t="s">
        <v>686</v>
      </c>
      <c r="F2344" t="s">
        <v>952</v>
      </c>
      <c r="G2344" t="s">
        <v>953</v>
      </c>
      <c r="H2344" t="s">
        <v>10747</v>
      </c>
      <c r="J2344">
        <v>131683</v>
      </c>
      <c r="L2344">
        <v>45852</v>
      </c>
      <c r="O2344">
        <v>99</v>
      </c>
    </row>
    <row r="2345" spans="1:15" x14ac:dyDescent="0.25">
      <c r="A2345" t="s">
        <v>564</v>
      </c>
      <c r="B2345" t="s">
        <v>30</v>
      </c>
      <c r="C2345" t="s">
        <v>392</v>
      </c>
      <c r="D2345" t="s">
        <v>76</v>
      </c>
      <c r="E2345" t="s">
        <v>686</v>
      </c>
      <c r="F2345" t="s">
        <v>940</v>
      </c>
      <c r="G2345" t="s">
        <v>941</v>
      </c>
      <c r="H2345" t="s">
        <v>10730</v>
      </c>
      <c r="J2345">
        <v>131683</v>
      </c>
      <c r="L2345">
        <v>45852</v>
      </c>
      <c r="O2345">
        <v>100</v>
      </c>
    </row>
    <row r="2346" spans="1:15" x14ac:dyDescent="0.25">
      <c r="A2346" t="s">
        <v>564</v>
      </c>
      <c r="B2346" t="s">
        <v>30</v>
      </c>
      <c r="C2346" t="s">
        <v>392</v>
      </c>
      <c r="D2346" t="s">
        <v>76</v>
      </c>
      <c r="E2346" t="s">
        <v>686</v>
      </c>
      <c r="F2346" t="s">
        <v>937</v>
      </c>
      <c r="G2346" t="s">
        <v>938</v>
      </c>
      <c r="H2346" t="s">
        <v>10744</v>
      </c>
      <c r="J2346">
        <v>131683</v>
      </c>
      <c r="L2346">
        <v>45852</v>
      </c>
      <c r="O2346">
        <v>101</v>
      </c>
    </row>
    <row r="2347" spans="1:15" x14ac:dyDescent="0.25">
      <c r="A2347" t="s">
        <v>564</v>
      </c>
      <c r="B2347" t="s">
        <v>30</v>
      </c>
      <c r="C2347" t="s">
        <v>392</v>
      </c>
      <c r="D2347" t="s">
        <v>76</v>
      </c>
      <c r="E2347" t="s">
        <v>686</v>
      </c>
      <c r="F2347" t="s">
        <v>934</v>
      </c>
      <c r="G2347" t="s">
        <v>935</v>
      </c>
      <c r="H2347" t="s">
        <v>10748</v>
      </c>
      <c r="J2347">
        <v>131683</v>
      </c>
      <c r="L2347">
        <v>45852</v>
      </c>
      <c r="O2347">
        <v>102</v>
      </c>
    </row>
    <row r="2348" spans="1:15" x14ac:dyDescent="0.25">
      <c r="A2348" t="s">
        <v>564</v>
      </c>
      <c r="B2348" t="s">
        <v>30</v>
      </c>
      <c r="C2348" t="s">
        <v>392</v>
      </c>
      <c r="D2348" t="s">
        <v>76</v>
      </c>
      <c r="E2348" t="s">
        <v>686</v>
      </c>
      <c r="F2348" t="s">
        <v>924</v>
      </c>
      <c r="G2348" t="s">
        <v>925</v>
      </c>
      <c r="H2348" t="s">
        <v>10741</v>
      </c>
      <c r="J2348">
        <v>131683</v>
      </c>
      <c r="L2348">
        <v>45852</v>
      </c>
      <c r="O2348">
        <v>103</v>
      </c>
    </row>
    <row r="2349" spans="1:15" x14ac:dyDescent="0.25">
      <c r="A2349" t="s">
        <v>564</v>
      </c>
      <c r="B2349" t="s">
        <v>30</v>
      </c>
      <c r="C2349" t="s">
        <v>392</v>
      </c>
      <c r="D2349" t="s">
        <v>76</v>
      </c>
      <c r="E2349" t="s">
        <v>686</v>
      </c>
      <c r="F2349" t="s">
        <v>921</v>
      </c>
      <c r="G2349" t="s">
        <v>922</v>
      </c>
      <c r="H2349" t="s">
        <v>10746</v>
      </c>
      <c r="J2349">
        <v>131683</v>
      </c>
      <c r="L2349">
        <v>45852</v>
      </c>
      <c r="O2349">
        <v>104</v>
      </c>
    </row>
    <row r="2350" spans="1:15" x14ac:dyDescent="0.25">
      <c r="A2350" t="s">
        <v>564</v>
      </c>
      <c r="B2350" t="s">
        <v>30</v>
      </c>
      <c r="C2350" t="s">
        <v>392</v>
      </c>
      <c r="D2350" t="s">
        <v>76</v>
      </c>
      <c r="E2350" t="s">
        <v>686</v>
      </c>
      <c r="F2350" t="s">
        <v>915</v>
      </c>
      <c r="G2350" t="s">
        <v>916</v>
      </c>
      <c r="H2350" t="s">
        <v>10736</v>
      </c>
      <c r="J2350">
        <v>131683</v>
      </c>
      <c r="L2350">
        <v>45852</v>
      </c>
      <c r="O2350">
        <v>105</v>
      </c>
    </row>
    <row r="2351" spans="1:15" x14ac:dyDescent="0.25">
      <c r="A2351" t="s">
        <v>564</v>
      </c>
      <c r="B2351" t="s">
        <v>30</v>
      </c>
      <c r="C2351" t="s">
        <v>392</v>
      </c>
      <c r="D2351" t="s">
        <v>76</v>
      </c>
      <c r="E2351" t="s">
        <v>686</v>
      </c>
      <c r="F2351" t="s">
        <v>909</v>
      </c>
      <c r="G2351" t="s">
        <v>910</v>
      </c>
      <c r="H2351" t="s">
        <v>10737</v>
      </c>
      <c r="J2351">
        <v>131683</v>
      </c>
      <c r="L2351">
        <v>45852</v>
      </c>
      <c r="O2351">
        <v>106</v>
      </c>
    </row>
    <row r="2352" spans="1:15" x14ac:dyDescent="0.25">
      <c r="A2352" t="s">
        <v>564</v>
      </c>
      <c r="B2352" t="s">
        <v>30</v>
      </c>
      <c r="C2352" t="s">
        <v>392</v>
      </c>
      <c r="D2352" t="s">
        <v>76</v>
      </c>
      <c r="E2352" t="s">
        <v>686</v>
      </c>
      <c r="F2352" t="s">
        <v>894</v>
      </c>
      <c r="G2352" t="s">
        <v>895</v>
      </c>
      <c r="H2352" t="s">
        <v>10732</v>
      </c>
      <c r="J2352">
        <v>131683</v>
      </c>
      <c r="L2352">
        <v>45852</v>
      </c>
      <c r="O2352">
        <v>107</v>
      </c>
    </row>
    <row r="2353" spans="1:15" x14ac:dyDescent="0.25">
      <c r="A2353" t="s">
        <v>564</v>
      </c>
      <c r="B2353" t="s">
        <v>30</v>
      </c>
      <c r="C2353" t="s">
        <v>392</v>
      </c>
      <c r="D2353" t="s">
        <v>76</v>
      </c>
      <c r="E2353" t="s">
        <v>897</v>
      </c>
      <c r="F2353" t="s">
        <v>78</v>
      </c>
      <c r="G2353" t="s">
        <v>898</v>
      </c>
      <c r="H2353" t="s">
        <v>10696</v>
      </c>
      <c r="J2353">
        <v>131683</v>
      </c>
      <c r="L2353">
        <v>45852</v>
      </c>
      <c r="O2353">
        <v>108</v>
      </c>
    </row>
    <row r="2354" spans="1:15" x14ac:dyDescent="0.25">
      <c r="A2354" t="s">
        <v>564</v>
      </c>
      <c r="B2354" t="s">
        <v>30</v>
      </c>
      <c r="C2354" t="s">
        <v>392</v>
      </c>
      <c r="D2354" t="s">
        <v>76</v>
      </c>
      <c r="E2354" t="s">
        <v>900</v>
      </c>
      <c r="F2354" t="s">
        <v>78</v>
      </c>
      <c r="G2354" t="s">
        <v>901</v>
      </c>
      <c r="H2354" t="s">
        <v>10694</v>
      </c>
      <c r="J2354">
        <v>131683</v>
      </c>
      <c r="L2354">
        <v>45852</v>
      </c>
      <c r="O2354">
        <v>109</v>
      </c>
    </row>
    <row r="2355" spans="1:15" x14ac:dyDescent="0.25">
      <c r="A2355" t="s">
        <v>564</v>
      </c>
      <c r="B2355" t="s">
        <v>30</v>
      </c>
      <c r="C2355" t="s">
        <v>392</v>
      </c>
      <c r="D2355" t="s">
        <v>76</v>
      </c>
      <c r="E2355" t="s">
        <v>903</v>
      </c>
      <c r="F2355" t="s">
        <v>78</v>
      </c>
      <c r="G2355" t="s">
        <v>904</v>
      </c>
      <c r="H2355" t="s">
        <v>10685</v>
      </c>
      <c r="J2355">
        <v>131683</v>
      </c>
      <c r="L2355">
        <v>45852</v>
      </c>
      <c r="O2355">
        <v>110</v>
      </c>
    </row>
    <row r="2356" spans="1:15" x14ac:dyDescent="0.25">
      <c r="A2356" t="s">
        <v>564</v>
      </c>
      <c r="B2356" t="s">
        <v>30</v>
      </c>
      <c r="C2356" t="s">
        <v>392</v>
      </c>
      <c r="D2356" t="s">
        <v>76</v>
      </c>
      <c r="E2356" t="s">
        <v>906</v>
      </c>
      <c r="F2356" t="s">
        <v>78</v>
      </c>
      <c r="G2356" t="s">
        <v>907</v>
      </c>
      <c r="H2356" t="s">
        <v>10682</v>
      </c>
      <c r="J2356">
        <v>131683</v>
      </c>
      <c r="L2356">
        <v>45852</v>
      </c>
      <c r="O2356">
        <v>111</v>
      </c>
    </row>
    <row r="2357" spans="1:15" x14ac:dyDescent="0.25">
      <c r="A2357" t="s">
        <v>564</v>
      </c>
      <c r="B2357" t="s">
        <v>30</v>
      </c>
      <c r="C2357" t="s">
        <v>392</v>
      </c>
      <c r="D2357" t="s">
        <v>76</v>
      </c>
      <c r="E2357" t="s">
        <v>912</v>
      </c>
      <c r="F2357" t="s">
        <v>78</v>
      </c>
      <c r="G2357" t="s">
        <v>913</v>
      </c>
      <c r="H2357" t="s">
        <v>10689</v>
      </c>
      <c r="J2357">
        <v>131683</v>
      </c>
      <c r="L2357">
        <v>45852</v>
      </c>
      <c r="O2357">
        <v>112</v>
      </c>
    </row>
    <row r="2358" spans="1:15" x14ac:dyDescent="0.25">
      <c r="A2358" t="s">
        <v>564</v>
      </c>
      <c r="B2358" t="s">
        <v>30</v>
      </c>
      <c r="C2358" t="s">
        <v>392</v>
      </c>
      <c r="D2358" t="s">
        <v>76</v>
      </c>
      <c r="E2358" t="s">
        <v>918</v>
      </c>
      <c r="F2358" t="s">
        <v>78</v>
      </c>
      <c r="G2358" t="s">
        <v>919</v>
      </c>
      <c r="H2358" t="s">
        <v>10692</v>
      </c>
      <c r="J2358">
        <v>131683</v>
      </c>
      <c r="L2358">
        <v>45852</v>
      </c>
      <c r="O2358">
        <v>113</v>
      </c>
    </row>
    <row r="2359" spans="1:15" x14ac:dyDescent="0.25">
      <c r="A2359" t="s">
        <v>564</v>
      </c>
      <c r="B2359" t="s">
        <v>30</v>
      </c>
      <c r="C2359" t="s">
        <v>392</v>
      </c>
      <c r="D2359" t="s">
        <v>76</v>
      </c>
      <c r="E2359" t="s">
        <v>927</v>
      </c>
      <c r="F2359" t="s">
        <v>78</v>
      </c>
      <c r="G2359" t="s">
        <v>928</v>
      </c>
      <c r="H2359" t="s">
        <v>10691</v>
      </c>
      <c r="J2359">
        <v>131683</v>
      </c>
      <c r="L2359">
        <v>45852</v>
      </c>
      <c r="O2359">
        <v>114</v>
      </c>
    </row>
    <row r="2360" spans="1:15" x14ac:dyDescent="0.25">
      <c r="A2360" t="s">
        <v>564</v>
      </c>
      <c r="B2360" t="s">
        <v>30</v>
      </c>
      <c r="C2360" t="s">
        <v>392</v>
      </c>
      <c r="D2360" t="s">
        <v>76</v>
      </c>
      <c r="E2360" t="s">
        <v>690</v>
      </c>
      <c r="F2360" t="s">
        <v>78</v>
      </c>
      <c r="G2360" t="s">
        <v>691</v>
      </c>
      <c r="H2360" t="s">
        <v>10687</v>
      </c>
      <c r="J2360">
        <v>131683</v>
      </c>
      <c r="L2360">
        <v>45852</v>
      </c>
      <c r="O2360">
        <v>115</v>
      </c>
    </row>
    <row r="2361" spans="1:15" x14ac:dyDescent="0.25">
      <c r="A2361" t="s">
        <v>564</v>
      </c>
      <c r="B2361" t="s">
        <v>30</v>
      </c>
      <c r="C2361" t="s">
        <v>392</v>
      </c>
      <c r="D2361" t="s">
        <v>76</v>
      </c>
      <c r="E2361" t="s">
        <v>931</v>
      </c>
      <c r="F2361" t="s">
        <v>78</v>
      </c>
      <c r="G2361" t="s">
        <v>932</v>
      </c>
      <c r="H2361" t="s">
        <v>10674</v>
      </c>
      <c r="J2361">
        <v>131683</v>
      </c>
      <c r="L2361">
        <v>45852</v>
      </c>
      <c r="O2361">
        <v>116</v>
      </c>
    </row>
    <row r="2362" spans="1:15" x14ac:dyDescent="0.25">
      <c r="A2362" t="s">
        <v>564</v>
      </c>
      <c r="B2362" t="s">
        <v>30</v>
      </c>
      <c r="C2362" t="s">
        <v>392</v>
      </c>
      <c r="D2362" t="s">
        <v>76</v>
      </c>
      <c r="E2362" t="s">
        <v>943</v>
      </c>
      <c r="F2362" t="s">
        <v>78</v>
      </c>
      <c r="G2362" t="s">
        <v>944</v>
      </c>
      <c r="H2362" t="s">
        <v>10675</v>
      </c>
      <c r="J2362">
        <v>131683</v>
      </c>
      <c r="L2362">
        <v>45852</v>
      </c>
      <c r="O2362">
        <v>117</v>
      </c>
    </row>
    <row r="2363" spans="1:15" x14ac:dyDescent="0.25">
      <c r="A2363" t="s">
        <v>564</v>
      </c>
      <c r="B2363" t="s">
        <v>30</v>
      </c>
      <c r="C2363" t="s">
        <v>392</v>
      </c>
      <c r="D2363" t="s">
        <v>76</v>
      </c>
      <c r="E2363" t="s">
        <v>946</v>
      </c>
      <c r="F2363" t="s">
        <v>78</v>
      </c>
      <c r="G2363" t="s">
        <v>947</v>
      </c>
      <c r="H2363" t="s">
        <v>10714</v>
      </c>
      <c r="J2363">
        <v>131683</v>
      </c>
      <c r="L2363">
        <v>45852</v>
      </c>
      <c r="O2363">
        <v>118</v>
      </c>
    </row>
    <row r="2364" spans="1:15" x14ac:dyDescent="0.25">
      <c r="A2364" t="s">
        <v>564</v>
      </c>
      <c r="B2364" t="s">
        <v>30</v>
      </c>
      <c r="C2364" t="s">
        <v>392</v>
      </c>
      <c r="D2364" t="s">
        <v>76</v>
      </c>
      <c r="E2364" t="s">
        <v>949</v>
      </c>
      <c r="F2364" t="s">
        <v>78</v>
      </c>
      <c r="G2364" t="s">
        <v>950</v>
      </c>
      <c r="H2364" t="s">
        <v>10713</v>
      </c>
      <c r="J2364">
        <v>131683</v>
      </c>
      <c r="L2364">
        <v>45852</v>
      </c>
      <c r="O2364">
        <v>119</v>
      </c>
    </row>
    <row r="2365" spans="1:15" x14ac:dyDescent="0.25">
      <c r="A2365" t="s">
        <v>564</v>
      </c>
      <c r="B2365" t="s">
        <v>30</v>
      </c>
      <c r="C2365" t="s">
        <v>392</v>
      </c>
      <c r="D2365" t="s">
        <v>76</v>
      </c>
      <c r="E2365" t="s">
        <v>955</v>
      </c>
      <c r="F2365" t="s">
        <v>78</v>
      </c>
      <c r="G2365" t="s">
        <v>956</v>
      </c>
      <c r="H2365" t="s">
        <v>10711</v>
      </c>
      <c r="J2365">
        <v>131683</v>
      </c>
      <c r="L2365">
        <v>45852</v>
      </c>
      <c r="O2365">
        <v>120</v>
      </c>
    </row>
    <row r="2366" spans="1:15" x14ac:dyDescent="0.25">
      <c r="A2366" t="s">
        <v>564</v>
      </c>
      <c r="B2366" t="s">
        <v>30</v>
      </c>
      <c r="C2366" t="s">
        <v>392</v>
      </c>
      <c r="D2366" t="s">
        <v>76</v>
      </c>
      <c r="E2366" t="s">
        <v>961</v>
      </c>
      <c r="F2366" t="s">
        <v>78</v>
      </c>
      <c r="G2366" t="s">
        <v>962</v>
      </c>
      <c r="H2366" t="s">
        <v>10686</v>
      </c>
      <c r="J2366">
        <v>131683</v>
      </c>
      <c r="L2366">
        <v>45852</v>
      </c>
      <c r="O2366">
        <v>121</v>
      </c>
    </row>
    <row r="2367" spans="1:15" x14ac:dyDescent="0.25">
      <c r="A2367" t="s">
        <v>564</v>
      </c>
      <c r="B2367" t="s">
        <v>30</v>
      </c>
      <c r="C2367" t="s">
        <v>392</v>
      </c>
      <c r="D2367" t="s">
        <v>76</v>
      </c>
      <c r="E2367" t="s">
        <v>964</v>
      </c>
      <c r="F2367" t="s">
        <v>78</v>
      </c>
      <c r="G2367" t="s">
        <v>965</v>
      </c>
      <c r="H2367" t="s">
        <v>10707</v>
      </c>
      <c r="J2367">
        <v>131683</v>
      </c>
      <c r="L2367">
        <v>45852</v>
      </c>
      <c r="O2367">
        <v>122</v>
      </c>
    </row>
    <row r="2368" spans="1:15" x14ac:dyDescent="0.25">
      <c r="A2368" t="s">
        <v>564</v>
      </c>
      <c r="B2368" t="s">
        <v>30</v>
      </c>
      <c r="C2368" t="s">
        <v>392</v>
      </c>
      <c r="D2368" t="s">
        <v>76</v>
      </c>
      <c r="E2368" t="s">
        <v>967</v>
      </c>
      <c r="F2368" t="s">
        <v>78</v>
      </c>
      <c r="G2368" t="s">
        <v>968</v>
      </c>
      <c r="H2368" t="s">
        <v>10722</v>
      </c>
      <c r="J2368">
        <v>131683</v>
      </c>
      <c r="L2368">
        <v>45852</v>
      </c>
      <c r="O2368">
        <v>123</v>
      </c>
    </row>
    <row r="2369" spans="1:15" x14ac:dyDescent="0.25">
      <c r="A2369" t="s">
        <v>564</v>
      </c>
      <c r="B2369" t="s">
        <v>30</v>
      </c>
      <c r="C2369" t="s">
        <v>392</v>
      </c>
      <c r="D2369" t="s">
        <v>76</v>
      </c>
      <c r="E2369" t="s">
        <v>970</v>
      </c>
      <c r="F2369" t="s">
        <v>78</v>
      </c>
      <c r="G2369" t="s">
        <v>971</v>
      </c>
      <c r="H2369" t="s">
        <v>10717</v>
      </c>
      <c r="J2369">
        <v>131683</v>
      </c>
      <c r="L2369">
        <v>45852</v>
      </c>
      <c r="O2369">
        <v>124</v>
      </c>
    </row>
    <row r="2370" spans="1:15" x14ac:dyDescent="0.25">
      <c r="A2370" t="s">
        <v>564</v>
      </c>
      <c r="B2370" t="s">
        <v>30</v>
      </c>
      <c r="C2370" t="s">
        <v>392</v>
      </c>
      <c r="D2370" t="s">
        <v>76</v>
      </c>
      <c r="E2370" t="s">
        <v>973</v>
      </c>
      <c r="F2370" t="s">
        <v>78</v>
      </c>
      <c r="G2370" t="s">
        <v>974</v>
      </c>
      <c r="H2370" t="s">
        <v>10726</v>
      </c>
      <c r="J2370">
        <v>131683</v>
      </c>
      <c r="L2370">
        <v>45852</v>
      </c>
      <c r="O2370">
        <v>125</v>
      </c>
    </row>
    <row r="2371" spans="1:15" x14ac:dyDescent="0.25">
      <c r="A2371" t="s">
        <v>564</v>
      </c>
      <c r="B2371" t="s">
        <v>30</v>
      </c>
      <c r="C2371" t="s">
        <v>392</v>
      </c>
      <c r="D2371" t="s">
        <v>76</v>
      </c>
      <c r="E2371" t="s">
        <v>976</v>
      </c>
      <c r="F2371" t="s">
        <v>78</v>
      </c>
      <c r="G2371" t="s">
        <v>977</v>
      </c>
      <c r="H2371" t="s">
        <v>10716</v>
      </c>
      <c r="J2371">
        <v>131683</v>
      </c>
      <c r="L2371">
        <v>45852</v>
      </c>
      <c r="O2371">
        <v>126</v>
      </c>
    </row>
    <row r="2372" spans="1:15" x14ac:dyDescent="0.25">
      <c r="A2372" t="s">
        <v>564</v>
      </c>
      <c r="B2372" t="s">
        <v>30</v>
      </c>
      <c r="C2372" t="s">
        <v>392</v>
      </c>
      <c r="D2372" t="s">
        <v>76</v>
      </c>
      <c r="E2372" t="s">
        <v>979</v>
      </c>
      <c r="F2372" t="s">
        <v>78</v>
      </c>
      <c r="G2372" t="s">
        <v>980</v>
      </c>
      <c r="H2372" t="s">
        <v>10710</v>
      </c>
      <c r="J2372">
        <v>131683</v>
      </c>
      <c r="L2372">
        <v>45852</v>
      </c>
      <c r="O2372">
        <v>127</v>
      </c>
    </row>
    <row r="2373" spans="1:15" x14ac:dyDescent="0.25">
      <c r="A2373" t="s">
        <v>564</v>
      </c>
      <c r="B2373" t="s">
        <v>30</v>
      </c>
      <c r="C2373" t="s">
        <v>392</v>
      </c>
      <c r="D2373" t="s">
        <v>76</v>
      </c>
      <c r="E2373" t="s">
        <v>982</v>
      </c>
      <c r="F2373" t="s">
        <v>78</v>
      </c>
      <c r="G2373" t="s">
        <v>983</v>
      </c>
      <c r="H2373" t="s">
        <v>10708</v>
      </c>
      <c r="J2373">
        <v>131683</v>
      </c>
      <c r="L2373">
        <v>45852</v>
      </c>
      <c r="O2373">
        <v>128</v>
      </c>
    </row>
    <row r="2374" spans="1:15" x14ac:dyDescent="0.25">
      <c r="A2374" t="s">
        <v>564</v>
      </c>
      <c r="B2374" t="s">
        <v>30</v>
      </c>
      <c r="C2374" t="s">
        <v>392</v>
      </c>
      <c r="D2374" t="s">
        <v>76</v>
      </c>
      <c r="E2374" t="s">
        <v>985</v>
      </c>
      <c r="F2374" t="s">
        <v>78</v>
      </c>
      <c r="G2374" t="s">
        <v>986</v>
      </c>
      <c r="H2374" t="s">
        <v>10725</v>
      </c>
      <c r="J2374">
        <v>131683</v>
      </c>
      <c r="L2374">
        <v>45852</v>
      </c>
      <c r="O2374">
        <v>129</v>
      </c>
    </row>
    <row r="2375" spans="1:15" x14ac:dyDescent="0.25">
      <c r="A2375" t="s">
        <v>564</v>
      </c>
      <c r="B2375" t="s">
        <v>30</v>
      </c>
      <c r="C2375" t="s">
        <v>392</v>
      </c>
      <c r="D2375" t="s">
        <v>76</v>
      </c>
      <c r="E2375" t="s">
        <v>988</v>
      </c>
      <c r="F2375" t="s">
        <v>78</v>
      </c>
      <c r="G2375" t="s">
        <v>989</v>
      </c>
      <c r="H2375" t="s">
        <v>10719</v>
      </c>
      <c r="J2375">
        <v>131683</v>
      </c>
      <c r="L2375">
        <v>45852</v>
      </c>
      <c r="O2375">
        <v>130</v>
      </c>
    </row>
    <row r="2376" spans="1:15" x14ac:dyDescent="0.25">
      <c r="A2376" t="s">
        <v>564</v>
      </c>
      <c r="B2376" t="s">
        <v>30</v>
      </c>
      <c r="C2376" t="s">
        <v>392</v>
      </c>
      <c r="D2376" t="s">
        <v>76</v>
      </c>
      <c r="E2376" t="s">
        <v>994</v>
      </c>
      <c r="F2376" t="s">
        <v>78</v>
      </c>
      <c r="G2376" t="s">
        <v>995</v>
      </c>
      <c r="H2376" t="s">
        <v>10706</v>
      </c>
      <c r="J2376">
        <v>131683</v>
      </c>
      <c r="L2376">
        <v>45852</v>
      </c>
      <c r="O2376">
        <v>131</v>
      </c>
    </row>
    <row r="2377" spans="1:15" x14ac:dyDescent="0.25">
      <c r="A2377" t="s">
        <v>564</v>
      </c>
      <c r="B2377" t="s">
        <v>30</v>
      </c>
      <c r="C2377" t="s">
        <v>392</v>
      </c>
      <c r="D2377" t="s">
        <v>76</v>
      </c>
      <c r="E2377" t="s">
        <v>997</v>
      </c>
      <c r="F2377" t="s">
        <v>78</v>
      </c>
      <c r="G2377" t="s">
        <v>998</v>
      </c>
      <c r="H2377" t="s">
        <v>10718</v>
      </c>
      <c r="J2377">
        <v>131683</v>
      </c>
      <c r="L2377">
        <v>45852</v>
      </c>
      <c r="O2377">
        <v>132</v>
      </c>
    </row>
    <row r="2378" spans="1:15" x14ac:dyDescent="0.25">
      <c r="A2378" t="s">
        <v>564</v>
      </c>
      <c r="B2378" t="s">
        <v>30</v>
      </c>
      <c r="C2378" t="s">
        <v>392</v>
      </c>
      <c r="D2378" t="s">
        <v>76</v>
      </c>
      <c r="E2378" t="s">
        <v>1000</v>
      </c>
      <c r="F2378" t="s">
        <v>78</v>
      </c>
      <c r="G2378" t="s">
        <v>1001</v>
      </c>
      <c r="H2378" t="s">
        <v>10715</v>
      </c>
      <c r="J2378">
        <v>131683</v>
      </c>
      <c r="L2378">
        <v>45852</v>
      </c>
      <c r="O2378">
        <v>133</v>
      </c>
    </row>
    <row r="2379" spans="1:15" x14ac:dyDescent="0.25">
      <c r="A2379" t="s">
        <v>564</v>
      </c>
      <c r="B2379" t="s">
        <v>30</v>
      </c>
      <c r="C2379" t="s">
        <v>392</v>
      </c>
      <c r="D2379" t="s">
        <v>76</v>
      </c>
      <c r="E2379" t="s">
        <v>1003</v>
      </c>
      <c r="F2379" t="s">
        <v>78</v>
      </c>
      <c r="G2379" t="s">
        <v>1004</v>
      </c>
      <c r="H2379" t="s">
        <v>10724</v>
      </c>
      <c r="J2379">
        <v>131683</v>
      </c>
      <c r="L2379">
        <v>45852</v>
      </c>
      <c r="O2379">
        <v>134</v>
      </c>
    </row>
    <row r="2380" spans="1:15" x14ac:dyDescent="0.25">
      <c r="A2380" t="s">
        <v>564</v>
      </c>
      <c r="B2380" t="s">
        <v>30</v>
      </c>
      <c r="C2380" t="s">
        <v>392</v>
      </c>
      <c r="D2380" t="s">
        <v>76</v>
      </c>
      <c r="E2380" t="s">
        <v>1015</v>
      </c>
      <c r="F2380" t="s">
        <v>78</v>
      </c>
      <c r="G2380" t="s">
        <v>1016</v>
      </c>
      <c r="H2380" t="s">
        <v>10676</v>
      </c>
      <c r="J2380">
        <v>131683</v>
      </c>
      <c r="L2380">
        <v>45852</v>
      </c>
      <c r="O2380">
        <v>135</v>
      </c>
    </row>
    <row r="2381" spans="1:15" x14ac:dyDescent="0.25">
      <c r="A2381" t="s">
        <v>564</v>
      </c>
      <c r="B2381" t="s">
        <v>30</v>
      </c>
      <c r="C2381" t="s">
        <v>392</v>
      </c>
      <c r="D2381" t="s">
        <v>76</v>
      </c>
      <c r="E2381" t="s">
        <v>1018</v>
      </c>
      <c r="F2381" t="s">
        <v>78</v>
      </c>
      <c r="G2381" t="s">
        <v>1019</v>
      </c>
      <c r="H2381" t="s">
        <v>10701</v>
      </c>
      <c r="J2381">
        <v>131683</v>
      </c>
      <c r="L2381">
        <v>45852</v>
      </c>
      <c r="O2381">
        <v>136</v>
      </c>
    </row>
    <row r="2382" spans="1:15" x14ac:dyDescent="0.25">
      <c r="A2382" t="s">
        <v>564</v>
      </c>
      <c r="B2382" t="s">
        <v>30</v>
      </c>
      <c r="C2382" t="s">
        <v>392</v>
      </c>
      <c r="D2382" t="s">
        <v>76</v>
      </c>
      <c r="E2382" t="s">
        <v>692</v>
      </c>
      <c r="F2382" t="s">
        <v>78</v>
      </c>
      <c r="G2382" t="s">
        <v>693</v>
      </c>
      <c r="H2382" t="s">
        <v>10667</v>
      </c>
      <c r="J2382">
        <v>131683</v>
      </c>
      <c r="L2382">
        <v>45852</v>
      </c>
      <c r="O2382">
        <v>137</v>
      </c>
    </row>
    <row r="2383" spans="1:15" x14ac:dyDescent="0.25">
      <c r="A2383" t="s">
        <v>564</v>
      </c>
      <c r="B2383" t="s">
        <v>30</v>
      </c>
      <c r="C2383" t="s">
        <v>392</v>
      </c>
      <c r="D2383" t="s">
        <v>76</v>
      </c>
      <c r="E2383" t="s">
        <v>678</v>
      </c>
      <c r="F2383" t="s">
        <v>78</v>
      </c>
      <c r="G2383" t="s">
        <v>679</v>
      </c>
      <c r="H2383" t="s">
        <v>10703</v>
      </c>
      <c r="J2383">
        <v>131683</v>
      </c>
      <c r="L2383">
        <v>45852</v>
      </c>
      <c r="O2383">
        <v>138</v>
      </c>
    </row>
    <row r="2384" spans="1:15" x14ac:dyDescent="0.25">
      <c r="A2384" t="s">
        <v>564</v>
      </c>
      <c r="B2384" t="s">
        <v>30</v>
      </c>
      <c r="C2384" t="s">
        <v>392</v>
      </c>
      <c r="D2384" t="s">
        <v>76</v>
      </c>
      <c r="E2384" t="s">
        <v>1027</v>
      </c>
      <c r="F2384" t="s">
        <v>78</v>
      </c>
      <c r="G2384" t="s">
        <v>1028</v>
      </c>
      <c r="H2384" t="s">
        <v>10721</v>
      </c>
      <c r="J2384">
        <v>131683</v>
      </c>
      <c r="L2384">
        <v>45852</v>
      </c>
      <c r="O2384">
        <v>139</v>
      </c>
    </row>
    <row r="2385" spans="1:15" x14ac:dyDescent="0.25">
      <c r="A2385" t="s">
        <v>564</v>
      </c>
      <c r="B2385" t="s">
        <v>30</v>
      </c>
      <c r="C2385" t="s">
        <v>392</v>
      </c>
      <c r="D2385" t="s">
        <v>76</v>
      </c>
      <c r="E2385" t="s">
        <v>1030</v>
      </c>
      <c r="F2385" t="s">
        <v>78</v>
      </c>
      <c r="G2385" t="s">
        <v>1031</v>
      </c>
      <c r="H2385" t="s">
        <v>10709</v>
      </c>
      <c r="J2385">
        <v>131683</v>
      </c>
      <c r="L2385">
        <v>45852</v>
      </c>
      <c r="O2385">
        <v>140</v>
      </c>
    </row>
    <row r="2386" spans="1:15" x14ac:dyDescent="0.25">
      <c r="A2386" t="s">
        <v>564</v>
      </c>
      <c r="B2386" t="s">
        <v>30</v>
      </c>
      <c r="C2386" t="s">
        <v>392</v>
      </c>
      <c r="D2386" t="s">
        <v>76</v>
      </c>
      <c r="E2386" t="s">
        <v>1033</v>
      </c>
      <c r="F2386" t="s">
        <v>78</v>
      </c>
      <c r="G2386" t="s">
        <v>1034</v>
      </c>
      <c r="H2386" t="s">
        <v>10727</v>
      </c>
      <c r="J2386">
        <v>131683</v>
      </c>
      <c r="L2386">
        <v>45852</v>
      </c>
      <c r="O2386">
        <v>141</v>
      </c>
    </row>
    <row r="2387" spans="1:15" x14ac:dyDescent="0.25">
      <c r="A2387" t="s">
        <v>564</v>
      </c>
      <c r="B2387" t="s">
        <v>30</v>
      </c>
      <c r="C2387" t="s">
        <v>392</v>
      </c>
      <c r="D2387" t="s">
        <v>76</v>
      </c>
      <c r="E2387" t="s">
        <v>1042</v>
      </c>
      <c r="F2387" t="s">
        <v>78</v>
      </c>
      <c r="G2387" t="s">
        <v>1043</v>
      </c>
      <c r="H2387" t="s">
        <v>10702</v>
      </c>
      <c r="J2387">
        <v>131683</v>
      </c>
      <c r="L2387">
        <v>45852</v>
      </c>
      <c r="O2387">
        <v>142</v>
      </c>
    </row>
    <row r="2388" spans="1:15" x14ac:dyDescent="0.25">
      <c r="A2388" t="s">
        <v>564</v>
      </c>
      <c r="B2388" t="s">
        <v>30</v>
      </c>
      <c r="C2388" t="s">
        <v>392</v>
      </c>
      <c r="D2388" t="s">
        <v>76</v>
      </c>
      <c r="E2388" t="s">
        <v>10855</v>
      </c>
      <c r="F2388" t="s">
        <v>78</v>
      </c>
      <c r="G2388" t="s">
        <v>10856</v>
      </c>
      <c r="H2388" t="s">
        <v>10869</v>
      </c>
      <c r="J2388">
        <v>131683</v>
      </c>
      <c r="L2388">
        <v>45852</v>
      </c>
      <c r="O2388">
        <v>143</v>
      </c>
    </row>
    <row r="2389" spans="1:15" x14ac:dyDescent="0.25">
      <c r="A2389" t="s">
        <v>564</v>
      </c>
      <c r="B2389" t="s">
        <v>30</v>
      </c>
      <c r="C2389" t="s">
        <v>392</v>
      </c>
      <c r="D2389" t="s">
        <v>76</v>
      </c>
      <c r="E2389" t="s">
        <v>1048</v>
      </c>
      <c r="F2389" t="s">
        <v>78</v>
      </c>
      <c r="G2389" t="s">
        <v>1049</v>
      </c>
      <c r="H2389" t="s">
        <v>10723</v>
      </c>
      <c r="J2389">
        <v>131683</v>
      </c>
      <c r="L2389">
        <v>45852</v>
      </c>
      <c r="O2389">
        <v>144</v>
      </c>
    </row>
    <row r="2390" spans="1:15" x14ac:dyDescent="0.25">
      <c r="A2390" t="s">
        <v>564</v>
      </c>
      <c r="B2390" t="s">
        <v>30</v>
      </c>
      <c r="C2390" t="s">
        <v>392</v>
      </c>
      <c r="D2390" t="s">
        <v>76</v>
      </c>
      <c r="E2390" t="s">
        <v>1051</v>
      </c>
      <c r="F2390" t="s">
        <v>78</v>
      </c>
      <c r="G2390" t="s">
        <v>1052</v>
      </c>
      <c r="H2390" t="s">
        <v>10720</v>
      </c>
      <c r="J2390">
        <v>131683</v>
      </c>
      <c r="L2390">
        <v>45852</v>
      </c>
      <c r="O2390">
        <v>145</v>
      </c>
    </row>
    <row r="2391" spans="1:15" x14ac:dyDescent="0.25">
      <c r="A2391" t="s">
        <v>564</v>
      </c>
      <c r="B2391" t="s">
        <v>30</v>
      </c>
      <c r="C2391" t="s">
        <v>392</v>
      </c>
      <c r="D2391" t="s">
        <v>76</v>
      </c>
      <c r="E2391" t="s">
        <v>1054</v>
      </c>
      <c r="F2391" t="s">
        <v>78</v>
      </c>
      <c r="G2391" t="s">
        <v>1055</v>
      </c>
      <c r="H2391" t="s">
        <v>10705</v>
      </c>
      <c r="J2391">
        <v>131683</v>
      </c>
      <c r="L2391">
        <v>45852</v>
      </c>
      <c r="O2391">
        <v>146</v>
      </c>
    </row>
    <row r="2392" spans="1:15" x14ac:dyDescent="0.25">
      <c r="A2392" t="s">
        <v>564</v>
      </c>
      <c r="B2392" t="s">
        <v>30</v>
      </c>
      <c r="C2392" t="s">
        <v>392</v>
      </c>
      <c r="D2392" t="s">
        <v>76</v>
      </c>
      <c r="E2392" t="s">
        <v>1057</v>
      </c>
      <c r="F2392" t="s">
        <v>78</v>
      </c>
      <c r="G2392" t="s">
        <v>1058</v>
      </c>
      <c r="H2392" t="s">
        <v>10712</v>
      </c>
      <c r="J2392">
        <v>131683</v>
      </c>
      <c r="L2392">
        <v>45852</v>
      </c>
      <c r="O2392">
        <v>147</v>
      </c>
    </row>
    <row r="2393" spans="1:15" x14ac:dyDescent="0.25">
      <c r="A2393" t="s">
        <v>564</v>
      </c>
      <c r="B2393" t="s">
        <v>30</v>
      </c>
      <c r="C2393" t="s">
        <v>392</v>
      </c>
      <c r="D2393" t="s">
        <v>76</v>
      </c>
      <c r="E2393" t="s">
        <v>1060</v>
      </c>
      <c r="F2393" t="s">
        <v>78</v>
      </c>
      <c r="G2393" t="s">
        <v>1061</v>
      </c>
      <c r="H2393" t="s">
        <v>10704</v>
      </c>
      <c r="J2393">
        <v>131683</v>
      </c>
      <c r="L2393">
        <v>45852</v>
      </c>
      <c r="O2393">
        <v>148</v>
      </c>
    </row>
    <row r="2394" spans="1:15" x14ac:dyDescent="0.25">
      <c r="A2394" t="s">
        <v>564</v>
      </c>
      <c r="B2394" t="s">
        <v>30</v>
      </c>
      <c r="C2394" t="s">
        <v>392</v>
      </c>
      <c r="D2394" t="s">
        <v>76</v>
      </c>
      <c r="E2394" t="s">
        <v>1066</v>
      </c>
      <c r="F2394" t="s">
        <v>78</v>
      </c>
      <c r="G2394" t="s">
        <v>1067</v>
      </c>
      <c r="H2394" t="s">
        <v>10700</v>
      </c>
      <c r="J2394">
        <v>131683</v>
      </c>
      <c r="L2394">
        <v>45852</v>
      </c>
      <c r="O2394">
        <v>149</v>
      </c>
    </row>
    <row r="2395" spans="1:15" x14ac:dyDescent="0.25">
      <c r="A2395" t="s">
        <v>564</v>
      </c>
      <c r="B2395" t="s">
        <v>30</v>
      </c>
      <c r="C2395" t="s">
        <v>392</v>
      </c>
      <c r="D2395" t="s">
        <v>76</v>
      </c>
      <c r="E2395" t="s">
        <v>1072</v>
      </c>
      <c r="F2395" t="s">
        <v>78</v>
      </c>
      <c r="G2395" t="s">
        <v>1073</v>
      </c>
      <c r="H2395" t="s">
        <v>10698</v>
      </c>
      <c r="J2395">
        <v>131683</v>
      </c>
      <c r="L2395">
        <v>45852</v>
      </c>
      <c r="O2395">
        <v>150</v>
      </c>
    </row>
    <row r="2396" spans="1:15" x14ac:dyDescent="0.25">
      <c r="A2396" t="s">
        <v>564</v>
      </c>
      <c r="B2396" t="s">
        <v>30</v>
      </c>
      <c r="C2396" t="s">
        <v>392</v>
      </c>
      <c r="D2396" t="s">
        <v>76</v>
      </c>
      <c r="E2396" t="s">
        <v>1075</v>
      </c>
      <c r="F2396" t="s">
        <v>78</v>
      </c>
      <c r="G2396" t="s">
        <v>1076</v>
      </c>
      <c r="H2396" t="s">
        <v>10697</v>
      </c>
      <c r="J2396">
        <v>131683</v>
      </c>
      <c r="L2396">
        <v>45852</v>
      </c>
      <c r="O2396">
        <v>151</v>
      </c>
    </row>
    <row r="2397" spans="1:15" x14ac:dyDescent="0.25">
      <c r="A2397" t="s">
        <v>564</v>
      </c>
      <c r="B2397" t="s">
        <v>30</v>
      </c>
      <c r="C2397" t="s">
        <v>392</v>
      </c>
      <c r="D2397" t="s">
        <v>76</v>
      </c>
      <c r="E2397" t="s">
        <v>1078</v>
      </c>
      <c r="F2397" t="s">
        <v>78</v>
      </c>
      <c r="G2397" t="s">
        <v>1079</v>
      </c>
      <c r="H2397" t="s">
        <v>10683</v>
      </c>
      <c r="J2397">
        <v>131683</v>
      </c>
      <c r="L2397">
        <v>45852</v>
      </c>
      <c r="O2397">
        <v>152</v>
      </c>
    </row>
    <row r="2398" spans="1:15" x14ac:dyDescent="0.25">
      <c r="A2398" t="s">
        <v>564</v>
      </c>
      <c r="B2398" t="s">
        <v>30</v>
      </c>
      <c r="C2398" t="s">
        <v>392</v>
      </c>
      <c r="D2398" t="s">
        <v>76</v>
      </c>
      <c r="E2398" t="s">
        <v>1081</v>
      </c>
      <c r="F2398" t="s">
        <v>78</v>
      </c>
      <c r="G2398" t="s">
        <v>1082</v>
      </c>
      <c r="H2398" t="s">
        <v>10672</v>
      </c>
      <c r="J2398">
        <v>131683</v>
      </c>
      <c r="L2398">
        <v>45852</v>
      </c>
      <c r="O2398">
        <v>153</v>
      </c>
    </row>
    <row r="2399" spans="1:15" x14ac:dyDescent="0.25">
      <c r="A2399" t="s">
        <v>564</v>
      </c>
      <c r="B2399" t="s">
        <v>30</v>
      </c>
      <c r="C2399" t="s">
        <v>392</v>
      </c>
      <c r="D2399" t="s">
        <v>76</v>
      </c>
      <c r="E2399" t="s">
        <v>1093</v>
      </c>
      <c r="F2399" t="s">
        <v>78</v>
      </c>
      <c r="G2399" t="s">
        <v>1094</v>
      </c>
      <c r="H2399" t="s">
        <v>10673</v>
      </c>
      <c r="J2399">
        <v>131683</v>
      </c>
      <c r="L2399">
        <v>45852</v>
      </c>
      <c r="O2399">
        <v>154</v>
      </c>
    </row>
    <row r="2400" spans="1:15" x14ac:dyDescent="0.25">
      <c r="A2400" t="s">
        <v>564</v>
      </c>
      <c r="B2400" t="s">
        <v>30</v>
      </c>
      <c r="C2400" t="s">
        <v>392</v>
      </c>
      <c r="D2400" t="s">
        <v>76</v>
      </c>
      <c r="E2400" t="s">
        <v>8468</v>
      </c>
      <c r="F2400" t="s">
        <v>78</v>
      </c>
      <c r="G2400" t="s">
        <v>8469</v>
      </c>
      <c r="H2400" t="s">
        <v>10758</v>
      </c>
      <c r="J2400">
        <v>131683</v>
      </c>
      <c r="L2400">
        <v>45852</v>
      </c>
      <c r="O2400">
        <v>155</v>
      </c>
    </row>
    <row r="2401" spans="1:17" x14ac:dyDescent="0.25">
      <c r="A2401" t="s">
        <v>564</v>
      </c>
      <c r="B2401" t="s">
        <v>30</v>
      </c>
      <c r="C2401" t="s">
        <v>392</v>
      </c>
      <c r="D2401" t="s">
        <v>76</v>
      </c>
      <c r="E2401" t="s">
        <v>656</v>
      </c>
      <c r="F2401" t="s">
        <v>78</v>
      </c>
      <c r="G2401" t="s">
        <v>657</v>
      </c>
      <c r="H2401" t="s">
        <v>10660</v>
      </c>
      <c r="J2401">
        <v>131683</v>
      </c>
      <c r="L2401">
        <v>45852</v>
      </c>
      <c r="O2401">
        <v>156</v>
      </c>
    </row>
    <row r="2402" spans="1:17" x14ac:dyDescent="0.25">
      <c r="A2402" t="s">
        <v>564</v>
      </c>
      <c r="B2402" t="s">
        <v>30</v>
      </c>
      <c r="C2402" t="s">
        <v>392</v>
      </c>
      <c r="D2402" t="s">
        <v>76</v>
      </c>
      <c r="E2402" t="s">
        <v>688</v>
      </c>
      <c r="F2402" t="s">
        <v>78</v>
      </c>
      <c r="G2402" t="s">
        <v>689</v>
      </c>
      <c r="H2402" t="s">
        <v>10690</v>
      </c>
      <c r="J2402">
        <v>131683</v>
      </c>
      <c r="L2402">
        <v>45852</v>
      </c>
      <c r="O2402">
        <v>157</v>
      </c>
    </row>
    <row r="2403" spans="1:17" x14ac:dyDescent="0.25">
      <c r="A2403" t="s">
        <v>564</v>
      </c>
      <c r="B2403" t="s">
        <v>30</v>
      </c>
      <c r="C2403" t="s">
        <v>392</v>
      </c>
      <c r="D2403" t="s">
        <v>76</v>
      </c>
      <c r="E2403" t="s">
        <v>858</v>
      </c>
      <c r="F2403" t="s">
        <v>78</v>
      </c>
      <c r="G2403" t="s">
        <v>859</v>
      </c>
      <c r="H2403" t="s">
        <v>10693</v>
      </c>
      <c r="J2403">
        <v>131683</v>
      </c>
      <c r="L2403">
        <v>45852</v>
      </c>
      <c r="O2403">
        <v>158</v>
      </c>
    </row>
    <row r="2404" spans="1:17" x14ac:dyDescent="0.25">
      <c r="A2404" t="s">
        <v>564</v>
      </c>
      <c r="B2404" t="s">
        <v>30</v>
      </c>
      <c r="C2404" t="s">
        <v>392</v>
      </c>
      <c r="D2404" t="s">
        <v>76</v>
      </c>
      <c r="E2404" t="s">
        <v>8399</v>
      </c>
      <c r="F2404" t="s">
        <v>78</v>
      </c>
      <c r="G2404" t="s">
        <v>8400</v>
      </c>
      <c r="H2404" t="s">
        <v>10651</v>
      </c>
      <c r="J2404">
        <v>131683</v>
      </c>
      <c r="L2404">
        <v>45852</v>
      </c>
      <c r="O2404">
        <v>159</v>
      </c>
    </row>
    <row r="2405" spans="1:17" x14ac:dyDescent="0.25">
      <c r="A2405" t="s">
        <v>564</v>
      </c>
      <c r="B2405" t="s">
        <v>30</v>
      </c>
      <c r="C2405" t="s">
        <v>392</v>
      </c>
      <c r="D2405" t="s">
        <v>76</v>
      </c>
      <c r="E2405" t="s">
        <v>861</v>
      </c>
      <c r="F2405" t="s">
        <v>78</v>
      </c>
      <c r="G2405" t="s">
        <v>862</v>
      </c>
      <c r="H2405" t="s">
        <v>10688</v>
      </c>
      <c r="J2405">
        <v>131683</v>
      </c>
      <c r="L2405">
        <v>45852</v>
      </c>
      <c r="O2405">
        <v>160</v>
      </c>
    </row>
    <row r="2406" spans="1:17" x14ac:dyDescent="0.25">
      <c r="A2406" t="s">
        <v>564</v>
      </c>
      <c r="B2406" t="s">
        <v>30</v>
      </c>
      <c r="C2406" t="s">
        <v>392</v>
      </c>
      <c r="D2406" t="s">
        <v>76</v>
      </c>
      <c r="E2406" t="s">
        <v>686</v>
      </c>
      <c r="F2406" t="s">
        <v>78</v>
      </c>
      <c r="G2406" t="s">
        <v>687</v>
      </c>
      <c r="H2406" t="s">
        <v>10661</v>
      </c>
      <c r="J2406">
        <v>131683</v>
      </c>
      <c r="L2406">
        <v>45852</v>
      </c>
      <c r="O2406">
        <v>161</v>
      </c>
    </row>
    <row r="2407" spans="1:17" x14ac:dyDescent="0.25">
      <c r="A2407" t="s">
        <v>564</v>
      </c>
      <c r="B2407" t="s">
        <v>30</v>
      </c>
      <c r="C2407" t="s">
        <v>392</v>
      </c>
      <c r="D2407" t="s">
        <v>76</v>
      </c>
      <c r="E2407" t="s">
        <v>890</v>
      </c>
      <c r="F2407" t="s">
        <v>78</v>
      </c>
      <c r="G2407" t="s">
        <v>891</v>
      </c>
      <c r="H2407" t="s">
        <v>10671</v>
      </c>
      <c r="J2407">
        <v>131683</v>
      </c>
      <c r="L2407">
        <v>45852</v>
      </c>
      <c r="O2407">
        <v>162</v>
      </c>
    </row>
    <row r="2408" spans="1:17" x14ac:dyDescent="0.25">
      <c r="A2408" t="s">
        <v>564</v>
      </c>
      <c r="B2408" t="s">
        <v>30</v>
      </c>
      <c r="C2408" t="s">
        <v>392</v>
      </c>
      <c r="D2408" t="s">
        <v>76</v>
      </c>
      <c r="E2408" t="s">
        <v>873</v>
      </c>
      <c r="F2408" t="s">
        <v>78</v>
      </c>
      <c r="G2408" t="s">
        <v>874</v>
      </c>
      <c r="H2408" t="s">
        <v>10670</v>
      </c>
      <c r="J2408">
        <v>131683</v>
      </c>
      <c r="L2408">
        <v>45852</v>
      </c>
      <c r="O2408">
        <v>163</v>
      </c>
    </row>
    <row r="2409" spans="1:17" x14ac:dyDescent="0.25">
      <c r="A2409" t="s">
        <v>564</v>
      </c>
      <c r="B2409" t="s">
        <v>30</v>
      </c>
      <c r="C2409" t="s">
        <v>392</v>
      </c>
      <c r="D2409" t="s">
        <v>76</v>
      </c>
      <c r="E2409" t="s">
        <v>684</v>
      </c>
      <c r="F2409" t="s">
        <v>78</v>
      </c>
      <c r="G2409" t="s">
        <v>685</v>
      </c>
      <c r="H2409" t="s">
        <v>10668</v>
      </c>
      <c r="J2409">
        <v>131683</v>
      </c>
      <c r="L2409">
        <v>45852</v>
      </c>
      <c r="O2409">
        <v>164</v>
      </c>
    </row>
    <row r="2410" spans="1:17" x14ac:dyDescent="0.25">
      <c r="A2410" t="s">
        <v>564</v>
      </c>
      <c r="B2410" t="s">
        <v>30</v>
      </c>
      <c r="C2410" t="s">
        <v>392</v>
      </c>
      <c r="D2410" t="s">
        <v>76</v>
      </c>
      <c r="E2410" t="s">
        <v>886</v>
      </c>
      <c r="F2410" t="s">
        <v>78</v>
      </c>
      <c r="G2410" t="s">
        <v>887</v>
      </c>
      <c r="H2410" t="s">
        <v>10641</v>
      </c>
      <c r="J2410">
        <v>131683</v>
      </c>
      <c r="L2410">
        <v>45852</v>
      </c>
      <c r="O2410">
        <v>165</v>
      </c>
    </row>
    <row r="2411" spans="1:17" x14ac:dyDescent="0.25">
      <c r="A2411" t="s">
        <v>564</v>
      </c>
      <c r="B2411" t="s">
        <v>30</v>
      </c>
      <c r="C2411" t="s">
        <v>392</v>
      </c>
      <c r="D2411" t="s">
        <v>76</v>
      </c>
      <c r="E2411" t="s">
        <v>694</v>
      </c>
      <c r="F2411" t="s">
        <v>78</v>
      </c>
      <c r="G2411" t="s">
        <v>695</v>
      </c>
      <c r="H2411" t="s">
        <v>10677</v>
      </c>
      <c r="J2411">
        <v>131683</v>
      </c>
      <c r="L2411">
        <v>45852</v>
      </c>
      <c r="O2411">
        <v>166</v>
      </c>
    </row>
    <row r="2412" spans="1:17" x14ac:dyDescent="0.25">
      <c r="A2412" t="s">
        <v>564</v>
      </c>
      <c r="B2412" t="s">
        <v>30</v>
      </c>
      <c r="C2412" t="s">
        <v>392</v>
      </c>
      <c r="D2412" t="s">
        <v>59</v>
      </c>
      <c r="E2412" t="s">
        <v>78</v>
      </c>
      <c r="F2412" t="s">
        <v>78</v>
      </c>
      <c r="G2412" t="s">
        <v>696</v>
      </c>
      <c r="H2412" t="s">
        <v>10761</v>
      </c>
      <c r="I2412">
        <v>0.65180015643629019</v>
      </c>
      <c r="J2412">
        <v>131683</v>
      </c>
      <c r="K2412">
        <v>1</v>
      </c>
      <c r="L2412">
        <v>85831</v>
      </c>
      <c r="M2412">
        <v>85831</v>
      </c>
      <c r="N2412">
        <v>1.38E-2</v>
      </c>
      <c r="O2412">
        <v>1</v>
      </c>
    </row>
    <row r="2413" spans="1:17" x14ac:dyDescent="0.25">
      <c r="A2413" t="s">
        <v>564</v>
      </c>
      <c r="B2413" t="s">
        <v>30</v>
      </c>
      <c r="C2413" t="s">
        <v>392</v>
      </c>
      <c r="D2413" t="s">
        <v>59</v>
      </c>
      <c r="E2413" t="s">
        <v>60</v>
      </c>
      <c r="F2413" t="s">
        <v>78</v>
      </c>
      <c r="G2413" t="s">
        <v>697</v>
      </c>
      <c r="H2413" t="s">
        <v>10762</v>
      </c>
      <c r="I2413">
        <v>0.55898635359157978</v>
      </c>
      <c r="J2413">
        <v>131683</v>
      </c>
      <c r="K2413">
        <v>0.8576038960282415</v>
      </c>
      <c r="L2413">
        <v>85831</v>
      </c>
      <c r="M2413">
        <v>73609</v>
      </c>
      <c r="N2413">
        <v>1.23E-2</v>
      </c>
      <c r="O2413">
        <v>2</v>
      </c>
    </row>
    <row r="2414" spans="1:17" x14ac:dyDescent="0.25">
      <c r="A2414" t="s">
        <v>564</v>
      </c>
      <c r="B2414" t="s">
        <v>30</v>
      </c>
      <c r="C2414" t="s">
        <v>392</v>
      </c>
      <c r="D2414" t="s">
        <v>59</v>
      </c>
      <c r="E2414" t="s">
        <v>60</v>
      </c>
      <c r="F2414" t="s">
        <v>62</v>
      </c>
      <c r="G2414" t="s">
        <v>699</v>
      </c>
      <c r="H2414" t="s">
        <v>10764</v>
      </c>
      <c r="I2414">
        <v>0.3064632488627993</v>
      </c>
      <c r="J2414">
        <v>131683</v>
      </c>
      <c r="K2414">
        <v>0.47017977187729382</v>
      </c>
      <c r="L2414">
        <v>85831</v>
      </c>
      <c r="M2414">
        <v>40356</v>
      </c>
      <c r="N2414">
        <v>5.7999999999999996E-3</v>
      </c>
      <c r="O2414">
        <v>3</v>
      </c>
      <c r="Q2414">
        <v>2</v>
      </c>
    </row>
    <row r="2415" spans="1:17" x14ac:dyDescent="0.25">
      <c r="A2415" t="s">
        <v>564</v>
      </c>
      <c r="B2415" t="s">
        <v>30</v>
      </c>
      <c r="C2415" t="s">
        <v>392</v>
      </c>
      <c r="D2415" t="s">
        <v>59</v>
      </c>
      <c r="E2415" t="s">
        <v>60</v>
      </c>
      <c r="F2415" t="s">
        <v>63</v>
      </c>
      <c r="G2415" t="s">
        <v>702</v>
      </c>
      <c r="H2415" t="s">
        <v>10763</v>
      </c>
      <c r="I2415">
        <v>0.25774777306106328</v>
      </c>
      <c r="J2415">
        <v>131683</v>
      </c>
      <c r="K2415">
        <v>0.39543987603546499</v>
      </c>
      <c r="L2415">
        <v>85831</v>
      </c>
      <c r="M2415">
        <v>33941</v>
      </c>
      <c r="N2415">
        <v>1.77E-2</v>
      </c>
      <c r="O2415">
        <v>4</v>
      </c>
      <c r="Q2415">
        <v>3</v>
      </c>
    </row>
    <row r="2416" spans="1:17" x14ac:dyDescent="0.25">
      <c r="A2416" t="s">
        <v>564</v>
      </c>
      <c r="B2416" t="s">
        <v>30</v>
      </c>
      <c r="C2416" t="s">
        <v>392</v>
      </c>
      <c r="D2416" t="s">
        <v>59</v>
      </c>
      <c r="E2416" t="s">
        <v>68</v>
      </c>
      <c r="F2416" t="s">
        <v>78</v>
      </c>
      <c r="G2416" t="s">
        <v>700</v>
      </c>
      <c r="H2416" t="s">
        <v>10770</v>
      </c>
      <c r="I2416">
        <v>6.1610078749724718E-2</v>
      </c>
      <c r="J2416">
        <v>131683</v>
      </c>
      <c r="K2416">
        <v>9.4522957905651808E-2</v>
      </c>
      <c r="L2416">
        <v>85831</v>
      </c>
      <c r="M2416">
        <v>8113</v>
      </c>
      <c r="O2416">
        <v>5</v>
      </c>
    </row>
    <row r="2417" spans="1:17" x14ac:dyDescent="0.25">
      <c r="A2417" t="s">
        <v>564</v>
      </c>
      <c r="B2417" t="s">
        <v>30</v>
      </c>
      <c r="C2417" t="s">
        <v>392</v>
      </c>
      <c r="D2417" t="s">
        <v>59</v>
      </c>
      <c r="E2417" t="s">
        <v>68</v>
      </c>
      <c r="F2417" t="s">
        <v>70</v>
      </c>
      <c r="G2417" t="s">
        <v>707</v>
      </c>
      <c r="H2417" t="s">
        <v>10771</v>
      </c>
      <c r="I2417">
        <v>6.1541732797703579E-2</v>
      </c>
      <c r="J2417">
        <v>131683</v>
      </c>
      <c r="K2417">
        <v>9.4418100686232243E-2</v>
      </c>
      <c r="L2417">
        <v>85831</v>
      </c>
      <c r="M2417">
        <v>8104</v>
      </c>
      <c r="O2417">
        <v>6</v>
      </c>
      <c r="Q2417">
        <v>10</v>
      </c>
    </row>
    <row r="2418" spans="1:17" x14ac:dyDescent="0.25">
      <c r="A2418" t="s">
        <v>564</v>
      </c>
      <c r="B2418" t="s">
        <v>30</v>
      </c>
      <c r="C2418" t="s">
        <v>392</v>
      </c>
      <c r="D2418" t="s">
        <v>59</v>
      </c>
      <c r="E2418" t="s">
        <v>60</v>
      </c>
      <c r="F2418" t="s">
        <v>61</v>
      </c>
      <c r="G2418" t="s">
        <v>698</v>
      </c>
      <c r="H2418" t="s">
        <v>10765</v>
      </c>
      <c r="I2418">
        <v>3.3861622229141193E-2</v>
      </c>
      <c r="J2418">
        <v>131683</v>
      </c>
      <c r="K2418">
        <v>5.1950926821311652E-2</v>
      </c>
      <c r="L2418">
        <v>85831</v>
      </c>
      <c r="M2418">
        <v>4459</v>
      </c>
      <c r="N2418">
        <v>3.6600000000000001E-2</v>
      </c>
      <c r="O2418">
        <v>7</v>
      </c>
      <c r="Q2418">
        <v>1</v>
      </c>
    </row>
    <row r="2419" spans="1:17" x14ac:dyDescent="0.25">
      <c r="A2419" t="s">
        <v>564</v>
      </c>
      <c r="B2419" t="s">
        <v>30</v>
      </c>
      <c r="C2419" t="s">
        <v>392</v>
      </c>
      <c r="D2419" t="s">
        <v>59</v>
      </c>
      <c r="E2419" t="s">
        <v>72</v>
      </c>
      <c r="F2419" t="s">
        <v>78</v>
      </c>
      <c r="G2419" t="s">
        <v>705</v>
      </c>
      <c r="H2419" t="s">
        <v>10768</v>
      </c>
      <c r="I2419">
        <v>3.286680892750013E-2</v>
      </c>
      <c r="J2419">
        <v>131683</v>
      </c>
      <c r="K2419">
        <v>5.0424671738649209E-2</v>
      </c>
      <c r="L2419">
        <v>85831</v>
      </c>
      <c r="M2419">
        <v>4328</v>
      </c>
      <c r="N2419">
        <v>5.6399999999999999E-2</v>
      </c>
      <c r="O2419">
        <v>8</v>
      </c>
    </row>
    <row r="2420" spans="1:17" x14ac:dyDescent="0.25">
      <c r="A2420" t="s">
        <v>564</v>
      </c>
      <c r="B2420" t="s">
        <v>30</v>
      </c>
      <c r="C2420" t="s">
        <v>392</v>
      </c>
      <c r="D2420" t="s">
        <v>59</v>
      </c>
      <c r="E2420" t="s">
        <v>72</v>
      </c>
      <c r="F2420" t="s">
        <v>73</v>
      </c>
      <c r="G2420" t="s">
        <v>706</v>
      </c>
      <c r="H2420" t="s">
        <v>10769</v>
      </c>
      <c r="I2420">
        <v>3.2783274986140962E-2</v>
      </c>
      <c r="J2420">
        <v>131683</v>
      </c>
      <c r="K2420">
        <v>5.0296512914914188E-2</v>
      </c>
      <c r="L2420">
        <v>85831</v>
      </c>
      <c r="M2420">
        <v>4317</v>
      </c>
      <c r="N2420">
        <v>5.6500000000000002E-2</v>
      </c>
      <c r="O2420">
        <v>9</v>
      </c>
      <c r="Q2420">
        <v>6</v>
      </c>
    </row>
    <row r="2421" spans="1:17" x14ac:dyDescent="0.25">
      <c r="A2421" t="s">
        <v>564</v>
      </c>
      <c r="B2421" t="s">
        <v>30</v>
      </c>
      <c r="C2421" t="s">
        <v>392</v>
      </c>
      <c r="D2421" t="s">
        <v>59</v>
      </c>
      <c r="E2421" t="s">
        <v>64</v>
      </c>
      <c r="F2421" t="s">
        <v>78</v>
      </c>
      <c r="G2421" t="s">
        <v>703</v>
      </c>
      <c r="H2421" t="s">
        <v>10766</v>
      </c>
      <c r="I2421">
        <v>2.3427473553913569E-2</v>
      </c>
      <c r="J2421">
        <v>131683</v>
      </c>
      <c r="K2421">
        <v>3.5942724656592609E-2</v>
      </c>
      <c r="L2421">
        <v>85831</v>
      </c>
      <c r="M2421">
        <v>3085</v>
      </c>
      <c r="N2421">
        <v>4.5699999999999998E-2</v>
      </c>
      <c r="O2421">
        <v>10</v>
      </c>
    </row>
    <row r="2422" spans="1:17" x14ac:dyDescent="0.25">
      <c r="A2422" t="s">
        <v>564</v>
      </c>
      <c r="B2422" t="s">
        <v>30</v>
      </c>
      <c r="C2422" t="s">
        <v>392</v>
      </c>
      <c r="D2422" t="s">
        <v>59</v>
      </c>
      <c r="E2422" t="s">
        <v>64</v>
      </c>
      <c r="F2422" t="s">
        <v>65</v>
      </c>
      <c r="G2422" t="s">
        <v>704</v>
      </c>
      <c r="H2422" t="s">
        <v>10767</v>
      </c>
      <c r="I2422">
        <v>2.3427473553913569E-2</v>
      </c>
      <c r="J2422">
        <v>131683</v>
      </c>
      <c r="K2422">
        <v>3.5942724656592609E-2</v>
      </c>
      <c r="L2422">
        <v>85831</v>
      </c>
      <c r="M2422">
        <v>3085</v>
      </c>
      <c r="N2422">
        <v>4.5699999999999998E-2</v>
      </c>
      <c r="O2422">
        <v>11</v>
      </c>
      <c r="Q2422">
        <v>4</v>
      </c>
    </row>
    <row r="2423" spans="1:17" x14ac:dyDescent="0.25">
      <c r="A2423" t="s">
        <v>564</v>
      </c>
      <c r="B2423" t="s">
        <v>30</v>
      </c>
      <c r="C2423" t="s">
        <v>392</v>
      </c>
      <c r="D2423" t="s">
        <v>59</v>
      </c>
      <c r="E2423" t="s">
        <v>72</v>
      </c>
      <c r="F2423" t="s">
        <v>75</v>
      </c>
      <c r="G2423" t="s">
        <v>710</v>
      </c>
      <c r="H2423" t="s">
        <v>10773</v>
      </c>
      <c r="I2423">
        <v>7.5939946690157425E-5</v>
      </c>
      <c r="J2423">
        <v>131683</v>
      </c>
      <c r="K2423">
        <v>1.165080215772856E-4</v>
      </c>
      <c r="L2423">
        <v>85831</v>
      </c>
      <c r="M2423">
        <v>10</v>
      </c>
      <c r="O2423">
        <v>12</v>
      </c>
      <c r="Q2423">
        <v>7</v>
      </c>
    </row>
    <row r="2424" spans="1:17" x14ac:dyDescent="0.25">
      <c r="A2424" t="s">
        <v>564</v>
      </c>
      <c r="B2424" t="s">
        <v>30</v>
      </c>
      <c r="C2424" t="s">
        <v>392</v>
      </c>
      <c r="D2424" t="s">
        <v>59</v>
      </c>
      <c r="E2424" t="s">
        <v>68</v>
      </c>
      <c r="F2424" t="s">
        <v>69</v>
      </c>
      <c r="G2424" t="s">
        <v>701</v>
      </c>
      <c r="H2424" t="s">
        <v>10775</v>
      </c>
      <c r="I2424">
        <v>6.8345952021141686E-5</v>
      </c>
      <c r="J2424">
        <v>131683</v>
      </c>
      <c r="K2424">
        <v>1.04857219419557E-4</v>
      </c>
      <c r="L2424">
        <v>85831</v>
      </c>
      <c r="M2424">
        <v>9</v>
      </c>
      <c r="O2424">
        <v>13</v>
      </c>
      <c r="Q2424">
        <v>11</v>
      </c>
    </row>
    <row r="2425" spans="1:17" x14ac:dyDescent="0.25">
      <c r="A2425" t="s">
        <v>564</v>
      </c>
      <c r="B2425" t="s">
        <v>30</v>
      </c>
      <c r="C2425" t="s">
        <v>392</v>
      </c>
      <c r="D2425" t="s">
        <v>59</v>
      </c>
      <c r="E2425" t="s">
        <v>72</v>
      </c>
      <c r="F2425" t="s">
        <v>74</v>
      </c>
      <c r="G2425" t="s">
        <v>708</v>
      </c>
      <c r="H2425" t="s">
        <v>10774</v>
      </c>
      <c r="I2425">
        <v>7.5939946690157426E-6</v>
      </c>
      <c r="J2425">
        <v>131683</v>
      </c>
      <c r="K2425">
        <v>1.1650802157728561E-5</v>
      </c>
      <c r="L2425">
        <v>85831</v>
      </c>
      <c r="M2425">
        <v>1</v>
      </c>
      <c r="O2425">
        <v>14</v>
      </c>
      <c r="Q2425">
        <v>9</v>
      </c>
    </row>
    <row r="2426" spans="1:17" x14ac:dyDescent="0.25">
      <c r="A2426" t="s">
        <v>564</v>
      </c>
      <c r="B2426" t="s">
        <v>30</v>
      </c>
      <c r="C2426" t="s">
        <v>392</v>
      </c>
      <c r="D2426" t="s">
        <v>59</v>
      </c>
      <c r="E2426" t="s">
        <v>72</v>
      </c>
      <c r="F2426" t="s">
        <v>352</v>
      </c>
      <c r="G2426" t="s">
        <v>1117</v>
      </c>
      <c r="H2426" t="s">
        <v>10779</v>
      </c>
      <c r="J2426">
        <v>131683</v>
      </c>
      <c r="L2426">
        <v>85831</v>
      </c>
      <c r="O2426">
        <v>15</v>
      </c>
      <c r="Q2426">
        <v>8</v>
      </c>
    </row>
    <row r="2427" spans="1:17" x14ac:dyDescent="0.25">
      <c r="A2427" t="s">
        <v>564</v>
      </c>
      <c r="B2427" t="s">
        <v>30</v>
      </c>
      <c r="C2427" t="s">
        <v>392</v>
      </c>
      <c r="D2427" t="s">
        <v>59</v>
      </c>
      <c r="E2427" t="s">
        <v>64</v>
      </c>
      <c r="F2427" t="s">
        <v>8547</v>
      </c>
      <c r="G2427" t="s">
        <v>8548</v>
      </c>
      <c r="H2427" t="s">
        <v>10776</v>
      </c>
      <c r="J2427">
        <v>131683</v>
      </c>
      <c r="L2427">
        <v>85831</v>
      </c>
      <c r="O2427">
        <v>16</v>
      </c>
    </row>
    <row r="2428" spans="1:17" x14ac:dyDescent="0.25">
      <c r="A2428" t="s">
        <v>564</v>
      </c>
      <c r="B2428" t="s">
        <v>30</v>
      </c>
      <c r="C2428" t="s">
        <v>392</v>
      </c>
      <c r="D2428" t="s">
        <v>59</v>
      </c>
      <c r="E2428" t="s">
        <v>64</v>
      </c>
      <c r="F2428" t="s">
        <v>67</v>
      </c>
      <c r="G2428" t="s">
        <v>709</v>
      </c>
      <c r="H2428" t="s">
        <v>10778</v>
      </c>
      <c r="J2428">
        <v>131683</v>
      </c>
      <c r="L2428">
        <v>85831</v>
      </c>
      <c r="O2428">
        <v>17</v>
      </c>
      <c r="Q2428">
        <v>5</v>
      </c>
    </row>
    <row r="2429" spans="1:17" x14ac:dyDescent="0.25">
      <c r="A2429" t="s">
        <v>564</v>
      </c>
      <c r="B2429" t="s">
        <v>30</v>
      </c>
      <c r="C2429" t="s">
        <v>392</v>
      </c>
      <c r="D2429" t="s">
        <v>59</v>
      </c>
      <c r="E2429" t="s">
        <v>64</v>
      </c>
      <c r="F2429" t="s">
        <v>8535</v>
      </c>
      <c r="G2429" t="s">
        <v>8536</v>
      </c>
      <c r="H2429" t="s">
        <v>10780</v>
      </c>
      <c r="J2429">
        <v>131683</v>
      </c>
      <c r="L2429">
        <v>85831</v>
      </c>
      <c r="O2429">
        <v>18</v>
      </c>
    </row>
    <row r="2430" spans="1:17" x14ac:dyDescent="0.25">
      <c r="A2430" t="s">
        <v>564</v>
      </c>
      <c r="B2430" t="s">
        <v>30</v>
      </c>
      <c r="C2430" t="s">
        <v>392</v>
      </c>
      <c r="D2430" t="s">
        <v>59</v>
      </c>
      <c r="E2430" t="s">
        <v>64</v>
      </c>
      <c r="F2430" t="s">
        <v>470</v>
      </c>
      <c r="G2430" t="s">
        <v>8540</v>
      </c>
      <c r="H2430" t="s">
        <v>10777</v>
      </c>
      <c r="J2430">
        <v>131683</v>
      </c>
      <c r="L2430">
        <v>85831</v>
      </c>
      <c r="O2430">
        <v>19</v>
      </c>
    </row>
    <row r="2431" spans="1:17" x14ac:dyDescent="0.25">
      <c r="A2431" t="s">
        <v>564</v>
      </c>
      <c r="B2431" t="s">
        <v>30</v>
      </c>
      <c r="C2431" t="s">
        <v>392</v>
      </c>
      <c r="D2431" t="s">
        <v>59</v>
      </c>
      <c r="E2431" t="s">
        <v>64</v>
      </c>
      <c r="F2431" t="s">
        <v>8543</v>
      </c>
      <c r="G2431" t="s">
        <v>8544</v>
      </c>
      <c r="H2431" t="s">
        <v>10772</v>
      </c>
      <c r="J2431">
        <v>131683</v>
      </c>
      <c r="L2431">
        <v>85831</v>
      </c>
      <c r="O2431">
        <v>20</v>
      </c>
    </row>
    <row r="2432" spans="1:17" x14ac:dyDescent="0.25">
      <c r="A2432" t="s">
        <v>564</v>
      </c>
      <c r="B2432" t="s">
        <v>30</v>
      </c>
      <c r="C2432" t="s">
        <v>392</v>
      </c>
      <c r="D2432" t="s">
        <v>59</v>
      </c>
      <c r="E2432" t="s">
        <v>68</v>
      </c>
      <c r="F2432" t="s">
        <v>71</v>
      </c>
      <c r="G2432" t="s">
        <v>8538</v>
      </c>
      <c r="H2432" t="s">
        <v>10781</v>
      </c>
      <c r="J2432">
        <v>131683</v>
      </c>
      <c r="L2432">
        <v>85831</v>
      </c>
      <c r="O2432">
        <v>21</v>
      </c>
    </row>
  </sheetData>
  <phoneticPr fontId="2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G448"/>
  <sheetViews>
    <sheetView tabSelected="1" topLeftCell="A58" zoomScale="70" zoomScaleNormal="70" workbookViewId="0">
      <selection activeCell="I69" sqref="I69"/>
    </sheetView>
  </sheetViews>
  <sheetFormatPr defaultColWidth="8.453125" defaultRowHeight="16.5" x14ac:dyDescent="0.25"/>
  <cols>
    <col min="1" max="1" width="5.453125" style="1" customWidth="1"/>
    <col min="2" max="2" width="26.36328125" style="1" bestFit="1" customWidth="1"/>
    <col min="3" max="3" width="36.36328125" style="1" customWidth="1"/>
    <col min="4" max="4" width="14.81640625" style="1" customWidth="1"/>
    <col min="5" max="5" width="29.1796875" style="1" customWidth="1"/>
    <col min="6" max="6" width="49.36328125" style="1" customWidth="1"/>
    <col min="7" max="7" width="28.1796875" style="1" bestFit="1" customWidth="1"/>
    <col min="8" max="8" width="19.36328125" style="1" bestFit="1" customWidth="1"/>
    <col min="9" max="9" width="24.453125" style="1" customWidth="1"/>
    <col min="10" max="10" width="25.81640625" style="1" customWidth="1"/>
    <col min="11" max="11" width="25.6328125" style="1" bestFit="1" customWidth="1"/>
    <col min="12" max="12" width="14.1796875" style="1" bestFit="1" customWidth="1"/>
    <col min="13" max="13" width="20.453125" style="1" bestFit="1" customWidth="1"/>
    <col min="14" max="14" width="13.453125" style="1" bestFit="1" customWidth="1"/>
    <col min="15" max="15" width="18.1796875" style="1" bestFit="1" customWidth="1"/>
    <col min="16" max="16" width="14.26953125" style="1" bestFit="1" customWidth="1"/>
    <col min="17" max="17" width="14.6328125" style="1" customWidth="1"/>
    <col min="18" max="18" width="31.453125" style="1" customWidth="1"/>
    <col min="19" max="19" width="42" style="1" customWidth="1"/>
    <col min="20" max="20" width="8.81640625" style="1" customWidth="1"/>
    <col min="21" max="21" width="21.1796875" style="1" bestFit="1" customWidth="1"/>
    <col min="22" max="22" width="19.36328125" style="1" bestFit="1" customWidth="1"/>
    <col min="23" max="23" width="24.1796875" style="1" bestFit="1" customWidth="1"/>
    <col min="24" max="24" width="21.81640625" style="1" bestFit="1" customWidth="1"/>
    <col min="25" max="29" width="14.453125" style="1" bestFit="1" customWidth="1"/>
    <col min="30" max="30" width="11.6328125" style="1" bestFit="1" customWidth="1"/>
    <col min="31" max="31" width="13.81640625" style="1" bestFit="1" customWidth="1"/>
    <col min="32" max="33" width="13" style="1" bestFit="1" customWidth="1"/>
    <col min="34" max="34" width="11.6328125" style="1" bestFit="1" customWidth="1"/>
    <col min="35" max="35" width="9.81640625" style="1" bestFit="1" customWidth="1"/>
    <col min="36" max="37" width="11" style="1" bestFit="1" customWidth="1"/>
    <col min="38" max="38" width="9.81640625" style="1" bestFit="1" customWidth="1"/>
    <col min="39" max="39" width="9.81640625" style="1" customWidth="1"/>
    <col min="40" max="40" width="9.81640625" style="1" bestFit="1" customWidth="1"/>
    <col min="41" max="42" width="11" style="1" bestFit="1" customWidth="1"/>
    <col min="43" max="43" width="9.81640625" style="1" bestFit="1" customWidth="1"/>
    <col min="44" max="52" width="8.453125" style="1" customWidth="1"/>
    <col min="53" max="16384" width="8.453125" style="1"/>
  </cols>
  <sheetData>
    <row r="2" spans="2:29" x14ac:dyDescent="0.25">
      <c r="B2" s="268" t="s">
        <v>0</v>
      </c>
      <c r="C2" s="269"/>
    </row>
    <row r="3" spans="2:29" s="5" customFormat="1" ht="23.5" customHeight="1" x14ac:dyDescent="0.25">
      <c r="B3" s="270" t="s">
        <v>103</v>
      </c>
      <c r="C3" s="271"/>
      <c r="D3" s="271"/>
      <c r="E3" s="271"/>
      <c r="F3" s="271"/>
      <c r="N3" s="6"/>
      <c r="O3" s="6"/>
      <c r="P3" s="6"/>
    </row>
    <row r="4" spans="2:29" s="2" customFormat="1" ht="16.25" customHeight="1" x14ac:dyDescent="0.25">
      <c r="B4" s="7"/>
      <c r="C4" s="7"/>
      <c r="D4" s="7"/>
      <c r="J4" s="3"/>
      <c r="K4" s="3"/>
      <c r="L4" s="3"/>
    </row>
    <row r="5" spans="2:29" ht="16.25" customHeight="1" x14ac:dyDescent="0.25">
      <c r="B5" s="272" t="s">
        <v>104</v>
      </c>
      <c r="C5" s="273"/>
      <c r="D5" s="273"/>
      <c r="E5" s="273"/>
      <c r="F5" s="273"/>
      <c r="G5" s="273"/>
      <c r="H5" s="273"/>
      <c r="I5" s="273"/>
      <c r="J5" s="273"/>
      <c r="K5" s="273"/>
      <c r="L5" s="273"/>
      <c r="M5" s="273"/>
      <c r="N5" s="273"/>
      <c r="O5" s="274"/>
      <c r="Q5" s="299" t="s">
        <v>105</v>
      </c>
      <c r="R5" s="273"/>
      <c r="S5" s="273"/>
      <c r="T5" s="273"/>
      <c r="U5" s="273"/>
      <c r="V5" s="273"/>
      <c r="W5" s="273"/>
      <c r="X5" s="273"/>
      <c r="Y5" s="273"/>
      <c r="Z5" s="273"/>
      <c r="AA5" s="273"/>
      <c r="AB5" s="273"/>
      <c r="AC5" s="274"/>
    </row>
    <row r="6" spans="2:29" ht="16.25" customHeight="1" x14ac:dyDescent="0.25">
      <c r="B6" s="10"/>
      <c r="C6" s="10"/>
      <c r="D6" s="30">
        <v>2023.01</v>
      </c>
      <c r="E6" s="30">
        <v>2023.02</v>
      </c>
      <c r="F6" s="30">
        <v>2023.03</v>
      </c>
      <c r="G6" s="30">
        <v>2023.04</v>
      </c>
      <c r="H6" s="30">
        <v>2023.05</v>
      </c>
      <c r="I6" s="30">
        <v>2023.06</v>
      </c>
      <c r="J6" s="30">
        <v>2023.07</v>
      </c>
      <c r="K6" s="30">
        <v>2023.08</v>
      </c>
      <c r="L6" s="30">
        <v>2023.09</v>
      </c>
      <c r="M6" s="30">
        <v>2023.1</v>
      </c>
      <c r="N6" s="30">
        <v>2023.11</v>
      </c>
      <c r="O6" s="30">
        <v>2023.12</v>
      </c>
      <c r="Q6" s="11"/>
      <c r="R6" s="11">
        <v>2022.01</v>
      </c>
      <c r="S6" s="11">
        <v>2022.02</v>
      </c>
      <c r="T6" s="11">
        <v>2022.03</v>
      </c>
      <c r="U6" s="11">
        <v>2022.04</v>
      </c>
      <c r="V6" s="11">
        <v>2022.05</v>
      </c>
      <c r="W6" s="11">
        <v>2022.06</v>
      </c>
      <c r="X6" s="11">
        <v>2022.07</v>
      </c>
      <c r="Y6" s="11">
        <v>2022.08</v>
      </c>
      <c r="Z6" s="11">
        <v>2022.09</v>
      </c>
      <c r="AA6" s="11">
        <v>2022.1</v>
      </c>
      <c r="AB6" s="11">
        <v>2022.11</v>
      </c>
      <c r="AC6" s="11">
        <v>2022.12</v>
      </c>
    </row>
    <row r="7" spans="2:29" x14ac:dyDescent="0.25">
      <c r="B7" s="277" t="s">
        <v>16</v>
      </c>
      <c r="C7" s="12" t="s">
        <v>106</v>
      </c>
      <c r="D7" s="16">
        <f>IFERROR(VLOOKUP("咖啡机"&amp;"-"&amp;D6,dat_nespresso_mkt_overview!$C:$H,2,0),"")</f>
        <v>97494364</v>
      </c>
      <c r="E7" s="16">
        <f>IFERROR(VLOOKUP("咖啡机"&amp;"-"&amp;E6,dat_nespresso_mkt_overview!$C:$H,2,0),"")</f>
        <v>127549284</v>
      </c>
      <c r="F7" s="16">
        <f>IFERROR(VLOOKUP("咖啡机"&amp;"-"&amp;F6,dat_nespresso_mkt_overview!$C:$H,2,0),"")</f>
        <v>164174878</v>
      </c>
      <c r="G7" s="16">
        <f>IFERROR(VLOOKUP("咖啡机"&amp;"-"&amp;G6,dat_nespresso_mkt_overview!$C:$H,2,0),"")</f>
        <v>139351905</v>
      </c>
      <c r="H7" s="16">
        <f>IFERROR(VLOOKUP("咖啡机"&amp;"-"&amp;H6,dat_nespresso_mkt_overview!$C:$H,2,0),"")</f>
        <v>210744303</v>
      </c>
      <c r="I7" s="16">
        <f>IFERROR(VLOOKUP("咖啡机"&amp;"-"&amp;I6,dat_nespresso_mkt_overview!$C:$H,2,0),"")</f>
        <v>266148125</v>
      </c>
      <c r="J7" s="16">
        <f>IFERROR(VLOOKUP("咖啡机"&amp;"-"&amp;J6,dat_nespresso_mkt_overview!$C:$H,2,0),"")</f>
        <v>105443223</v>
      </c>
      <c r="K7" s="16">
        <f>IFERROR(VLOOKUP("咖啡机"&amp;"-"&amp;K6,dat_nespresso_mkt_overview!$C:$H,2,0),"")</f>
        <v>146485860</v>
      </c>
      <c r="L7" s="16">
        <f>IFERROR(VLOOKUP("咖啡机"&amp;"-"&amp;L6,dat_nespresso_mkt_overview!$C:$H,2,0),"")</f>
        <v>140336510</v>
      </c>
      <c r="M7" s="16" t="str">
        <f>IFERROR(VLOOKUP("咖啡机"&amp;"-"&amp;M6,dat_nespresso_mkt_overview!$C:$H,2,0),"")</f>
        <v/>
      </c>
      <c r="N7" s="16" t="str">
        <f>IFERROR(VLOOKUP("咖啡机"&amp;"-"&amp;N6,dat_nespresso_mkt_overview!$C:$H,2,0),"")</f>
        <v/>
      </c>
      <c r="O7" s="16" t="str">
        <f>IFERROR(VLOOKUP("咖啡机"&amp;"-"&amp;O6,dat_nespresso_mkt_overview!$C:$H,2,0),"")</f>
        <v/>
      </c>
      <c r="Q7" s="31" t="s">
        <v>106</v>
      </c>
      <c r="R7" s="21">
        <v>123656256</v>
      </c>
      <c r="S7" s="21">
        <v>93583980</v>
      </c>
      <c r="T7" s="21">
        <v>142756688</v>
      </c>
      <c r="U7" s="21">
        <v>121584029</v>
      </c>
      <c r="V7" s="21">
        <v>213991789</v>
      </c>
      <c r="W7" s="21">
        <v>244167204</v>
      </c>
      <c r="X7" s="21">
        <v>101559482</v>
      </c>
      <c r="Y7" s="21">
        <v>127570341</v>
      </c>
      <c r="Z7" s="21">
        <v>138337109</v>
      </c>
      <c r="AA7" s="21">
        <v>272021792</v>
      </c>
      <c r="AB7" s="21">
        <v>320911334</v>
      </c>
      <c r="AC7" s="21">
        <v>165629281</v>
      </c>
    </row>
    <row r="8" spans="2:29" x14ac:dyDescent="0.25">
      <c r="B8" s="281"/>
      <c r="C8" s="12" t="s">
        <v>107</v>
      </c>
      <c r="D8" s="16">
        <f>IFERROR(VLOOKUP("咖啡机"&amp;"-"&amp;D6,dat_nespresso_mkt_overview!$C:$H,3,0),"")</f>
        <v>57912</v>
      </c>
      <c r="E8" s="16">
        <f>IFERROR(VLOOKUP("咖啡机"&amp;"-"&amp;E6,dat_nespresso_mkt_overview!$C:$H,3,0),"")</f>
        <v>81865</v>
      </c>
      <c r="F8" s="16">
        <f>IFERROR(VLOOKUP("咖啡机"&amp;"-"&amp;F6,dat_nespresso_mkt_overview!$C:$H,3,0),"")</f>
        <v>93424</v>
      </c>
      <c r="G8" s="16">
        <f>IFERROR(VLOOKUP("咖啡机"&amp;"-"&amp;G6,dat_nespresso_mkt_overview!$C:$H,3,0),"")</f>
        <v>82527</v>
      </c>
      <c r="H8" s="16">
        <f>IFERROR(VLOOKUP("咖啡机"&amp;"-"&amp;H6,dat_nespresso_mkt_overview!$C:$H,3,0),"")</f>
        <v>116199</v>
      </c>
      <c r="I8" s="16">
        <f>IFERROR(VLOOKUP("咖啡机"&amp;"-"&amp;I6,dat_nespresso_mkt_overview!$C:$H,3,0),"")</f>
        <v>133654</v>
      </c>
      <c r="J8" s="16">
        <f>IFERROR(VLOOKUP("咖啡机"&amp;"-"&amp;J6,dat_nespresso_mkt_overview!$C:$H,3,0),"")</f>
        <v>67738</v>
      </c>
      <c r="K8" s="16">
        <f>IFERROR(VLOOKUP("咖啡机"&amp;"-"&amp;K6,dat_nespresso_mkt_overview!$C:$H,3,0),"")</f>
        <v>94889</v>
      </c>
      <c r="L8" s="16">
        <f>IFERROR(VLOOKUP("咖啡机"&amp;"-"&amp;L6,dat_nespresso_mkt_overview!$C:$H,3,0),"")</f>
        <v>87133</v>
      </c>
      <c r="M8" s="16" t="str">
        <f>IFERROR(VLOOKUP("咖啡机"&amp;"-"&amp;M6,dat_nespresso_mkt_overview!$C:$H,3,0),"")</f>
        <v/>
      </c>
      <c r="N8" s="16" t="str">
        <f>IFERROR(VLOOKUP("咖啡机"&amp;"-"&amp;N6,dat_nespresso_mkt_overview!$C:$H,3,0),"")</f>
        <v/>
      </c>
      <c r="O8" s="16" t="str">
        <f>IFERROR(VLOOKUP("咖啡机"&amp;"-"&amp;O6,dat_nespresso_mkt_overview!$C:$H,3,0),"")</f>
        <v/>
      </c>
      <c r="Q8" s="31" t="s">
        <v>107</v>
      </c>
      <c r="R8" s="21">
        <v>80548</v>
      </c>
      <c r="S8" s="21">
        <v>66524</v>
      </c>
      <c r="T8" s="21">
        <v>88432</v>
      </c>
      <c r="U8" s="21">
        <v>75003</v>
      </c>
      <c r="V8" s="21">
        <v>120016</v>
      </c>
      <c r="W8" s="21">
        <v>128044</v>
      </c>
      <c r="X8" s="21">
        <v>67386</v>
      </c>
      <c r="Y8" s="21">
        <v>82057</v>
      </c>
      <c r="Z8" s="21">
        <v>90157</v>
      </c>
      <c r="AA8" s="21">
        <v>149920</v>
      </c>
      <c r="AB8" s="21">
        <v>156715</v>
      </c>
      <c r="AC8" s="21">
        <v>91192</v>
      </c>
    </row>
    <row r="9" spans="2:29" x14ac:dyDescent="0.25">
      <c r="B9" s="281"/>
      <c r="C9" s="12" t="s">
        <v>108</v>
      </c>
      <c r="D9" s="16">
        <f>IFERROR(VLOOKUP("咖啡机"&amp;"-"&amp;D6,dat_nespresso_mkt_overview!$C:$H,4,0),"")</f>
        <v>3867723</v>
      </c>
      <c r="E9" s="16">
        <f>IFERROR(VLOOKUP("咖啡机"&amp;"-"&amp;E6,dat_nespresso_mkt_overview!$C:$H,4,0),"")</f>
        <v>4047712</v>
      </c>
      <c r="F9" s="16">
        <f>IFERROR(VLOOKUP("咖啡机"&amp;"-"&amp;F6,dat_nespresso_mkt_overview!$C:$H,4,0),"")</f>
        <v>5543896</v>
      </c>
      <c r="G9" s="16">
        <f>IFERROR(VLOOKUP("咖啡机"&amp;"-"&amp;G6,dat_nespresso_mkt_overview!$C:$H,4,0),"")</f>
        <v>9572839</v>
      </c>
      <c r="H9" s="16">
        <f>IFERROR(VLOOKUP("咖啡机"&amp;"-"&amp;H6,dat_nespresso_mkt_overview!$C:$H,4,0),"")</f>
        <v>5509642</v>
      </c>
      <c r="I9" s="16">
        <f>IFERROR(VLOOKUP("咖啡机"&amp;"-"&amp;I6,dat_nespresso_mkt_overview!$C:$H,4,0),"")</f>
        <v>6132665</v>
      </c>
      <c r="J9" s="16">
        <f>IFERROR(VLOOKUP("咖啡机"&amp;"-"&amp;J6,dat_nespresso_mkt_overview!$C:$H,4,0),"")</f>
        <v>3976355</v>
      </c>
      <c r="K9" s="16">
        <f>IFERROR(VLOOKUP("咖啡机"&amp;"-"&amp;K6,dat_nespresso_mkt_overview!$C:$H,4,0),"")</f>
        <v>4458619</v>
      </c>
      <c r="L9" s="16">
        <f>IFERROR(VLOOKUP("咖啡机"&amp;"-"&amp;L6,dat_nespresso_mkt_overview!$C:$H,4,0),"")</f>
        <v>4195851</v>
      </c>
      <c r="M9" s="16" t="str">
        <f>IFERROR(VLOOKUP("咖啡机"&amp;"-"&amp;M6,dat_nespresso_mkt_overview!$C:$H,4,0),"")</f>
        <v/>
      </c>
      <c r="N9" s="16" t="str">
        <f>IFERROR(VLOOKUP("咖啡机"&amp;"-"&amp;N6,dat_nespresso_mkt_overview!$C:$H,4,0),"")</f>
        <v/>
      </c>
      <c r="O9" s="16" t="str">
        <f>IFERROR(VLOOKUP("咖啡机"&amp;"-"&amp;O6,dat_nespresso_mkt_overview!$C:$H,4,0),"")</f>
        <v/>
      </c>
      <c r="Q9" s="31" t="s">
        <v>108</v>
      </c>
      <c r="R9" s="21">
        <v>3192890</v>
      </c>
      <c r="S9" s="21">
        <v>3027753</v>
      </c>
      <c r="T9" s="21">
        <v>4710349</v>
      </c>
      <c r="U9" s="21">
        <v>3234408</v>
      </c>
      <c r="V9" s="21">
        <v>4279384</v>
      </c>
      <c r="W9" s="21">
        <v>4044349</v>
      </c>
      <c r="X9" s="21">
        <v>2770819</v>
      </c>
      <c r="Y9" s="21">
        <v>3363350</v>
      </c>
      <c r="Z9" s="21">
        <v>4122549</v>
      </c>
      <c r="AA9" s="21">
        <v>6272438</v>
      </c>
      <c r="AB9" s="21">
        <v>6606015</v>
      </c>
      <c r="AC9" s="21">
        <v>4456851</v>
      </c>
    </row>
    <row r="10" spans="2:29" x14ac:dyDescent="0.25">
      <c r="B10" s="281"/>
      <c r="C10" s="12" t="s">
        <v>21</v>
      </c>
      <c r="D10" s="17">
        <f t="shared" ref="D10:O10" si="0">IFERROR(D8/D9,"")</f>
        <v>1.4973150869387492E-2</v>
      </c>
      <c r="E10" s="17">
        <f t="shared" si="0"/>
        <v>2.0225006126918122E-2</v>
      </c>
      <c r="F10" s="17">
        <f t="shared" si="0"/>
        <v>1.685168697248289E-2</v>
      </c>
      <c r="G10" s="17">
        <f t="shared" si="0"/>
        <v>8.6209535123279515E-3</v>
      </c>
      <c r="H10" s="17">
        <f t="shared" si="0"/>
        <v>2.1090118014927287E-2</v>
      </c>
      <c r="I10" s="17">
        <f t="shared" si="0"/>
        <v>2.1793787855687537E-2</v>
      </c>
      <c r="J10" s="17">
        <f t="shared" si="0"/>
        <v>1.7035199321992125E-2</v>
      </c>
      <c r="K10" s="17">
        <f t="shared" si="0"/>
        <v>2.1282150369879103E-2</v>
      </c>
      <c r="L10" s="17">
        <f t="shared" si="0"/>
        <v>2.0766466683397482E-2</v>
      </c>
      <c r="M10" s="17" t="str">
        <f t="shared" si="0"/>
        <v/>
      </c>
      <c r="N10" s="17" t="str">
        <f t="shared" si="0"/>
        <v/>
      </c>
      <c r="O10" s="17" t="str">
        <f t="shared" si="0"/>
        <v/>
      </c>
      <c r="Q10" s="31" t="s">
        <v>21</v>
      </c>
      <c r="R10" s="17">
        <f t="shared" ref="R10:AC10" si="1">IFERROR(R8/R9,"")</f>
        <v>2.522730191143447E-2</v>
      </c>
      <c r="S10" s="17">
        <f t="shared" si="1"/>
        <v>2.1971409160522672E-2</v>
      </c>
      <c r="T10" s="17">
        <f t="shared" si="1"/>
        <v>1.8773980441788921E-2</v>
      </c>
      <c r="U10" s="17">
        <f t="shared" si="1"/>
        <v>2.3189096737331841E-2</v>
      </c>
      <c r="V10" s="17">
        <f t="shared" si="1"/>
        <v>2.8045157901230643E-2</v>
      </c>
      <c r="W10" s="17">
        <f t="shared" si="1"/>
        <v>3.1659977909918258E-2</v>
      </c>
      <c r="X10" s="17">
        <f t="shared" si="1"/>
        <v>2.4319885203616692E-2</v>
      </c>
      <c r="Y10" s="17">
        <f t="shared" si="1"/>
        <v>2.4397401400389492E-2</v>
      </c>
      <c r="Z10" s="17">
        <f t="shared" si="1"/>
        <v>2.1869236727083172E-2</v>
      </c>
      <c r="AA10" s="17">
        <f t="shared" si="1"/>
        <v>2.3901392090284513E-2</v>
      </c>
      <c r="AB10" s="17">
        <f t="shared" si="1"/>
        <v>2.3723076620322539E-2</v>
      </c>
      <c r="AC10" s="17">
        <f t="shared" si="1"/>
        <v>2.0461083397223735E-2</v>
      </c>
    </row>
    <row r="11" spans="2:29" x14ac:dyDescent="0.25">
      <c r="B11" s="283"/>
      <c r="C11" s="12" t="s">
        <v>22</v>
      </c>
      <c r="D11" s="18">
        <f t="shared" ref="D11:O11" si="2">IFERROR(D7/D8,"")</f>
        <v>1683.4915734217434</v>
      </c>
      <c r="E11" s="18">
        <f t="shared" si="2"/>
        <v>1558.0441458498749</v>
      </c>
      <c r="F11" s="18">
        <f t="shared" si="2"/>
        <v>1757.3094493920191</v>
      </c>
      <c r="G11" s="18">
        <f t="shared" si="2"/>
        <v>1688.5613799120288</v>
      </c>
      <c r="H11" s="18">
        <f t="shared" si="2"/>
        <v>1813.6498851108875</v>
      </c>
      <c r="I11" s="18">
        <f t="shared" si="2"/>
        <v>1991.3218085504361</v>
      </c>
      <c r="J11" s="18">
        <f t="shared" si="2"/>
        <v>1556.6332486934955</v>
      </c>
      <c r="K11" s="18">
        <f t="shared" si="2"/>
        <v>1543.7601829506054</v>
      </c>
      <c r="L11" s="18">
        <f t="shared" si="2"/>
        <v>1610.6011499661438</v>
      </c>
      <c r="M11" s="18" t="str">
        <f t="shared" si="2"/>
        <v/>
      </c>
      <c r="N11" s="18" t="str">
        <f t="shared" si="2"/>
        <v/>
      </c>
      <c r="O11" s="18" t="str">
        <f t="shared" si="2"/>
        <v/>
      </c>
      <c r="Q11" s="31" t="s">
        <v>22</v>
      </c>
      <c r="R11" s="18">
        <f t="shared" ref="R11:AC11" si="3">IFERROR(R7/R8,"")</f>
        <v>1535.1871678998857</v>
      </c>
      <c r="S11" s="18">
        <f t="shared" si="3"/>
        <v>1406.7701882027538</v>
      </c>
      <c r="T11" s="18">
        <f t="shared" si="3"/>
        <v>1614.3102949158676</v>
      </c>
      <c r="U11" s="18">
        <f t="shared" si="3"/>
        <v>1621.0555444448889</v>
      </c>
      <c r="V11" s="18">
        <f t="shared" si="3"/>
        <v>1783.0271713771497</v>
      </c>
      <c r="W11" s="18">
        <f t="shared" si="3"/>
        <v>1906.9007841054638</v>
      </c>
      <c r="X11" s="18">
        <f t="shared" si="3"/>
        <v>1507.1302941263764</v>
      </c>
      <c r="Y11" s="18">
        <f t="shared" si="3"/>
        <v>1554.655190903884</v>
      </c>
      <c r="Z11" s="18">
        <f t="shared" si="3"/>
        <v>1534.4023093048793</v>
      </c>
      <c r="AA11" s="18">
        <f t="shared" si="3"/>
        <v>1814.4463180362861</v>
      </c>
      <c r="AB11" s="18">
        <f t="shared" si="3"/>
        <v>2047.7384679194718</v>
      </c>
      <c r="AC11" s="18">
        <f t="shared" si="3"/>
        <v>1816.2698591981753</v>
      </c>
    </row>
    <row r="12" spans="2:29" x14ac:dyDescent="0.25">
      <c r="B12" s="277" t="s">
        <v>24</v>
      </c>
      <c r="C12" s="12" t="s">
        <v>106</v>
      </c>
      <c r="D12" s="17">
        <f t="shared" ref="D12:O14" si="4">IFERROR(D7/R7-1,"")</f>
        <v>-0.21156949794760083</v>
      </c>
      <c r="E12" s="17">
        <f t="shared" si="4"/>
        <v>0.36293929794394297</v>
      </c>
      <c r="F12" s="17">
        <f t="shared" si="4"/>
        <v>0.15003283068601303</v>
      </c>
      <c r="G12" s="17">
        <f t="shared" si="4"/>
        <v>0.14613659496347164</v>
      </c>
      <c r="H12" s="17">
        <f t="shared" si="4"/>
        <v>-1.5175750505081242E-2</v>
      </c>
      <c r="I12" s="17">
        <f t="shared" si="4"/>
        <v>9.0024051714987952E-2</v>
      </c>
      <c r="J12" s="17">
        <f t="shared" si="4"/>
        <v>3.8241047743823753E-2</v>
      </c>
      <c r="K12" s="17">
        <f t="shared" si="4"/>
        <v>0.14827520920399517</v>
      </c>
      <c r="L12" s="17">
        <f t="shared" si="4"/>
        <v>1.4453106722072562E-2</v>
      </c>
      <c r="M12" s="17" t="str">
        <f t="shared" si="4"/>
        <v/>
      </c>
      <c r="N12" s="17" t="str">
        <f t="shared" si="4"/>
        <v/>
      </c>
      <c r="O12" s="17" t="str">
        <f t="shared" si="4"/>
        <v/>
      </c>
      <c r="Q12" s="32"/>
      <c r="R12" s="14"/>
      <c r="S12" s="14"/>
      <c r="T12" s="14"/>
      <c r="U12" s="14"/>
      <c r="V12" s="14"/>
      <c r="W12" s="14"/>
      <c r="X12" s="14"/>
      <c r="Y12" s="14"/>
      <c r="Z12" s="14"/>
      <c r="AA12" s="14"/>
      <c r="AB12" s="14"/>
      <c r="AC12" s="14"/>
    </row>
    <row r="13" spans="2:29" x14ac:dyDescent="0.25">
      <c r="B13" s="281"/>
      <c r="C13" s="12" t="s">
        <v>107</v>
      </c>
      <c r="D13" s="17">
        <f t="shared" si="4"/>
        <v>-0.28102497889457223</v>
      </c>
      <c r="E13" s="17">
        <f t="shared" si="4"/>
        <v>0.23060850219469664</v>
      </c>
      <c r="F13" s="17">
        <f t="shared" si="4"/>
        <v>5.6450153790483126E-2</v>
      </c>
      <c r="G13" s="17">
        <f t="shared" si="4"/>
        <v>0.10031598736050551</v>
      </c>
      <c r="H13" s="17">
        <f t="shared" si="4"/>
        <v>-3.1804092787628302E-2</v>
      </c>
      <c r="I13" s="17">
        <f t="shared" si="4"/>
        <v>4.3813064259160983E-2</v>
      </c>
      <c r="J13" s="17">
        <f t="shared" si="4"/>
        <v>5.2236369572313812E-3</v>
      </c>
      <c r="K13" s="17">
        <f t="shared" si="4"/>
        <v>0.15637910233130636</v>
      </c>
      <c r="L13" s="17">
        <f t="shared" si="4"/>
        <v>-3.3541488736315572E-2</v>
      </c>
      <c r="M13" s="17" t="str">
        <f t="shared" si="4"/>
        <v/>
      </c>
      <c r="N13" s="17" t="str">
        <f t="shared" si="4"/>
        <v/>
      </c>
      <c r="O13" s="17" t="str">
        <f t="shared" si="4"/>
        <v/>
      </c>
      <c r="Q13" s="32"/>
      <c r="R13" s="14"/>
      <c r="S13" s="14"/>
      <c r="T13" s="14"/>
      <c r="U13" s="14"/>
      <c r="V13" s="14"/>
      <c r="W13" s="14"/>
      <c r="X13" s="14"/>
      <c r="Y13" s="14"/>
      <c r="Z13" s="14"/>
      <c r="AA13" s="14"/>
      <c r="AB13" s="14"/>
      <c r="AC13" s="14"/>
    </row>
    <row r="14" spans="2:29" x14ac:dyDescent="0.25">
      <c r="B14" s="281"/>
      <c r="C14" s="12" t="s">
        <v>108</v>
      </c>
      <c r="D14" s="17">
        <f t="shared" si="4"/>
        <v>0.21135491670555506</v>
      </c>
      <c r="E14" s="17">
        <f t="shared" si="4"/>
        <v>0.33686994943114579</v>
      </c>
      <c r="F14" s="17">
        <f t="shared" si="4"/>
        <v>0.17696077297032553</v>
      </c>
      <c r="G14" s="17">
        <f t="shared" si="4"/>
        <v>1.9596881407664091</v>
      </c>
      <c r="H14" s="17">
        <f t="shared" si="4"/>
        <v>0.28748483426586624</v>
      </c>
      <c r="I14" s="17">
        <f t="shared" si="4"/>
        <v>0.51635405352010921</v>
      </c>
      <c r="J14" s="17">
        <f t="shared" si="4"/>
        <v>0.43508291230859908</v>
      </c>
      <c r="K14" s="17">
        <f t="shared" si="4"/>
        <v>0.32564823762022987</v>
      </c>
      <c r="L14" s="17">
        <f t="shared" si="4"/>
        <v>1.7780746814652693E-2</v>
      </c>
      <c r="M14" s="17" t="str">
        <f t="shared" si="4"/>
        <v/>
      </c>
      <c r="N14" s="17" t="str">
        <f t="shared" si="4"/>
        <v/>
      </c>
      <c r="O14" s="17" t="str">
        <f t="shared" si="4"/>
        <v/>
      </c>
      <c r="Q14" s="32"/>
      <c r="R14" s="14"/>
      <c r="S14" s="14"/>
      <c r="T14" s="14"/>
      <c r="U14" s="14"/>
      <c r="V14" s="14"/>
      <c r="W14" s="14"/>
      <c r="X14" s="14"/>
      <c r="Y14" s="14"/>
      <c r="Z14" s="14"/>
      <c r="AA14" s="14"/>
      <c r="AB14" s="14"/>
      <c r="AC14" s="14"/>
    </row>
    <row r="15" spans="2:29" x14ac:dyDescent="0.25">
      <c r="B15" s="281"/>
      <c r="C15" s="12" t="s">
        <v>21</v>
      </c>
      <c r="D15" s="17">
        <f t="shared" ref="D15:O15" si="5">IFERROR(D10-R10,"")</f>
        <v>-1.0254151042046978E-2</v>
      </c>
      <c r="E15" s="17">
        <f t="shared" si="5"/>
        <v>-1.7464030336045502E-3</v>
      </c>
      <c r="F15" s="17">
        <f t="shared" si="5"/>
        <v>-1.9222934693060301E-3</v>
      </c>
      <c r="G15" s="17">
        <f t="shared" si="5"/>
        <v>-1.4568143225003889E-2</v>
      </c>
      <c r="H15" s="17">
        <f t="shared" si="5"/>
        <v>-6.9550398863033568E-3</v>
      </c>
      <c r="I15" s="17">
        <f t="shared" si="5"/>
        <v>-9.866190054230721E-3</v>
      </c>
      <c r="J15" s="17">
        <f t="shared" si="5"/>
        <v>-7.2846858816245676E-3</v>
      </c>
      <c r="K15" s="17">
        <f t="shared" si="5"/>
        <v>-3.1152510305103888E-3</v>
      </c>
      <c r="L15" s="17">
        <f t="shared" si="5"/>
        <v>-1.1027700436856899E-3</v>
      </c>
      <c r="M15" s="17" t="str">
        <f t="shared" si="5"/>
        <v/>
      </c>
      <c r="N15" s="17" t="str">
        <f t="shared" si="5"/>
        <v/>
      </c>
      <c r="O15" s="17" t="str">
        <f t="shared" si="5"/>
        <v/>
      </c>
      <c r="Q15" s="32"/>
      <c r="R15" s="14"/>
      <c r="S15" s="14"/>
      <c r="T15" s="14"/>
      <c r="U15" s="14"/>
      <c r="V15" s="14"/>
      <c r="W15" s="14"/>
      <c r="X15" s="14"/>
      <c r="Y15" s="14"/>
      <c r="Z15" s="14"/>
      <c r="AA15" s="14"/>
      <c r="AB15" s="14"/>
      <c r="AC15" s="14"/>
    </row>
    <row r="16" spans="2:29" x14ac:dyDescent="0.25">
      <c r="B16" s="283"/>
      <c r="C16" s="12" t="s">
        <v>22</v>
      </c>
      <c r="D16" s="17">
        <f t="shared" ref="D16:O16" si="6">IFERROR(D11/R11-1,"")</f>
        <v>9.6603468699348216E-2</v>
      </c>
      <c r="E16" s="17">
        <f t="shared" si="6"/>
        <v>0.10753281446800056</v>
      </c>
      <c r="F16" s="17">
        <f t="shared" si="6"/>
        <v>8.8582198184893546E-2</v>
      </c>
      <c r="G16" s="17">
        <f t="shared" si="6"/>
        <v>4.1643135362308792E-2</v>
      </c>
      <c r="H16" s="17">
        <f t="shared" si="6"/>
        <v>1.7174563700050438E-2</v>
      </c>
      <c r="I16" s="17">
        <f t="shared" si="6"/>
        <v>4.4271325046716825E-2</v>
      </c>
      <c r="J16" s="17">
        <f t="shared" si="6"/>
        <v>3.2845836063440048E-2</v>
      </c>
      <c r="K16" s="17">
        <f t="shared" si="6"/>
        <v>-7.0079899498126652E-3</v>
      </c>
      <c r="L16" s="17">
        <f t="shared" si="6"/>
        <v>4.9660275013392319E-2</v>
      </c>
      <c r="M16" s="17" t="str">
        <f t="shared" si="6"/>
        <v/>
      </c>
      <c r="N16" s="17" t="str">
        <f t="shared" si="6"/>
        <v/>
      </c>
      <c r="O16" s="17" t="str">
        <f t="shared" si="6"/>
        <v/>
      </c>
      <c r="Q16" s="32"/>
      <c r="R16" s="14"/>
      <c r="S16" s="14"/>
      <c r="T16" s="14"/>
      <c r="U16" s="14"/>
      <c r="V16" s="14"/>
      <c r="W16" s="14"/>
      <c r="X16" s="14"/>
      <c r="Y16" s="14"/>
      <c r="Z16" s="14"/>
      <c r="AA16" s="14"/>
      <c r="AB16" s="14"/>
      <c r="AC16" s="14"/>
    </row>
    <row r="19" spans="2:29" s="5" customFormat="1" ht="23.5" customHeight="1" x14ac:dyDescent="0.25">
      <c r="B19" s="270" t="s">
        <v>109</v>
      </c>
      <c r="C19" s="271"/>
      <c r="D19" s="271"/>
      <c r="E19" s="271"/>
      <c r="F19" s="271"/>
      <c r="N19" s="6"/>
      <c r="O19" s="6"/>
      <c r="P19" s="6"/>
    </row>
    <row r="21" spans="2:29" ht="16.25" customHeight="1" x14ac:dyDescent="0.25">
      <c r="B21" s="272" t="s">
        <v>110</v>
      </c>
      <c r="C21" s="273"/>
      <c r="D21" s="273"/>
      <c r="E21" s="273"/>
      <c r="F21" s="273"/>
      <c r="G21" s="273"/>
      <c r="H21" s="273"/>
      <c r="I21" s="273"/>
      <c r="J21" s="273"/>
      <c r="K21" s="273"/>
      <c r="L21" s="273"/>
      <c r="M21" s="273"/>
      <c r="N21" s="273"/>
      <c r="O21" s="274"/>
      <c r="Q21" s="299" t="s">
        <v>111</v>
      </c>
      <c r="R21" s="273"/>
      <c r="S21" s="273"/>
      <c r="T21" s="273"/>
      <c r="U21" s="273"/>
      <c r="V21" s="273"/>
      <c r="W21" s="273"/>
      <c r="X21" s="273"/>
      <c r="Y21" s="273"/>
      <c r="Z21" s="273"/>
      <c r="AA21" s="273"/>
      <c r="AB21" s="273"/>
      <c r="AC21" s="274"/>
    </row>
    <row r="22" spans="2:29" ht="16.25" customHeight="1" x14ac:dyDescent="0.25">
      <c r="B22" s="10"/>
      <c r="C22" s="10"/>
      <c r="D22" s="30">
        <v>2023.01</v>
      </c>
      <c r="E22" s="30">
        <v>2023.02</v>
      </c>
      <c r="F22" s="30">
        <v>2023.03</v>
      </c>
      <c r="G22" s="30">
        <v>2023.04</v>
      </c>
      <c r="H22" s="30">
        <v>2023.05</v>
      </c>
      <c r="I22" s="30">
        <v>2023.06</v>
      </c>
      <c r="J22" s="30">
        <v>2023.07</v>
      </c>
      <c r="K22" s="30">
        <v>2023.08</v>
      </c>
      <c r="L22" s="30">
        <v>2023.09</v>
      </c>
      <c r="M22" s="30">
        <v>2023.1</v>
      </c>
      <c r="N22" s="30">
        <v>2023.11</v>
      </c>
      <c r="O22" s="30">
        <v>2023.12</v>
      </c>
      <c r="Q22" s="11"/>
      <c r="R22" s="11" t="s">
        <v>4</v>
      </c>
      <c r="S22" s="11" t="s">
        <v>5</v>
      </c>
      <c r="T22" s="11" t="s">
        <v>6</v>
      </c>
      <c r="U22" s="11" t="s">
        <v>7</v>
      </c>
      <c r="V22" s="11" t="s">
        <v>8</v>
      </c>
      <c r="W22" s="11" t="s">
        <v>9</v>
      </c>
      <c r="X22" s="11" t="s">
        <v>10</v>
      </c>
      <c r="Y22" s="11" t="s">
        <v>11</v>
      </c>
      <c r="Z22" s="11" t="s">
        <v>12</v>
      </c>
      <c r="AA22" s="11" t="s">
        <v>13</v>
      </c>
      <c r="AB22" s="11" t="s">
        <v>14</v>
      </c>
      <c r="AC22" s="11" t="s">
        <v>15</v>
      </c>
    </row>
    <row r="23" spans="2:29" x14ac:dyDescent="0.25">
      <c r="B23" s="277" t="s">
        <v>16</v>
      </c>
      <c r="C23" s="12" t="s">
        <v>112</v>
      </c>
      <c r="D23" s="16">
        <f>IFERROR(VLOOKUP("咖啡机"&amp;"-"&amp;D6,dat_nespresso_mkt_overview!$C:$AB,17,0),"")</f>
        <v>26495284</v>
      </c>
      <c r="E23" s="16">
        <f>IFERROR(VLOOKUP("咖啡机"&amp;"-"&amp;E6,dat_nespresso_mkt_overview!$C:$AB,17,0),"")</f>
        <v>28451863</v>
      </c>
      <c r="F23" s="16">
        <f>IFERROR(VLOOKUP("咖啡机"&amp;"-"&amp;F6,dat_nespresso_mkt_overview!$C:$AB,17,0),"")</f>
        <v>40910165</v>
      </c>
      <c r="G23" s="16">
        <f>IFERROR(VLOOKUP("咖啡机"&amp;"-"&amp;G6,dat_nespresso_mkt_overview!$C:$AB,17,0),"")</f>
        <v>30006169</v>
      </c>
      <c r="H23" s="16">
        <f>IFERROR(VLOOKUP("咖啡机"&amp;"-"&amp;H6,dat_nespresso_mkt_overview!$C:$AB,17,0),"")</f>
        <v>53541314</v>
      </c>
      <c r="I23" s="16">
        <f>IFERROR(VLOOKUP("咖啡机"&amp;"-"&amp;I6,dat_nespresso_mkt_overview!$C:$AB,17,0),"")</f>
        <v>70723126</v>
      </c>
      <c r="J23" s="16">
        <f>IFERROR(VLOOKUP("咖啡机"&amp;"-"&amp;J6,dat_nespresso_mkt_overview!$C:$AB,17,0),"")</f>
        <v>20230214</v>
      </c>
      <c r="K23" s="16">
        <f>IFERROR(VLOOKUP("咖啡机"&amp;"-"&amp;K6,dat_nespresso_mkt_overview!$C:$AB,17,0),"")</f>
        <v>33184425</v>
      </c>
      <c r="L23" s="16">
        <f>IFERROR(VLOOKUP("咖啡机"&amp;"-"&amp;L6,dat_nespresso_mkt_overview!$C:$AB,17,0),"")</f>
        <v>32972765</v>
      </c>
      <c r="M23" s="16" t="str">
        <f>IFERROR(VLOOKUP("咖啡机"&amp;"-"&amp;M6,dat_nespresso_mkt_overview!$C:$AB,17,0),"")</f>
        <v/>
      </c>
      <c r="N23" s="16" t="str">
        <f>IFERROR(VLOOKUP("咖啡机"&amp;"-"&amp;N6,dat_nespresso_mkt_overview!$C:$AB,17,0),"")</f>
        <v/>
      </c>
      <c r="O23" s="16">
        <v>40240574</v>
      </c>
      <c r="Q23" s="15" t="s">
        <v>112</v>
      </c>
      <c r="R23" s="16">
        <v>35418578</v>
      </c>
      <c r="S23" s="16">
        <v>25478029</v>
      </c>
      <c r="T23" s="16">
        <v>38701622</v>
      </c>
      <c r="U23" s="16">
        <v>29747223</v>
      </c>
      <c r="V23" s="16">
        <v>56470600</v>
      </c>
      <c r="W23" s="16">
        <v>67916734</v>
      </c>
      <c r="X23" s="16">
        <v>23997777</v>
      </c>
      <c r="Y23" s="16">
        <v>29747980</v>
      </c>
      <c r="Z23" s="16">
        <v>33030706</v>
      </c>
      <c r="AA23" s="16">
        <v>69062301</v>
      </c>
      <c r="AB23" s="16">
        <v>89269969</v>
      </c>
      <c r="AC23" s="16">
        <v>39147558</v>
      </c>
    </row>
    <row r="24" spans="2:29" x14ac:dyDescent="0.25">
      <c r="B24" s="281"/>
      <c r="C24" s="12" t="s">
        <v>113</v>
      </c>
      <c r="D24" s="16">
        <f>IFERROR(VLOOKUP("咖啡机"&amp;"-"&amp;D6,dat_nespresso_mkt_overview!$C:$AB,22,0),"")</f>
        <v>7226348</v>
      </c>
      <c r="E24" s="16">
        <f>IFERROR(VLOOKUP("咖啡机"&amp;"-"&amp;E6,dat_nespresso_mkt_overview!$C:$AB,22,0),"")</f>
        <v>8777354</v>
      </c>
      <c r="F24" s="16">
        <f>IFERROR(VLOOKUP("咖啡机"&amp;"-"&amp;F6,dat_nespresso_mkt_overview!$C:$AB,22,0),"")</f>
        <v>14808058</v>
      </c>
      <c r="G24" s="16">
        <f>IFERROR(VLOOKUP("咖啡机"&amp;"-"&amp;G6,dat_nespresso_mkt_overview!$C:$AB,22,0),"")</f>
        <v>9356429</v>
      </c>
      <c r="H24" s="16">
        <f>IFERROR(VLOOKUP("咖啡机"&amp;"-"&amp;H6,dat_nespresso_mkt_overview!$C:$AB,22,0),"")</f>
        <v>19058594</v>
      </c>
      <c r="I24" s="16">
        <f>IFERROR(VLOOKUP("咖啡机"&amp;"-"&amp;I6,dat_nespresso_mkt_overview!$C:$AB,22,0),"")</f>
        <v>23928381</v>
      </c>
      <c r="J24" s="16">
        <f>IFERROR(VLOOKUP("咖啡机"&amp;"-"&amp;J6,dat_nespresso_mkt_overview!$C:$AB,22,0),"")</f>
        <v>6765674</v>
      </c>
      <c r="K24" s="16">
        <f>IFERROR(VLOOKUP("咖啡机"&amp;"-"&amp;K6,dat_nespresso_mkt_overview!$C:$AB,22,0),"")</f>
        <v>9788325</v>
      </c>
      <c r="L24" s="16">
        <f>IFERROR(VLOOKUP("咖啡机"&amp;"-"&amp;L6,dat_nespresso_mkt_overview!$C:$AB,22,0),"")</f>
        <v>9719298</v>
      </c>
      <c r="M24" s="16" t="str">
        <f>IFERROR(VLOOKUP("咖啡机"&amp;"-"&amp;M6,dat_nespresso_mkt_overview!$C:$AB,22,0),"")</f>
        <v/>
      </c>
      <c r="N24" s="16" t="str">
        <f>IFERROR(VLOOKUP("咖啡机"&amp;"-"&amp;N6,dat_nespresso_mkt_overview!$C:$AB,22,0),"")</f>
        <v/>
      </c>
      <c r="O24" s="16">
        <v>12192892</v>
      </c>
      <c r="Q24" s="15" t="s">
        <v>113</v>
      </c>
      <c r="R24" s="16">
        <v>12202981</v>
      </c>
      <c r="S24" s="16">
        <v>8035523</v>
      </c>
      <c r="T24" s="16">
        <v>11219905</v>
      </c>
      <c r="U24" s="16">
        <v>6894398</v>
      </c>
      <c r="V24" s="16">
        <v>20433771</v>
      </c>
      <c r="W24" s="16">
        <v>21541923</v>
      </c>
      <c r="X24" s="16">
        <v>6348911</v>
      </c>
      <c r="Y24" s="16">
        <v>9317674</v>
      </c>
      <c r="Z24" s="16">
        <v>11350436</v>
      </c>
      <c r="AA24" s="16">
        <v>30611003</v>
      </c>
      <c r="AB24" s="16">
        <v>31705740</v>
      </c>
      <c r="AC24" s="16">
        <v>14680409</v>
      </c>
    </row>
    <row r="25" spans="2:29" x14ac:dyDescent="0.25">
      <c r="B25" s="281"/>
      <c r="C25" s="12" t="s">
        <v>114</v>
      </c>
      <c r="D25" s="16">
        <f>IFERROR(VLOOKUP("咖啡机"&amp;"-"&amp;D6,dat_nespresso_mkt_overview!$C:$AB,23,0),"")</f>
        <v>6820553</v>
      </c>
      <c r="E25" s="16">
        <f>IFERROR(VLOOKUP("咖啡机"&amp;"-"&amp;E6,dat_nespresso_mkt_overview!$C:$AB,23,0),"")</f>
        <v>8009290</v>
      </c>
      <c r="F25" s="16">
        <f>IFERROR(VLOOKUP("咖啡机"&amp;"-"&amp;F6,dat_nespresso_mkt_overview!$C:$AB,23,0),"")</f>
        <v>9413472</v>
      </c>
      <c r="G25" s="16">
        <f>IFERROR(VLOOKUP("咖啡机"&amp;"-"&amp;G6,dat_nespresso_mkt_overview!$C:$AB,23,0),"")</f>
        <v>8001485</v>
      </c>
      <c r="H25" s="16">
        <f>IFERROR(VLOOKUP("咖啡机"&amp;"-"&amp;H6,dat_nespresso_mkt_overview!$C:$AB,23,0),"")</f>
        <v>13857275</v>
      </c>
      <c r="I25" s="16">
        <f>IFERROR(VLOOKUP("咖啡机"&amp;"-"&amp;I6,dat_nespresso_mkt_overview!$C:$AB,23,0),"")</f>
        <v>17104374</v>
      </c>
      <c r="J25" s="16">
        <f>IFERROR(VLOOKUP("咖啡机"&amp;"-"&amp;J6,dat_nespresso_mkt_overview!$C:$AB,23,0),"")</f>
        <v>6354730</v>
      </c>
      <c r="K25" s="16">
        <f>IFERROR(VLOOKUP("咖啡机"&amp;"-"&amp;K6,dat_nespresso_mkt_overview!$C:$AB,23,0),"")</f>
        <v>9611392</v>
      </c>
      <c r="L25" s="16">
        <f>IFERROR(VLOOKUP("咖啡机"&amp;"-"&amp;L6,dat_nespresso_mkt_overview!$C:$AB,23,0),"")</f>
        <v>9686387</v>
      </c>
      <c r="M25" s="16" t="str">
        <f>IFERROR(VLOOKUP("咖啡机"&amp;"-"&amp;M6,dat_nespresso_mkt_overview!$C:$AB,23,0),"")</f>
        <v/>
      </c>
      <c r="N25" s="16" t="str">
        <f>IFERROR(VLOOKUP("咖啡机"&amp;"-"&amp;N6,dat_nespresso_mkt_overview!$C:$AB,23,0),"")</f>
        <v/>
      </c>
      <c r="O25" s="16">
        <v>9954125</v>
      </c>
      <c r="Q25" s="15" t="s">
        <v>114</v>
      </c>
      <c r="R25" s="16">
        <v>7015445</v>
      </c>
      <c r="S25" s="16">
        <v>4973590</v>
      </c>
      <c r="T25" s="16">
        <v>9251751</v>
      </c>
      <c r="U25" s="16">
        <v>6757397</v>
      </c>
      <c r="V25" s="16">
        <v>16022173</v>
      </c>
      <c r="W25" s="16">
        <v>17375362</v>
      </c>
      <c r="X25" s="16">
        <v>6330313</v>
      </c>
      <c r="Y25" s="16">
        <v>8190004</v>
      </c>
      <c r="Z25" s="16">
        <v>10147911</v>
      </c>
      <c r="AA25" s="16">
        <v>24202266</v>
      </c>
      <c r="AB25" s="16">
        <v>23178943</v>
      </c>
      <c r="AC25" s="16">
        <v>11101500</v>
      </c>
    </row>
    <row r="26" spans="2:29" x14ac:dyDescent="0.25">
      <c r="B26" s="281"/>
      <c r="C26" s="12" t="s">
        <v>115</v>
      </c>
      <c r="D26" s="16">
        <f>IFERROR(VLOOKUP("咖啡机"&amp;"-"&amp;D6,dat_nespresso_mkt_overview!$C:$AB,25,0),"")</f>
        <v>27230489</v>
      </c>
      <c r="E26" s="16">
        <f>IFERROR(VLOOKUP("咖啡机"&amp;"-"&amp;E6,dat_nespresso_mkt_overview!$C:$AB,25,0),"")</f>
        <v>35751109</v>
      </c>
      <c r="F26" s="16">
        <f>IFERROR(VLOOKUP("咖啡机"&amp;"-"&amp;F6,dat_nespresso_mkt_overview!$C:$AB,25,0),"")</f>
        <v>42516978</v>
      </c>
      <c r="G26" s="16">
        <f>IFERROR(VLOOKUP("咖啡机"&amp;"-"&amp;G6,dat_nespresso_mkt_overview!$C:$AB,25,0),"")</f>
        <v>34741926</v>
      </c>
      <c r="H26" s="16">
        <f>IFERROR(VLOOKUP("咖啡机"&amp;"-"&amp;H6,dat_nespresso_mkt_overview!$C:$AB,25,0),"")</f>
        <v>56203347</v>
      </c>
      <c r="I26" s="16">
        <f>IFERROR(VLOOKUP("咖啡机"&amp;"-"&amp;I6,dat_nespresso_mkt_overview!$C:$AB,25,0),"")</f>
        <v>72249761</v>
      </c>
      <c r="J26" s="16">
        <f>IFERROR(VLOOKUP("咖啡机"&amp;"-"&amp;J6,dat_nespresso_mkt_overview!$C:$AB,25,0),"")</f>
        <v>27019477</v>
      </c>
      <c r="K26" s="16">
        <f>IFERROR(VLOOKUP("咖啡机"&amp;"-"&amp;K6,dat_nespresso_mkt_overview!$C:$AB,25,0),"")</f>
        <v>35582414</v>
      </c>
      <c r="L26" s="16">
        <f>IFERROR(VLOOKUP("咖啡机"&amp;"-"&amp;L6,dat_nespresso_mkt_overview!$C:$AB,25,0),"")</f>
        <v>32690478</v>
      </c>
      <c r="M26" s="16" t="str">
        <f>IFERROR(VLOOKUP("咖啡机"&amp;"-"&amp;M6,dat_nespresso_mkt_overview!$C:$AB,25,0),"")</f>
        <v/>
      </c>
      <c r="N26" s="16" t="str">
        <f>IFERROR(VLOOKUP("咖啡机"&amp;"-"&amp;N6,dat_nespresso_mkt_overview!$C:$AB,25,0),"")</f>
        <v/>
      </c>
      <c r="O26" s="16">
        <f>SUM(dat_nespresso_mkt_rk_brand!G5:G11)</f>
        <v>37494044</v>
      </c>
      <c r="Q26" s="15" t="s">
        <v>115</v>
      </c>
      <c r="R26" s="16">
        <v>30201362</v>
      </c>
      <c r="S26" s="16">
        <v>22107804</v>
      </c>
      <c r="T26" s="16">
        <v>37721001</v>
      </c>
      <c r="U26" s="16">
        <v>36139157</v>
      </c>
      <c r="V26" s="16">
        <v>64991486</v>
      </c>
      <c r="W26" s="16">
        <v>75639360</v>
      </c>
      <c r="X26" s="16">
        <v>28874687</v>
      </c>
      <c r="Y26" s="16">
        <v>35795189</v>
      </c>
      <c r="Z26" s="16">
        <v>39105545</v>
      </c>
      <c r="AA26" s="16">
        <v>82534305</v>
      </c>
      <c r="AB26" s="16">
        <v>93846044</v>
      </c>
      <c r="AC26" s="16">
        <v>48993358</v>
      </c>
    </row>
    <row r="27" spans="2:29" x14ac:dyDescent="0.25">
      <c r="B27" s="281"/>
      <c r="C27" s="12" t="s">
        <v>116</v>
      </c>
      <c r="D27" s="16">
        <f>IFERROR(VLOOKUP("咖啡机"&amp;"-"&amp;D6,dat_nespresso_mkt_overview!$C:$AB,26,0),"")</f>
        <v>12395995</v>
      </c>
      <c r="E27" s="16">
        <f>IFERROR(VLOOKUP("咖啡机"&amp;"-"&amp;E6,dat_nespresso_mkt_overview!$C:$AB,26,0),"")</f>
        <v>19121158</v>
      </c>
      <c r="F27" s="16">
        <f>IFERROR(VLOOKUP("咖啡机"&amp;"-"&amp;F6,dat_nespresso_mkt_overview!$C:$AB,26,0),"")</f>
        <v>21975642</v>
      </c>
      <c r="G27" s="16">
        <f>IFERROR(VLOOKUP("咖啡机"&amp;"-"&amp;G6,dat_nespresso_mkt_overview!$C:$AB,26,0),"")</f>
        <v>23595995</v>
      </c>
      <c r="H27" s="16">
        <f>IFERROR(VLOOKUP("咖啡机"&amp;"-"&amp;H6,dat_nespresso_mkt_overview!$C:$AB,26,0),"")</f>
        <v>28426462</v>
      </c>
      <c r="I27" s="16">
        <f>IFERROR(VLOOKUP("咖啡机"&amp;"-"&amp;I6,dat_nespresso_mkt_overview!$C:$AB,26,0),"")</f>
        <v>34668640</v>
      </c>
      <c r="J27" s="16">
        <f>IFERROR(VLOOKUP("咖啡机"&amp;"-"&amp;J6,dat_nespresso_mkt_overview!$C:$AB,26,0),"")</f>
        <v>17314032</v>
      </c>
      <c r="K27" s="16">
        <f>IFERROR(VLOOKUP("咖啡机"&amp;"-"&amp;K6,dat_nespresso_mkt_overview!$C:$AB,26,0),"")</f>
        <v>22464764</v>
      </c>
      <c r="L27" s="16">
        <f>IFERROR(VLOOKUP("咖啡机"&amp;"-"&amp;L6,dat_nespresso_mkt_overview!$C:$AB,26,0),"")</f>
        <v>21905129</v>
      </c>
      <c r="M27" s="16" t="str">
        <f>IFERROR(VLOOKUP("咖啡机"&amp;"-"&amp;M6,dat_nespresso_mkt_overview!$C:$AB,26,0),"")</f>
        <v/>
      </c>
      <c r="N27" s="16" t="str">
        <f>IFERROR(VLOOKUP("咖啡机"&amp;"-"&amp;N6,dat_nespresso_mkt_overview!$C:$AB,26,0),"")</f>
        <v/>
      </c>
      <c r="O27" s="16">
        <f>SUM(dat_nespresso_mkt_rk_brand!G12:G20)</f>
        <v>20091452</v>
      </c>
      <c r="P27" s="39">
        <f>SUM(O23:O27)</f>
        <v>119973087</v>
      </c>
      <c r="Q27" s="15" t="s">
        <v>116</v>
      </c>
      <c r="R27" s="16">
        <v>16614939</v>
      </c>
      <c r="S27" s="16">
        <v>13726069</v>
      </c>
      <c r="T27" s="16">
        <v>17472104</v>
      </c>
      <c r="U27" s="16">
        <v>17035152</v>
      </c>
      <c r="V27" s="16">
        <v>22774236</v>
      </c>
      <c r="W27" s="16">
        <v>26270736</v>
      </c>
      <c r="X27" s="16">
        <v>13772695</v>
      </c>
      <c r="Y27" s="16">
        <v>16075787</v>
      </c>
      <c r="Z27" s="16">
        <v>16549755</v>
      </c>
      <c r="AA27" s="16">
        <v>28997276</v>
      </c>
      <c r="AB27" s="16">
        <v>35413919</v>
      </c>
      <c r="AC27" s="16">
        <v>20107371</v>
      </c>
    </row>
    <row r="28" spans="2:29" x14ac:dyDescent="0.25">
      <c r="B28" s="283"/>
      <c r="C28" s="12" t="s">
        <v>117</v>
      </c>
      <c r="D28" s="19">
        <f t="shared" ref="D28:N28" si="7">IFERROR(D7-SUM(D23:D27),"")</f>
        <v>17325695</v>
      </c>
      <c r="E28" s="19">
        <f t="shared" si="7"/>
        <v>27438510</v>
      </c>
      <c r="F28" s="19">
        <f t="shared" si="7"/>
        <v>34550563</v>
      </c>
      <c r="G28" s="19">
        <f t="shared" si="7"/>
        <v>33649901</v>
      </c>
      <c r="H28" s="19">
        <f t="shared" si="7"/>
        <v>39657311</v>
      </c>
      <c r="I28" s="19">
        <f t="shared" si="7"/>
        <v>47473843</v>
      </c>
      <c r="J28" s="19">
        <f t="shared" si="7"/>
        <v>27759096</v>
      </c>
      <c r="K28" s="19">
        <f t="shared" si="7"/>
        <v>35854540</v>
      </c>
      <c r="L28" s="19">
        <f t="shared" si="7"/>
        <v>33362453</v>
      </c>
      <c r="M28" s="19" t="str">
        <f t="shared" si="7"/>
        <v/>
      </c>
      <c r="N28" s="19" t="str">
        <f t="shared" si="7"/>
        <v/>
      </c>
      <c r="O28" s="19">
        <f>SUM(dat_nespresso_mkt_rk_brand!G12:G51)</f>
        <v>42902876</v>
      </c>
      <c r="Q28" s="15" t="s">
        <v>117</v>
      </c>
      <c r="R28" s="16">
        <f t="shared" ref="R28:AC28" si="8">R7-SUM(R23:R27)</f>
        <v>22202951</v>
      </c>
      <c r="S28" s="16">
        <f t="shared" si="8"/>
        <v>19262965</v>
      </c>
      <c r="T28" s="16">
        <f t="shared" si="8"/>
        <v>28390305</v>
      </c>
      <c r="U28" s="16">
        <f t="shared" si="8"/>
        <v>25010702</v>
      </c>
      <c r="V28" s="16">
        <f t="shared" si="8"/>
        <v>33299523</v>
      </c>
      <c r="W28" s="16">
        <f t="shared" si="8"/>
        <v>35423089</v>
      </c>
      <c r="X28" s="16">
        <f t="shared" si="8"/>
        <v>22235099</v>
      </c>
      <c r="Y28" s="16">
        <f t="shared" si="8"/>
        <v>28443707</v>
      </c>
      <c r="Z28" s="16">
        <f t="shared" si="8"/>
        <v>28152756</v>
      </c>
      <c r="AA28" s="16">
        <f t="shared" si="8"/>
        <v>36614641</v>
      </c>
      <c r="AB28" s="16">
        <f t="shared" si="8"/>
        <v>47496719</v>
      </c>
      <c r="AC28" s="16">
        <f t="shared" si="8"/>
        <v>31599085</v>
      </c>
    </row>
    <row r="29" spans="2:29" x14ac:dyDescent="0.25">
      <c r="B29" s="277" t="s">
        <v>33</v>
      </c>
      <c r="C29" s="12" t="s">
        <v>112</v>
      </c>
      <c r="D29" s="33">
        <f t="shared" ref="D29:O29" si="9">IFERROR(D23/D$7,"")</f>
        <v>0.27176221181359778</v>
      </c>
      <c r="E29" s="33">
        <f t="shared" si="9"/>
        <v>0.22306564261074174</v>
      </c>
      <c r="F29" s="33">
        <f t="shared" si="9"/>
        <v>0.24918651074009021</v>
      </c>
      <c r="G29" s="33">
        <f t="shared" si="9"/>
        <v>0.21532657913790271</v>
      </c>
      <c r="H29" s="33">
        <f t="shared" si="9"/>
        <v>0.25405817968896649</v>
      </c>
      <c r="I29" s="33">
        <f t="shared" si="9"/>
        <v>0.26572843975511756</v>
      </c>
      <c r="J29" s="33">
        <f t="shared" si="9"/>
        <v>0.19185883572621826</v>
      </c>
      <c r="K29" s="33">
        <f t="shared" si="9"/>
        <v>0.22653671146143389</v>
      </c>
      <c r="L29" s="33">
        <f t="shared" si="9"/>
        <v>0.23495500208748243</v>
      </c>
      <c r="M29" s="33" t="str">
        <f t="shared" si="9"/>
        <v/>
      </c>
      <c r="N29" s="33" t="str">
        <f t="shared" si="9"/>
        <v/>
      </c>
      <c r="O29" s="33" t="str">
        <f t="shared" si="9"/>
        <v/>
      </c>
      <c r="Q29" s="14"/>
      <c r="R29" s="14"/>
      <c r="S29" s="14"/>
      <c r="T29" s="14"/>
      <c r="U29" s="14"/>
      <c r="V29" s="14"/>
      <c r="W29" s="14"/>
      <c r="X29" s="14"/>
      <c r="Y29" s="14"/>
      <c r="Z29" s="14"/>
      <c r="AA29" s="14"/>
      <c r="AB29" s="14"/>
      <c r="AC29" s="14"/>
    </row>
    <row r="30" spans="2:29" x14ac:dyDescent="0.25">
      <c r="B30" s="281"/>
      <c r="C30" s="12" t="s">
        <v>113</v>
      </c>
      <c r="D30" s="33">
        <f t="shared" ref="D30:O30" si="10">IFERROR(D24/D$7,"")</f>
        <v>7.4120674298670225E-2</v>
      </c>
      <c r="E30" s="33">
        <f t="shared" si="10"/>
        <v>6.8815392174212439E-2</v>
      </c>
      <c r="F30" s="33">
        <f t="shared" si="10"/>
        <v>9.0196857036799499E-2</v>
      </c>
      <c r="G30" s="33">
        <f t="shared" si="10"/>
        <v>6.7142454923741449E-2</v>
      </c>
      <c r="H30" s="33">
        <f t="shared" si="10"/>
        <v>9.0434681880819337E-2</v>
      </c>
      <c r="I30" s="33">
        <f t="shared" si="10"/>
        <v>8.9906254271000408E-2</v>
      </c>
      <c r="J30" s="33">
        <f t="shared" si="10"/>
        <v>6.4164142630579499E-2</v>
      </c>
      <c r="K30" s="33">
        <f t="shared" si="10"/>
        <v>6.6820954595890686E-2</v>
      </c>
      <c r="L30" s="33">
        <f t="shared" si="10"/>
        <v>6.9257087838367939E-2</v>
      </c>
      <c r="M30" s="33" t="str">
        <f t="shared" si="10"/>
        <v/>
      </c>
      <c r="N30" s="33" t="str">
        <f t="shared" si="10"/>
        <v/>
      </c>
      <c r="O30" s="33" t="str">
        <f t="shared" si="10"/>
        <v/>
      </c>
      <c r="Q30" s="14"/>
      <c r="R30" s="14"/>
      <c r="S30" s="14"/>
      <c r="T30" s="14"/>
      <c r="U30" s="14"/>
      <c r="V30" s="14"/>
      <c r="W30" s="14"/>
      <c r="X30" s="14"/>
      <c r="Y30" s="14"/>
      <c r="Z30" s="14"/>
      <c r="AA30" s="14"/>
      <c r="AB30" s="14"/>
      <c r="AC30" s="14"/>
    </row>
    <row r="31" spans="2:29" x14ac:dyDescent="0.25">
      <c r="B31" s="281"/>
      <c r="C31" s="12" t="s">
        <v>114</v>
      </c>
      <c r="D31" s="33">
        <f t="shared" ref="D31:O31" si="11">IFERROR(D25/D$7,"")</f>
        <v>6.9958433699818787E-2</v>
      </c>
      <c r="E31" s="33">
        <f t="shared" si="11"/>
        <v>6.2793688438109937E-2</v>
      </c>
      <c r="F31" s="33">
        <f t="shared" si="11"/>
        <v>5.7338078241178897E-2</v>
      </c>
      <c r="G31" s="33">
        <f t="shared" si="11"/>
        <v>5.7419272452716025E-2</v>
      </c>
      <c r="H31" s="33">
        <f t="shared" si="11"/>
        <v>6.5753972006541025E-2</v>
      </c>
      <c r="I31" s="33">
        <f t="shared" si="11"/>
        <v>6.4266370465694625E-2</v>
      </c>
      <c r="J31" s="33">
        <f t="shared" si="11"/>
        <v>6.0266841426119912E-2</v>
      </c>
      <c r="K31" s="33">
        <f t="shared" si="11"/>
        <v>6.5613104227261257E-2</v>
      </c>
      <c r="L31" s="33">
        <f t="shared" si="11"/>
        <v>6.9022572956958961E-2</v>
      </c>
      <c r="M31" s="33" t="str">
        <f t="shared" si="11"/>
        <v/>
      </c>
      <c r="N31" s="33" t="str">
        <f t="shared" si="11"/>
        <v/>
      </c>
      <c r="O31" s="33" t="str">
        <f t="shared" si="11"/>
        <v/>
      </c>
      <c r="Q31" s="14"/>
      <c r="R31" s="14"/>
      <c r="S31" s="14"/>
      <c r="T31" s="14"/>
      <c r="U31" s="14"/>
      <c r="V31" s="14"/>
      <c r="W31" s="14"/>
      <c r="X31" s="14"/>
      <c r="Y31" s="14"/>
      <c r="Z31" s="14"/>
      <c r="AA31" s="14"/>
      <c r="AB31" s="14"/>
      <c r="AC31" s="14"/>
    </row>
    <row r="32" spans="2:29" x14ac:dyDescent="0.25">
      <c r="B32" s="281"/>
      <c r="C32" s="12" t="s">
        <v>115</v>
      </c>
      <c r="D32" s="33">
        <f t="shared" ref="D32:O32" si="12">IFERROR(D26/D$7,"")</f>
        <v>0.2793032118246343</v>
      </c>
      <c r="E32" s="33">
        <f t="shared" si="12"/>
        <v>0.28029251030527147</v>
      </c>
      <c r="F32" s="33">
        <f t="shared" si="12"/>
        <v>0.25897371460205987</v>
      </c>
      <c r="G32" s="33">
        <f t="shared" si="12"/>
        <v>0.24931073601039039</v>
      </c>
      <c r="H32" s="33">
        <f t="shared" si="12"/>
        <v>0.26668975720781407</v>
      </c>
      <c r="I32" s="33">
        <f t="shared" si="12"/>
        <v>0.27146447490471709</v>
      </c>
      <c r="J32" s="33">
        <f t="shared" si="12"/>
        <v>0.25624669116952165</v>
      </c>
      <c r="K32" s="33">
        <f t="shared" si="12"/>
        <v>0.2429068170811845</v>
      </c>
      <c r="L32" s="33">
        <f t="shared" si="12"/>
        <v>0.23294350130269023</v>
      </c>
      <c r="M32" s="33" t="str">
        <f t="shared" si="12"/>
        <v/>
      </c>
      <c r="N32" s="33" t="str">
        <f t="shared" si="12"/>
        <v/>
      </c>
      <c r="O32" s="33" t="str">
        <f t="shared" si="12"/>
        <v/>
      </c>
      <c r="Q32" s="14"/>
      <c r="R32" s="14"/>
      <c r="S32" s="14"/>
      <c r="T32" s="14"/>
      <c r="U32" s="14"/>
      <c r="V32" s="14"/>
      <c r="W32" s="14"/>
      <c r="X32" s="14"/>
      <c r="Y32" s="14"/>
      <c r="Z32" s="14"/>
      <c r="AA32" s="14"/>
      <c r="AB32" s="14"/>
      <c r="AC32" s="14"/>
    </row>
    <row r="33" spans="2:29" x14ac:dyDescent="0.25">
      <c r="B33" s="281"/>
      <c r="C33" s="12" t="s">
        <v>116</v>
      </c>
      <c r="D33" s="33">
        <f t="shared" ref="D33:O33" si="13">IFERROR(D27/D$7,"")</f>
        <v>0.12714575993336394</v>
      </c>
      <c r="E33" s="33">
        <f t="shared" si="13"/>
        <v>0.1499119195369219</v>
      </c>
      <c r="F33" s="33">
        <f t="shared" si="13"/>
        <v>0.13385508347994629</v>
      </c>
      <c r="G33" s="33">
        <f t="shared" si="13"/>
        <v>0.16932667694783218</v>
      </c>
      <c r="H33" s="33">
        <f t="shared" si="13"/>
        <v>0.13488602821211257</v>
      </c>
      <c r="I33" s="33">
        <f t="shared" si="13"/>
        <v>0.13026069599400711</v>
      </c>
      <c r="J33" s="33">
        <f t="shared" si="13"/>
        <v>0.16420241630891727</v>
      </c>
      <c r="K33" s="33">
        <f t="shared" si="13"/>
        <v>0.15335790089227724</v>
      </c>
      <c r="L33" s="33">
        <f t="shared" si="13"/>
        <v>0.15609002247526321</v>
      </c>
      <c r="M33" s="33" t="str">
        <f t="shared" si="13"/>
        <v/>
      </c>
      <c r="N33" s="33" t="str">
        <f t="shared" si="13"/>
        <v/>
      </c>
      <c r="O33" s="33" t="str">
        <f t="shared" si="13"/>
        <v/>
      </c>
      <c r="Q33" s="14"/>
      <c r="R33" s="14"/>
      <c r="S33" s="14"/>
      <c r="T33" s="14"/>
      <c r="U33" s="14"/>
      <c r="V33" s="14"/>
      <c r="W33" s="14"/>
      <c r="X33" s="14"/>
      <c r="Y33" s="14"/>
      <c r="Z33" s="14"/>
      <c r="AA33" s="14"/>
      <c r="AB33" s="14"/>
      <c r="AC33" s="14"/>
    </row>
    <row r="34" spans="2:29" x14ac:dyDescent="0.25">
      <c r="B34" s="283"/>
      <c r="C34" s="12" t="s">
        <v>117</v>
      </c>
      <c r="D34" s="33">
        <f t="shared" ref="D34:O34" si="14">IFERROR(D28/D$7,"")</f>
        <v>0.17770970842991499</v>
      </c>
      <c r="E34" s="33">
        <f t="shared" si="14"/>
        <v>0.21512084693474248</v>
      </c>
      <c r="F34" s="33">
        <f t="shared" si="14"/>
        <v>0.21044975589992521</v>
      </c>
      <c r="G34" s="33">
        <f t="shared" si="14"/>
        <v>0.24147428052741726</v>
      </c>
      <c r="H34" s="33">
        <f t="shared" si="14"/>
        <v>0.18817738100374651</v>
      </c>
      <c r="I34" s="33">
        <f t="shared" si="14"/>
        <v>0.17837376460946325</v>
      </c>
      <c r="J34" s="33">
        <f t="shared" si="14"/>
        <v>0.26326107273864341</v>
      </c>
      <c r="K34" s="33">
        <f t="shared" si="14"/>
        <v>0.24476451174195243</v>
      </c>
      <c r="L34" s="33">
        <f t="shared" si="14"/>
        <v>0.23773181333923724</v>
      </c>
      <c r="M34" s="33" t="str">
        <f t="shared" si="14"/>
        <v/>
      </c>
      <c r="N34" s="33" t="str">
        <f t="shared" si="14"/>
        <v/>
      </c>
      <c r="O34" s="33" t="str">
        <f t="shared" si="14"/>
        <v/>
      </c>
      <c r="Q34" s="14"/>
      <c r="R34" s="14"/>
      <c r="S34" s="14"/>
      <c r="T34" s="14"/>
      <c r="U34" s="14"/>
      <c r="V34" s="14"/>
      <c r="W34" s="14"/>
      <c r="X34" s="14"/>
      <c r="Y34" s="14"/>
      <c r="Z34" s="14"/>
      <c r="AA34" s="14"/>
      <c r="AB34" s="14"/>
      <c r="AC34" s="14"/>
    </row>
    <row r="36" spans="2:29" ht="16.25" customHeight="1" x14ac:dyDescent="0.25">
      <c r="B36" s="272" t="s">
        <v>118</v>
      </c>
      <c r="C36" s="273"/>
      <c r="D36" s="273"/>
      <c r="E36" s="273"/>
      <c r="F36" s="273"/>
      <c r="G36" s="273"/>
      <c r="H36" s="273"/>
      <c r="I36" s="273"/>
      <c r="J36" s="273"/>
      <c r="K36" s="273"/>
      <c r="L36" s="273"/>
      <c r="M36" s="273"/>
      <c r="N36" s="273"/>
      <c r="O36" s="274"/>
    </row>
    <row r="37" spans="2:29" ht="16.25" customHeight="1" x14ac:dyDescent="0.25">
      <c r="B37" s="10"/>
      <c r="C37" s="10"/>
      <c r="D37" s="30">
        <v>2023.01</v>
      </c>
      <c r="E37" s="30">
        <v>2023.02</v>
      </c>
      <c r="F37" s="30">
        <v>2023.03</v>
      </c>
      <c r="G37" s="30">
        <v>2023.04</v>
      </c>
      <c r="H37" s="30">
        <v>2023.05</v>
      </c>
      <c r="I37" s="30">
        <v>2023.06</v>
      </c>
      <c r="J37" s="30">
        <v>2023.07</v>
      </c>
      <c r="K37" s="30">
        <v>2023.08</v>
      </c>
      <c r="L37" s="30">
        <v>2023.09</v>
      </c>
      <c r="M37" s="30">
        <v>2023.1</v>
      </c>
      <c r="N37" s="30">
        <v>2023.11</v>
      </c>
      <c r="O37" s="30">
        <v>2023.12</v>
      </c>
    </row>
    <row r="38" spans="2:29" x14ac:dyDescent="0.25">
      <c r="B38" s="276" t="s">
        <v>119</v>
      </c>
      <c r="C38" s="12" t="s">
        <v>120</v>
      </c>
      <c r="D38" s="17">
        <f t="shared" ref="D38:O38" si="15">IFERROR(SUM(D23:D25)/D$7,"")</f>
        <v>0.41584131981208677</v>
      </c>
      <c r="E38" s="17">
        <f t="shared" si="15"/>
        <v>0.35467472322306409</v>
      </c>
      <c r="F38" s="17">
        <f t="shared" si="15"/>
        <v>0.39672144601806864</v>
      </c>
      <c r="G38" s="17">
        <f t="shared" si="15"/>
        <v>0.33988830651436019</v>
      </c>
      <c r="H38" s="17">
        <f t="shared" si="15"/>
        <v>0.41024683357632685</v>
      </c>
      <c r="I38" s="17">
        <f t="shared" si="15"/>
        <v>0.41990106449181258</v>
      </c>
      <c r="J38" s="17">
        <f t="shared" si="15"/>
        <v>0.3162898197829177</v>
      </c>
      <c r="K38" s="17">
        <f t="shared" si="15"/>
        <v>0.35897077028458585</v>
      </c>
      <c r="L38" s="17">
        <f t="shared" si="15"/>
        <v>0.37323466288280932</v>
      </c>
      <c r="M38" s="17" t="str">
        <f t="shared" si="15"/>
        <v/>
      </c>
      <c r="N38" s="17" t="str">
        <f t="shared" si="15"/>
        <v/>
      </c>
      <c r="O38" s="17" t="str">
        <f t="shared" si="15"/>
        <v/>
      </c>
    </row>
    <row r="39" spans="2:29" x14ac:dyDescent="0.25">
      <c r="B39" s="283"/>
      <c r="C39" s="12" t="s">
        <v>121</v>
      </c>
      <c r="D39" s="17">
        <f t="shared" ref="D39:O39" si="16">IFERROR(SUM(R23:R25)/R$7,"")</f>
        <v>0.44184585371887697</v>
      </c>
      <c r="E39" s="17">
        <f t="shared" si="16"/>
        <v>0.41125780288463903</v>
      </c>
      <c r="F39" s="17">
        <f t="shared" si="16"/>
        <v>0.41450441887528239</v>
      </c>
      <c r="G39" s="17">
        <f t="shared" si="16"/>
        <v>0.35694670062299055</v>
      </c>
      <c r="H39" s="17">
        <f t="shared" si="16"/>
        <v>0.43425284883243814</v>
      </c>
      <c r="I39" s="17">
        <f t="shared" si="16"/>
        <v>0.43754450741058576</v>
      </c>
      <c r="J39" s="17">
        <f t="shared" si="16"/>
        <v>0.36113812593096922</v>
      </c>
      <c r="K39" s="17">
        <f t="shared" si="16"/>
        <v>0.37042824867889945</v>
      </c>
      <c r="L39" s="17">
        <f t="shared" si="16"/>
        <v>0.39417516669370328</v>
      </c>
      <c r="M39" s="17">
        <f t="shared" si="16"/>
        <v>0.45538840505837119</v>
      </c>
      <c r="N39" s="17">
        <f t="shared" si="16"/>
        <v>0.44920399103136693</v>
      </c>
      <c r="O39" s="17">
        <f t="shared" si="16"/>
        <v>0.39201683789232894</v>
      </c>
    </row>
    <row r="40" spans="2:29" x14ac:dyDescent="0.25">
      <c r="B40" s="276" t="s">
        <v>122</v>
      </c>
      <c r="C40" s="12" t="s">
        <v>120</v>
      </c>
      <c r="D40" s="17">
        <f t="shared" ref="D40:O40" si="17">IFERROR(SUM(D23:D26)/D$7,"")</f>
        <v>0.69514453163672107</v>
      </c>
      <c r="E40" s="17">
        <f t="shared" si="17"/>
        <v>0.63496723352833562</v>
      </c>
      <c r="F40" s="17">
        <f t="shared" si="17"/>
        <v>0.65569516062012845</v>
      </c>
      <c r="G40" s="17">
        <f t="shared" si="17"/>
        <v>0.58919904252475053</v>
      </c>
      <c r="H40" s="17">
        <f t="shared" si="17"/>
        <v>0.67693659078414092</v>
      </c>
      <c r="I40" s="17">
        <f t="shared" si="17"/>
        <v>0.69136553939652967</v>
      </c>
      <c r="J40" s="17">
        <f t="shared" si="17"/>
        <v>0.57253651095243929</v>
      </c>
      <c r="K40" s="17">
        <f t="shared" si="17"/>
        <v>0.60187758736577035</v>
      </c>
      <c r="L40" s="17">
        <f t="shared" si="17"/>
        <v>0.60617816418549952</v>
      </c>
      <c r="M40" s="17" t="str">
        <f t="shared" si="17"/>
        <v/>
      </c>
      <c r="N40" s="17" t="str">
        <f t="shared" si="17"/>
        <v/>
      </c>
      <c r="O40" s="17" t="str">
        <f t="shared" si="17"/>
        <v/>
      </c>
    </row>
    <row r="41" spans="2:29" x14ac:dyDescent="0.25">
      <c r="B41" s="283"/>
      <c r="C41" s="12" t="s">
        <v>121</v>
      </c>
      <c r="D41" s="17">
        <f t="shared" ref="D41:O41" si="18">IFERROR(SUM(R23:R26)/R$7,"")</f>
        <v>0.68608227957346535</v>
      </c>
      <c r="E41" s="17">
        <f t="shared" si="18"/>
        <v>0.64749272257922774</v>
      </c>
      <c r="F41" s="17">
        <f t="shared" si="18"/>
        <v>0.67873723016045318</v>
      </c>
      <c r="G41" s="17">
        <f t="shared" si="18"/>
        <v>0.65418275454582941</v>
      </c>
      <c r="H41" s="17">
        <f t="shared" si="18"/>
        <v>0.73796303464709101</v>
      </c>
      <c r="I41" s="17">
        <f t="shared" si="18"/>
        <v>0.74732960041595098</v>
      </c>
      <c r="J41" s="17">
        <f t="shared" si="18"/>
        <v>0.64545118495188858</v>
      </c>
      <c r="K41" s="17">
        <f t="shared" si="18"/>
        <v>0.65102002823681404</v>
      </c>
      <c r="L41" s="17">
        <f t="shared" si="18"/>
        <v>0.67685813789848681</v>
      </c>
      <c r="M41" s="17">
        <f t="shared" si="18"/>
        <v>0.75879904136503884</v>
      </c>
      <c r="N41" s="17">
        <f t="shared" si="18"/>
        <v>0.7416400444117689</v>
      </c>
      <c r="O41" s="17">
        <f t="shared" si="18"/>
        <v>0.68781814611632586</v>
      </c>
    </row>
    <row r="43" spans="2:29" ht="16.25" customHeight="1" x14ac:dyDescent="0.25">
      <c r="B43" s="300" t="s">
        <v>123</v>
      </c>
      <c r="C43" s="301"/>
      <c r="D43" s="301"/>
      <c r="E43" s="301"/>
      <c r="F43" s="301"/>
      <c r="G43" s="301"/>
      <c r="H43" s="301"/>
      <c r="I43" s="301"/>
      <c r="J43" s="301"/>
      <c r="K43" s="301"/>
      <c r="L43" s="301"/>
      <c r="M43" s="301"/>
    </row>
    <row r="44" spans="2:29" ht="16.25" customHeight="1" x14ac:dyDescent="0.25">
      <c r="B44" s="337" t="s">
        <v>124</v>
      </c>
      <c r="C44" s="10" t="s">
        <v>125</v>
      </c>
      <c r="D44" s="10" t="s">
        <v>126</v>
      </c>
      <c r="E44" s="10" t="s">
        <v>127</v>
      </c>
      <c r="F44" s="10" t="s">
        <v>128</v>
      </c>
      <c r="G44" s="10" t="s">
        <v>129</v>
      </c>
      <c r="H44" s="10" t="s">
        <v>107</v>
      </c>
      <c r="I44" s="10" t="s">
        <v>24</v>
      </c>
      <c r="J44" s="10" t="s">
        <v>22</v>
      </c>
      <c r="K44" s="10" t="s">
        <v>24</v>
      </c>
      <c r="L44" s="10" t="s">
        <v>108</v>
      </c>
      <c r="M44" s="10" t="s">
        <v>24</v>
      </c>
      <c r="O44" s="20" t="s">
        <v>130</v>
      </c>
    </row>
    <row r="45" spans="2:29" x14ac:dyDescent="0.25">
      <c r="B45" s="283"/>
      <c r="C45" s="12" t="s">
        <v>131</v>
      </c>
      <c r="D45" s="34">
        <f>SUM(D46:D65)</f>
        <v>121328959</v>
      </c>
      <c r="E45" s="35" t="str">
        <f>N12</f>
        <v/>
      </c>
      <c r="F45" s="35" t="s">
        <v>132</v>
      </c>
      <c r="G45" s="35" t="s">
        <v>132</v>
      </c>
      <c r="H45" s="34" t="str">
        <f>N8</f>
        <v/>
      </c>
      <c r="I45" s="35" t="str">
        <f>N13</f>
        <v/>
      </c>
      <c r="J45" s="34" t="str">
        <f>N11</f>
        <v/>
      </c>
      <c r="K45" s="35" t="str">
        <f>N16</f>
        <v/>
      </c>
      <c r="L45" s="34" t="str">
        <f>N9</f>
        <v/>
      </c>
      <c r="M45" s="35" t="str">
        <f>N14</f>
        <v/>
      </c>
      <c r="O45" s="34">
        <f>AB7</f>
        <v>320911334</v>
      </c>
    </row>
    <row r="46" spans="2:29" x14ac:dyDescent="0.25">
      <c r="B46" s="36">
        <f>IFERROR(VLOOKUP("咖啡机-1",dat_nespresso_mkt_rk_brand!$C:$AA,25,0),"")</f>
        <v>0</v>
      </c>
      <c r="C46" s="22" t="str">
        <f>IFERROR(VLOOKUP("咖啡机-1",dat_nespresso_mkt_rk_brand!$C:$AA,4,0),"")</f>
        <v>Delonghi/德龙</v>
      </c>
      <c r="D46" s="16">
        <f>IFERROR(VLOOKUP("咖啡机-1",dat_nespresso_mkt_rk_brand!$C:$AA,5,0),"")</f>
        <v>40240574</v>
      </c>
      <c r="E46" s="37">
        <f>IFERROR(VLOOKUP("咖啡机-1",dat_nespresso_mkt_rk_brand!$C:$AA,7,0),"")</f>
        <v>2.7920413324376499E-2</v>
      </c>
      <c r="F46" s="37">
        <f>dat_nespresso_mkt_rk_brand!J2</f>
        <v>0.28182730548413615</v>
      </c>
      <c r="G46" s="38">
        <f>dat_nespresso_mkt_rk_brand!AD2</f>
        <v>142784511</v>
      </c>
      <c r="H46" s="16">
        <f>IFERROR(VLOOKUP("咖啡机-1",dat_nespresso_mkt_rk_brand!$C:$AA,10,0),"")</f>
        <v>11695</v>
      </c>
      <c r="I46" s="37">
        <f>IFERROR(VLOOKUP("咖啡机-1",dat_nespresso_mkt_rk_brand!$C:$AA,11,0),"")</f>
        <v>-4.8660780961943692E-2</v>
      </c>
      <c r="J46" s="16">
        <f>IFERROR(VLOOKUP("咖啡机-1",dat_nespresso_mkt_rk_brand!$C:$AA,12,0),"")</f>
        <v>3441</v>
      </c>
      <c r="K46" s="37">
        <f>IFERROR(VLOOKUP("咖啡机-1",dat_nespresso_mkt_rk_brand!$C:$AA,13,0),"")</f>
        <v>8.0498304657044398E-2</v>
      </c>
      <c r="L46" s="16">
        <f>IFERROR(VLOOKUP("咖啡机-1",dat_nespresso_mkt_rk_brand!$C:$AA,14,0),"")</f>
        <v>1157954</v>
      </c>
      <c r="M46" s="37">
        <f>IFERROR(VLOOKUP("咖啡机-1",dat_nespresso_mkt_rk_brand!$C:$AA,15,0),"")</f>
        <v>-0.12401438246990849</v>
      </c>
      <c r="O46" s="14">
        <f>IFERROR(VLOOKUP("咖啡机-1",dat_nespresso_mkt_rk_brand!$C:$AA,18,0),"")</f>
        <v>39147558</v>
      </c>
      <c r="P46" s="225">
        <f t="shared" ref="P46:P65" si="19">IFERROR(O46/O45,"")</f>
        <v>0.12198870483022578</v>
      </c>
    </row>
    <row r="47" spans="2:29" x14ac:dyDescent="0.25">
      <c r="B47" s="36">
        <f>IFERROR(VLOOKUP("咖啡机-2",dat_nespresso_mkt_rk_brand!$C:$AA,25,0),"")</f>
        <v>7</v>
      </c>
      <c r="C47" s="22" t="str">
        <f>IFERROR(VLOOKUP("咖啡机-2",dat_nespresso_mkt_rk_brand!$C:$AA,4,0),"")</f>
        <v>格米莱</v>
      </c>
      <c r="D47" s="16">
        <f>IFERROR(VLOOKUP("咖啡机-2",dat_nespresso_mkt_rk_brand!$C:$AA,5,0),"")</f>
        <v>12192892</v>
      </c>
      <c r="E47" s="37">
        <f>IFERROR(VLOOKUP("咖啡机-2",dat_nespresso_mkt_rk_brand!$C:$AA,7,0),"")</f>
        <v>1.0136466103948221</v>
      </c>
      <c r="F47" s="37">
        <f>dat_nespresso_mkt_rk_brand!J3</f>
        <v>8.539366010084945E-2</v>
      </c>
      <c r="G47" s="38">
        <f>dat_nespresso_mkt_rk_brand!AD3</f>
        <v>0</v>
      </c>
      <c r="H47" s="16">
        <f>IFERROR(VLOOKUP("咖啡机-2",dat_nespresso_mkt_rk_brand!$C:$AA,10,0),"")</f>
        <v>3964</v>
      </c>
      <c r="I47" s="37">
        <f>IFERROR(VLOOKUP("咖啡机-2",dat_nespresso_mkt_rk_brand!$C:$AA,11,0),"")</f>
        <v>0.4244830668745031</v>
      </c>
      <c r="J47" s="16">
        <f>IFERROR(VLOOKUP("咖啡机-2",dat_nespresso_mkt_rk_brand!$C:$AA,12,0),"")</f>
        <v>3076</v>
      </c>
      <c r="K47" s="37">
        <f>IFERROR(VLOOKUP("咖啡机-2",dat_nespresso_mkt_rk_brand!$C:$AA,13,0),"")</f>
        <v>0.4135981376128387</v>
      </c>
      <c r="L47" s="16">
        <f>IFERROR(VLOOKUP("咖啡机-2",dat_nespresso_mkt_rk_brand!$C:$AA,14,0),"")</f>
        <v>861700</v>
      </c>
      <c r="M47" s="37">
        <f>IFERROR(VLOOKUP("咖啡机-2",dat_nespresso_mkt_rk_brand!$C:$AA,15,0),"")</f>
        <v>3.7998885949032171</v>
      </c>
      <c r="O47" s="14">
        <f>IFERROR(VLOOKUP("咖啡机-2",dat_nespresso_mkt_rk_brand!$C:$AA,18,0),"")</f>
        <v>6055130</v>
      </c>
      <c r="P47" s="225">
        <f t="shared" si="19"/>
        <v>0.15467452656944783</v>
      </c>
    </row>
    <row r="48" spans="2:29" x14ac:dyDescent="0.25">
      <c r="B48" s="36">
        <f>IFERROR(VLOOKUP("咖啡机-3",dat_nespresso_mkt_rk_brand!$C:$AA,25,0),"")</f>
        <v>-1</v>
      </c>
      <c r="C48" s="22" t="str">
        <f>IFERROR(VLOOKUP("咖啡机-3",dat_nespresso_mkt_rk_brand!$C:$AA,4,0),"")</f>
        <v>Barsetto/百胜图</v>
      </c>
      <c r="D48" s="16">
        <f>IFERROR(VLOOKUP("咖啡机-3",dat_nespresso_mkt_rk_brand!$C:$AA,5,0),"")</f>
        <v>9954125</v>
      </c>
      <c r="E48" s="37">
        <f>IFERROR(VLOOKUP("咖啡机-3",dat_nespresso_mkt_rk_brand!$C:$AA,7,0),"")</f>
        <v>-0.32194498123315229</v>
      </c>
      <c r="F48" s="37">
        <f>dat_nespresso_mkt_rk_brand!J4</f>
        <v>6.9714319363393701E-2</v>
      </c>
      <c r="G48" s="38">
        <f>dat_nespresso_mkt_rk_brand!AD4</f>
        <v>0</v>
      </c>
      <c r="H48" s="16">
        <f>IFERROR(VLOOKUP("咖啡机-3",dat_nespresso_mkt_rk_brand!$C:$AA,10,0),"")</f>
        <v>2570</v>
      </c>
      <c r="I48" s="37">
        <f>IFERROR(VLOOKUP("咖啡机-3",dat_nespresso_mkt_rk_brand!$C:$AA,11,0),"")</f>
        <v>-0.30783687888252281</v>
      </c>
      <c r="J48" s="16">
        <f>IFERROR(VLOOKUP("咖啡机-3",dat_nespresso_mkt_rk_brand!$C:$AA,12,0),"")</f>
        <v>3873</v>
      </c>
      <c r="K48" s="37">
        <f>IFERROR(VLOOKUP("咖啡机-3",dat_nespresso_mkt_rk_brand!$C:$AA,13,0),"")</f>
        <v>-2.038262646506277E-2</v>
      </c>
      <c r="L48" s="16">
        <f>IFERROR(VLOOKUP("咖啡机-3",dat_nespresso_mkt_rk_brand!$C:$AA,14,0),"")</f>
        <v>458935</v>
      </c>
      <c r="M48" s="37">
        <f>IFERROR(VLOOKUP("咖啡机-3",dat_nespresso_mkt_rk_brand!$C:$AA,15,0),"")</f>
        <v>0.28544579636102901</v>
      </c>
      <c r="O48" s="14">
        <f>IFERROR(VLOOKUP("咖啡机-3",dat_nespresso_mkt_rk_brand!$C:$AA,18,0),"")</f>
        <v>14680409</v>
      </c>
      <c r="P48" s="225">
        <f t="shared" si="19"/>
        <v>2.4244581041199775</v>
      </c>
    </row>
    <row r="49" spans="2:16" x14ac:dyDescent="0.25">
      <c r="B49" s="36">
        <f>IFERROR(VLOOKUP("咖啡机-4",dat_nespresso_mkt_rk_brand!$C:$AA,25,0),"")</f>
        <v>1</v>
      </c>
      <c r="C49" s="22" t="str">
        <f>IFERROR(VLOOKUP("咖啡机-4",dat_nespresso_mkt_rk_brand!$C:$AA,4,0),"")</f>
        <v>Petrus/柏翠</v>
      </c>
      <c r="D49" s="16">
        <f>IFERROR(VLOOKUP("咖啡机-4",dat_nespresso_mkt_rk_brand!$C:$AA,5,0),"")</f>
        <v>8110534</v>
      </c>
      <c r="E49" s="37">
        <f>IFERROR(VLOOKUP("咖啡机-4",dat_nespresso_mkt_rk_brand!$C:$AA,7,0),"")</f>
        <v>-1.354732392766214E-2</v>
      </c>
      <c r="F49" s="37">
        <f>dat_nespresso_mkt_rk_brand!J5</f>
        <v>5.6802617757328033E-2</v>
      </c>
      <c r="G49" s="38">
        <f>dat_nespresso_mkt_rk_brand!AD5</f>
        <v>0</v>
      </c>
      <c r="H49" s="16">
        <f>IFERROR(VLOOKUP("咖啡机-4",dat_nespresso_mkt_rk_brand!$C:$AA,10,0),"")</f>
        <v>8091</v>
      </c>
      <c r="I49" s="37">
        <f>IFERROR(VLOOKUP("咖啡机-4",dat_nespresso_mkt_rk_brand!$C:$AA,11,0),"")</f>
        <v>-0.23945089761177829</v>
      </c>
      <c r="J49" s="16">
        <f>IFERROR(VLOOKUP("咖啡机-4",dat_nespresso_mkt_rk_brand!$C:$AA,12,0),"")</f>
        <v>1002</v>
      </c>
      <c r="K49" s="37">
        <f>IFERROR(VLOOKUP("咖啡机-4",dat_nespresso_mkt_rk_brand!$C:$AA,13,0),"")</f>
        <v>0.29702694142265101</v>
      </c>
      <c r="L49" s="16">
        <f>IFERROR(VLOOKUP("咖啡机-4",dat_nespresso_mkt_rk_brand!$C:$AA,14,0),"")</f>
        <v>425817</v>
      </c>
      <c r="M49" s="37">
        <f>IFERROR(VLOOKUP("咖啡机-4",dat_nespresso_mkt_rk_brand!$C:$AA,15,0),"")</f>
        <v>-3.130061695815968E-2</v>
      </c>
      <c r="O49" s="14">
        <f>IFERROR(VLOOKUP("咖啡机-4",dat_nespresso_mkt_rk_brand!$C:$AA,18,0),"")</f>
        <v>8221919</v>
      </c>
      <c r="P49" s="225">
        <f t="shared" si="19"/>
        <v>0.56006062228920184</v>
      </c>
    </row>
    <row r="50" spans="2:16" x14ac:dyDescent="0.25">
      <c r="B50" s="36">
        <f>IFERROR(VLOOKUP("咖啡机-5",dat_nespresso_mkt_rk_brand!$C:$AA,25,0),"")</f>
        <v>-2</v>
      </c>
      <c r="C50" s="22" t="str">
        <f>IFERROR(VLOOKUP("咖啡机-5",dat_nespresso_mkt_rk_brand!$C:$AA,4,0),"")</f>
        <v>NESPRESSO/奈斯派索</v>
      </c>
      <c r="D50" s="16">
        <f>IFERROR(VLOOKUP("咖啡机-5",dat_nespresso_mkt_rk_brand!$C:$AA,5,0),"")</f>
        <v>6860013</v>
      </c>
      <c r="E50" s="37">
        <f>IFERROR(VLOOKUP("咖啡机-5",dat_nespresso_mkt_rk_brand!$C:$AA,7,0),"")</f>
        <v>-0.38206431563302262</v>
      </c>
      <c r="F50" s="37">
        <f>dat_nespresso_mkt_rk_brand!J6</f>
        <v>4.8044517937943565E-2</v>
      </c>
      <c r="G50" s="38">
        <f>dat_nespresso_mkt_rk_brand!AD6</f>
        <v>0</v>
      </c>
      <c r="H50" s="16">
        <f>IFERROR(VLOOKUP("咖啡机-5",dat_nespresso_mkt_rk_brand!$C:$AA,10,0),"")</f>
        <v>7068</v>
      </c>
      <c r="I50" s="37">
        <f>IFERROR(VLOOKUP("咖啡机-5",dat_nespresso_mkt_rk_brand!$C:$AA,11,0),"")</f>
        <v>-0.30150838326176183</v>
      </c>
      <c r="J50" s="16">
        <f>IFERROR(VLOOKUP("咖啡机-5",dat_nespresso_mkt_rk_brand!$C:$AA,12,0),"")</f>
        <v>971</v>
      </c>
      <c r="K50" s="37">
        <f>IFERROR(VLOOKUP("咖啡机-5",dat_nespresso_mkt_rk_brand!$C:$AA,13,0),"")</f>
        <v>-0.11532841689272461</v>
      </c>
      <c r="L50" s="16">
        <f>IFERROR(VLOOKUP("咖啡机-5",dat_nespresso_mkt_rk_brand!$C:$AA,14,0),"")</f>
        <v>341428</v>
      </c>
      <c r="M50" s="37">
        <f>IFERROR(VLOOKUP("咖啡机-5",dat_nespresso_mkt_rk_brand!$C:$AA,15,0),"")</f>
        <v>-0.35887242908084421</v>
      </c>
      <c r="O50" s="14">
        <f>IFERROR(VLOOKUP("咖啡机-5",dat_nespresso_mkt_rk_brand!$C:$AA,18,0),"")</f>
        <v>11101500</v>
      </c>
      <c r="P50" s="225">
        <f t="shared" si="19"/>
        <v>1.3502322268073914</v>
      </c>
    </row>
    <row r="51" spans="2:16" x14ac:dyDescent="0.25">
      <c r="B51" s="36">
        <f>IFERROR(VLOOKUP("咖啡机-6",dat_nespresso_mkt_rk_brand!$C:$AA,25,0),"")</f>
        <v>-2</v>
      </c>
      <c r="C51" s="22" t="str">
        <f>IFERROR(VLOOKUP("咖啡机-6",dat_nespresso_mkt_rk_brand!$C:$AA,4,0),"")</f>
        <v>Philips/飞利浦</v>
      </c>
      <c r="D51" s="16">
        <f>IFERROR(VLOOKUP("咖啡机-6",dat_nespresso_mkt_rk_brand!$C:$AA,5,0),"")</f>
        <v>6006534</v>
      </c>
      <c r="E51" s="37">
        <f>IFERROR(VLOOKUP("咖啡机-6",dat_nespresso_mkt_rk_brand!$C:$AA,7,0),"")</f>
        <v>-0.41820738568781812</v>
      </c>
      <c r="F51" s="37">
        <f>dat_nespresso_mkt_rk_brand!J7</f>
        <v>4.2067125894348585E-2</v>
      </c>
      <c r="G51" s="38">
        <f>dat_nespresso_mkt_rk_brand!AD7</f>
        <v>0</v>
      </c>
      <c r="H51" s="16">
        <f>IFERROR(VLOOKUP("咖啡机-6",dat_nespresso_mkt_rk_brand!$C:$AA,10,0),"")</f>
        <v>3699</v>
      </c>
      <c r="I51" s="37">
        <f>IFERROR(VLOOKUP("咖啡机-6",dat_nespresso_mkt_rk_brand!$C:$AA,11,0),"")</f>
        <v>-0.3133562909151536</v>
      </c>
      <c r="J51" s="16">
        <f>IFERROR(VLOOKUP("咖啡机-6",dat_nespresso_mkt_rk_brand!$C:$AA,12,0),"")</f>
        <v>1624</v>
      </c>
      <c r="K51" s="37">
        <f>IFERROR(VLOOKUP("咖啡机-6",dat_nespresso_mkt_rk_brand!$C:$AA,13,0),"")</f>
        <v>-0.15270087439147911</v>
      </c>
      <c r="L51" s="16">
        <f>IFERROR(VLOOKUP("咖啡机-6",dat_nespresso_mkt_rk_brand!$C:$AA,14,0),"")</f>
        <v>373660</v>
      </c>
      <c r="M51" s="37">
        <f>IFERROR(VLOOKUP("咖啡机-6",dat_nespresso_mkt_rk_brand!$C:$AA,15,0),"")</f>
        <v>-0.1052824396773213</v>
      </c>
      <c r="O51" s="14">
        <f>IFERROR(VLOOKUP("咖啡机-6",dat_nespresso_mkt_rk_brand!$C:$AA,18,0),"")</f>
        <v>10324184</v>
      </c>
      <c r="P51" s="225">
        <f t="shared" si="19"/>
        <v>0.92998099355942887</v>
      </c>
    </row>
    <row r="52" spans="2:16" x14ac:dyDescent="0.25">
      <c r="B52" s="36">
        <f>IFERROR(VLOOKUP("咖啡机-7",dat_nespresso_mkt_rk_brand!$C:$AA,25,0),"")</f>
        <v>-1</v>
      </c>
      <c r="C52" s="22" t="str">
        <f>IFERROR(VLOOKUP("咖啡机-7",dat_nespresso_mkt_rk_brand!$C:$AA,4,0),"")</f>
        <v>maxim'sdeparis</v>
      </c>
      <c r="D52" s="16">
        <f>IFERROR(VLOOKUP("咖啡机-7",dat_nespresso_mkt_rk_brand!$C:$AA,5,0),"")</f>
        <v>4339862</v>
      </c>
      <c r="E52" s="37">
        <f>IFERROR(VLOOKUP("咖啡机-7",dat_nespresso_mkt_rk_brand!$C:$AA,7,0),"")</f>
        <v>-0.40358656515405539</v>
      </c>
      <c r="F52" s="37">
        <f>dat_nespresso_mkt_rk_brand!J8</f>
        <v>3.0394487256394358E-2</v>
      </c>
      <c r="G52" s="38">
        <f>dat_nespresso_mkt_rk_brand!AD8</f>
        <v>0</v>
      </c>
      <c r="H52" s="16">
        <f>IFERROR(VLOOKUP("咖啡机-7",dat_nespresso_mkt_rk_brand!$C:$AA,10,0),"")</f>
        <v>973</v>
      </c>
      <c r="I52" s="37">
        <f>IFERROR(VLOOKUP("咖啡机-7",dat_nespresso_mkt_rk_brand!$C:$AA,11,0),"")</f>
        <v>-0.27835230808382511</v>
      </c>
      <c r="J52" s="16">
        <f>IFERROR(VLOOKUP("咖啡机-7",dat_nespresso_mkt_rk_brand!$C:$AA,12,0),"")</f>
        <v>4459</v>
      </c>
      <c r="K52" s="37">
        <f>IFERROR(VLOOKUP("咖啡机-7",dat_nespresso_mkt_rk_brand!$C:$AA,13,0),"")</f>
        <v>-0.17353933016497111</v>
      </c>
      <c r="L52" s="16">
        <f>IFERROR(VLOOKUP("咖啡机-7",dat_nespresso_mkt_rk_brand!$C:$AA,14,0),"")</f>
        <v>92687</v>
      </c>
      <c r="M52" s="37">
        <f>IFERROR(VLOOKUP("咖啡机-7",dat_nespresso_mkt_rk_brand!$C:$AA,15,0),"")</f>
        <v>-0.35395349485599581</v>
      </c>
      <c r="O52" s="14">
        <f>IFERROR(VLOOKUP("咖啡机-7",dat_nespresso_mkt_rk_brand!$C:$AA,18,0),"")</f>
        <v>7276600</v>
      </c>
      <c r="P52" s="225">
        <f t="shared" si="19"/>
        <v>0.70481115020809393</v>
      </c>
    </row>
    <row r="53" spans="2:16" x14ac:dyDescent="0.25">
      <c r="B53" s="36">
        <f>IFERROR(VLOOKUP("咖啡机-8",dat_nespresso_mkt_rk_brand!$C:$AA,25,0),"")</f>
        <v>-1</v>
      </c>
      <c r="C53" s="22" t="str">
        <f>IFERROR(VLOOKUP("咖啡机-8",dat_nespresso_mkt_rk_brand!$C:$AA,4,0),"")</f>
        <v>Breville/铂富</v>
      </c>
      <c r="D53" s="16">
        <f>IFERROR(VLOOKUP("咖啡机-8",dat_nespresso_mkt_rk_brand!$C:$AA,5,0),"")</f>
        <v>4227975</v>
      </c>
      <c r="E53" s="37">
        <f>IFERROR(VLOOKUP("咖啡机-8",dat_nespresso_mkt_rk_brand!$C:$AA,7,0),"")</f>
        <v>-0.37226468434956628</v>
      </c>
      <c r="F53" s="37">
        <f>dat_nespresso_mkt_rk_brand!J9</f>
        <v>2.961087985236718E-2</v>
      </c>
      <c r="G53" s="38">
        <f>dat_nespresso_mkt_rk_brand!AD9</f>
        <v>0</v>
      </c>
      <c r="H53" s="16">
        <f>IFERROR(VLOOKUP("咖啡机-8",dat_nespresso_mkt_rk_brand!$C:$AA,10,0),"")</f>
        <v>823</v>
      </c>
      <c r="I53" s="37">
        <f>IFERROR(VLOOKUP("咖啡机-8",dat_nespresso_mkt_rk_brand!$C:$AA,11,0),"")</f>
        <v>-0.33239704718655072</v>
      </c>
      <c r="J53" s="16">
        <f>IFERROR(VLOOKUP("咖啡机-8",dat_nespresso_mkt_rk_brand!$C:$AA,12,0),"")</f>
        <v>5137</v>
      </c>
      <c r="K53" s="37">
        <f>IFERROR(VLOOKUP("咖啡机-8",dat_nespresso_mkt_rk_brand!$C:$AA,13,0),"")</f>
        <v>-5.9717586620914732E-2</v>
      </c>
      <c r="L53" s="16">
        <f>IFERROR(VLOOKUP("咖啡机-8",dat_nespresso_mkt_rk_brand!$C:$AA,14,0),"")</f>
        <v>45982</v>
      </c>
      <c r="M53" s="37">
        <f>IFERROR(VLOOKUP("咖啡机-8",dat_nespresso_mkt_rk_brand!$C:$AA,15,0),"")</f>
        <v>-0.29883041827414258</v>
      </c>
      <c r="O53" s="14">
        <f>IFERROR(VLOOKUP("咖啡机-8",dat_nespresso_mkt_rk_brand!$C:$AA,18,0),"")</f>
        <v>6735283</v>
      </c>
      <c r="P53" s="225">
        <f t="shared" si="19"/>
        <v>0.92560852595992638</v>
      </c>
    </row>
    <row r="54" spans="2:16" x14ac:dyDescent="0.25">
      <c r="B54" s="36">
        <f>IFERROR(VLOOKUP("咖啡机-9",dat_nespresso_mkt_rk_brand!$C:$AA,25,0),"")</f>
        <v>-1</v>
      </c>
      <c r="C54" s="22" t="str">
        <f>IFERROR(VLOOKUP("咖啡机-9",dat_nespresso_mkt_rk_brand!$C:$AA,4,0),"")</f>
        <v>SMEG</v>
      </c>
      <c r="D54" s="16">
        <f>IFERROR(VLOOKUP("咖啡机-9",dat_nespresso_mkt_rk_brand!$C:$AA,5,0),"")</f>
        <v>4110548</v>
      </c>
      <c r="E54" s="37">
        <f>IFERROR(VLOOKUP("咖啡机-9",dat_nespresso_mkt_rk_brand!$C:$AA,7,0),"")</f>
        <v>-0.34936962955259848</v>
      </c>
      <c r="F54" s="37">
        <f>dat_nespresso_mkt_rk_brand!J10</f>
        <v>2.8788472721666569E-2</v>
      </c>
      <c r="G54" s="38">
        <f>dat_nespresso_mkt_rk_brand!AD10</f>
        <v>0</v>
      </c>
      <c r="H54" s="16">
        <f>IFERROR(VLOOKUP("咖啡机-9",dat_nespresso_mkt_rk_brand!$C:$AA,10,0),"")</f>
        <v>1037</v>
      </c>
      <c r="I54" s="37">
        <f>IFERROR(VLOOKUP("咖啡机-9",dat_nespresso_mkt_rk_brand!$C:$AA,11,0),"")</f>
        <v>-0.43565280437612081</v>
      </c>
      <c r="J54" s="16">
        <f>IFERROR(VLOOKUP("咖啡机-9",dat_nespresso_mkt_rk_brand!$C:$AA,12,0),"")</f>
        <v>3964</v>
      </c>
      <c r="K54" s="37">
        <f>IFERROR(VLOOKUP("咖啡机-9",dat_nespresso_mkt_rk_brand!$C:$AA,13,0),"")</f>
        <v>0.15289023404845181</v>
      </c>
      <c r="L54" s="16">
        <f>IFERROR(VLOOKUP("咖啡机-9",dat_nespresso_mkt_rk_brand!$C:$AA,14,0),"")</f>
        <v>148147</v>
      </c>
      <c r="M54" s="37">
        <f>IFERROR(VLOOKUP("咖啡机-9",dat_nespresso_mkt_rk_brand!$C:$AA,15,0),"")</f>
        <v>-0.52433593511701604</v>
      </c>
      <c r="O54" s="14">
        <f>IFERROR(VLOOKUP("咖啡机-9",dat_nespresso_mkt_rk_brand!$C:$AA,18,0),"")</f>
        <v>6317793</v>
      </c>
      <c r="P54" s="225">
        <f t="shared" si="19"/>
        <v>0.9380144828361332</v>
      </c>
    </row>
    <row r="55" spans="2:16" x14ac:dyDescent="0.25">
      <c r="B55" s="36">
        <f>IFERROR(VLOOKUP("咖啡机-10",dat_nespresso_mkt_rk_brand!$C:$AA,25,0),"")</f>
        <v>7</v>
      </c>
      <c r="C55" s="22" t="str">
        <f>IFERROR(VLOOKUP("咖啡机-10",dat_nespresso_mkt_rk_brand!$C:$AA,4,0),"")</f>
        <v>Bear/小熊</v>
      </c>
      <c r="D55" s="16">
        <f>IFERROR(VLOOKUP("咖啡机-10",dat_nespresso_mkt_rk_brand!$C:$AA,5,0),"")</f>
        <v>3838578</v>
      </c>
      <c r="E55" s="37">
        <f>IFERROR(VLOOKUP("咖啡机-10",dat_nespresso_mkt_rk_brand!$C:$AA,7,0),"")</f>
        <v>1.336794775328916</v>
      </c>
      <c r="F55" s="37">
        <f>dat_nespresso_mkt_rk_brand!J11</f>
        <v>2.6883714298674876E-2</v>
      </c>
      <c r="G55" s="38">
        <f>dat_nespresso_mkt_rk_brand!AD11</f>
        <v>0</v>
      </c>
      <c r="H55" s="16">
        <f>IFERROR(VLOOKUP("咖啡机-10",dat_nespresso_mkt_rk_brand!$C:$AA,10,0),"")</f>
        <v>9637</v>
      </c>
      <c r="I55" s="37">
        <f>IFERROR(VLOOKUP("咖啡机-10",dat_nespresso_mkt_rk_brand!$C:$AA,11,0),"")</f>
        <v>0.32341066840692978</v>
      </c>
      <c r="J55" s="16">
        <f>IFERROR(VLOOKUP("咖啡机-10",dat_nespresso_mkt_rk_brand!$C:$AA,12,0),"")</f>
        <v>398</v>
      </c>
      <c r="K55" s="37">
        <f>IFERROR(VLOOKUP("咖啡机-10",dat_nespresso_mkt_rk_brand!$C:$AA,13,0),"")</f>
        <v>0.7657366916513213</v>
      </c>
      <c r="L55" s="16">
        <f>IFERROR(VLOOKUP("咖啡机-10",dat_nespresso_mkt_rk_brand!$C:$AA,14,0),"")</f>
        <v>587636</v>
      </c>
      <c r="M55" s="37">
        <f>IFERROR(VLOOKUP("咖啡机-10",dat_nespresso_mkt_rk_brand!$C:$AA,15,0),"")</f>
        <v>0.42831517260991842</v>
      </c>
      <c r="O55" s="14">
        <f>IFERROR(VLOOKUP("咖啡机-10",dat_nespresso_mkt_rk_brand!$C:$AA,18,0),"")</f>
        <v>1642668</v>
      </c>
      <c r="P55" s="225">
        <f t="shared" si="19"/>
        <v>0.26000661940016079</v>
      </c>
    </row>
    <row r="56" spans="2:16" x14ac:dyDescent="0.25">
      <c r="B56" s="36">
        <f>IFERROR(VLOOKUP("咖啡机-11",dat_nespresso_mkt_rk_brand!$C:$AA,25,0),"")</f>
        <v>0</v>
      </c>
      <c r="C56" s="22" t="str">
        <f>IFERROR(VLOOKUP("咖啡机-11",dat_nespresso_mkt_rk_brand!$C:$AA,4,0),"")</f>
        <v>Stelang/雪特朗</v>
      </c>
      <c r="D56" s="16">
        <f>IFERROR(VLOOKUP("咖啡机-11",dat_nespresso_mkt_rk_brand!$C:$AA,5,0),"")</f>
        <v>3640208</v>
      </c>
      <c r="E56" s="37">
        <f>IFERROR(VLOOKUP("咖啡机-11",dat_nespresso_mkt_rk_brand!$C:$AA,7,0),"")</f>
        <v>-6.8723033845122655E-2</v>
      </c>
      <c r="F56" s="37">
        <f>dat_nespresso_mkt_rk_brand!J12</f>
        <v>2.5494417948456607E-2</v>
      </c>
      <c r="G56" s="38">
        <f>dat_nespresso_mkt_rk_brand!AD12</f>
        <v>0</v>
      </c>
      <c r="H56" s="16">
        <f>IFERROR(VLOOKUP("咖啡机-11",dat_nespresso_mkt_rk_brand!$C:$AA,10,0),"")</f>
        <v>1654</v>
      </c>
      <c r="I56" s="37">
        <f>IFERROR(VLOOKUP("咖啡机-11",dat_nespresso_mkt_rk_brand!$C:$AA,11,0),"")</f>
        <v>-0.21613370951552019</v>
      </c>
      <c r="J56" s="16">
        <f>IFERROR(VLOOKUP("咖啡机-11",dat_nespresso_mkt_rk_brand!$C:$AA,12,0),"")</f>
        <v>2201</v>
      </c>
      <c r="K56" s="37">
        <f>IFERROR(VLOOKUP("咖啡机-11",dat_nespresso_mkt_rk_brand!$C:$AA,13,0),"")</f>
        <v>0.18805589353675131</v>
      </c>
      <c r="L56" s="16">
        <f>IFERROR(VLOOKUP("咖啡机-11",dat_nespresso_mkt_rk_brand!$C:$AA,14,0),"")</f>
        <v>143818</v>
      </c>
      <c r="M56" s="37">
        <f>IFERROR(VLOOKUP("咖啡机-11",dat_nespresso_mkt_rk_brand!$C:$AA,15,0),"")</f>
        <v>-0.37972319622532458</v>
      </c>
      <c r="O56" s="14">
        <f>IFERROR(VLOOKUP("咖啡机-11",dat_nespresso_mkt_rk_brand!$C:$AA,18,0),"")</f>
        <v>3908835</v>
      </c>
      <c r="P56" s="225">
        <f t="shared" si="19"/>
        <v>2.3795648298986771</v>
      </c>
    </row>
    <row r="57" spans="2:16" x14ac:dyDescent="0.25">
      <c r="B57" s="36">
        <f>IFERROR(VLOOKUP("咖啡机-12",dat_nespresso_mkt_rk_brand!$C:$AA,25,0),"")</f>
        <v>0</v>
      </c>
      <c r="C57" s="22" t="str">
        <f>IFERROR(VLOOKUP("咖啡机-12",dat_nespresso_mkt_rk_brand!$C:$AA,4,0),"")</f>
        <v>DR.COFFEE/咖博士</v>
      </c>
      <c r="D57" s="16">
        <f>IFERROR(VLOOKUP("咖啡机-12",dat_nespresso_mkt_rk_brand!$C:$AA,5,0),"")</f>
        <v>3425382</v>
      </c>
      <c r="E57" s="37">
        <f>IFERROR(VLOOKUP("咖啡机-12",dat_nespresso_mkt_rk_brand!$C:$AA,7,0),"")</f>
        <v>0</v>
      </c>
      <c r="F57" s="37">
        <f>dat_nespresso_mkt_rk_brand!J13</f>
        <v>2.3989871002184544E-2</v>
      </c>
      <c r="G57" s="38">
        <f>dat_nespresso_mkt_rk_brand!AD13</f>
        <v>0</v>
      </c>
      <c r="H57" s="16">
        <f>IFERROR(VLOOKUP("咖啡机-12",dat_nespresso_mkt_rk_brand!$C:$AA,10,0),"")</f>
        <v>789</v>
      </c>
      <c r="I57" s="37">
        <f>IFERROR(VLOOKUP("咖啡机-12",dat_nespresso_mkt_rk_brand!$C:$AA,11,0),"")</f>
        <v>0</v>
      </c>
      <c r="J57" s="16">
        <f>IFERROR(VLOOKUP("咖啡机-12",dat_nespresso_mkt_rk_brand!$C:$AA,12,0),"")</f>
        <v>4342</v>
      </c>
      <c r="K57" s="37">
        <f>IFERROR(VLOOKUP("咖啡机-12",dat_nespresso_mkt_rk_brand!$C:$AA,13,0),"")</f>
        <v>0</v>
      </c>
      <c r="L57" s="16">
        <f>IFERROR(VLOOKUP("咖啡机-12",dat_nespresso_mkt_rk_brand!$C:$AA,14,0),"")</f>
        <v>58871</v>
      </c>
      <c r="M57" s="37">
        <f>IFERROR(VLOOKUP("咖啡机-12",dat_nespresso_mkt_rk_brand!$C:$AA,15,0),"")</f>
        <v>0</v>
      </c>
      <c r="O57" s="14">
        <f>IFERROR(VLOOKUP("咖啡机-12",dat_nespresso_mkt_rk_brand!$C:$AA,18,0),"")</f>
        <v>0</v>
      </c>
      <c r="P57" s="225">
        <f t="shared" si="19"/>
        <v>0</v>
      </c>
    </row>
    <row r="58" spans="2:16" x14ac:dyDescent="0.25">
      <c r="B58" s="36">
        <f>IFERROR(VLOOKUP("咖啡机-13",dat_nespresso_mkt_rk_brand!$C:$AA,25,0),"")</f>
        <v>8</v>
      </c>
      <c r="C58" s="22" t="str">
        <f>IFERROR(VLOOKUP("咖啡机-13",dat_nespresso_mkt_rk_brand!$C:$AA,4,0),"")</f>
        <v>WEGA</v>
      </c>
      <c r="D58" s="16">
        <f>IFERROR(VLOOKUP("咖啡机-13",dat_nespresso_mkt_rk_brand!$C:$AA,5,0),"")</f>
        <v>2347328</v>
      </c>
      <c r="E58" s="37">
        <f>IFERROR(VLOOKUP("咖啡机-13",dat_nespresso_mkt_rk_brand!$C:$AA,7,0),"")</f>
        <v>0.85522567836288743</v>
      </c>
      <c r="F58" s="37">
        <f>dat_nespresso_mkt_rk_brand!J14</f>
        <v>1.6439654298357333E-2</v>
      </c>
      <c r="G58" s="38">
        <f>dat_nespresso_mkt_rk_brand!AD14</f>
        <v>0</v>
      </c>
      <c r="H58" s="16">
        <f>IFERROR(VLOOKUP("咖啡机-13",dat_nespresso_mkt_rk_brand!$C:$AA,10,0),"")</f>
        <v>0</v>
      </c>
      <c r="I58" s="37">
        <f>IFERROR(VLOOKUP("咖啡机-13",dat_nespresso_mkt_rk_brand!$C:$AA,11,0),"")</f>
        <v>0</v>
      </c>
      <c r="J58" s="16">
        <f>IFERROR(VLOOKUP("咖啡机-13",dat_nespresso_mkt_rk_brand!$C:$AA,12,0),"")</f>
        <v>0</v>
      </c>
      <c r="K58" s="37">
        <f>IFERROR(VLOOKUP("咖啡机-13",dat_nespresso_mkt_rk_brand!$C:$AA,13,0),"")</f>
        <v>0</v>
      </c>
      <c r="L58" s="16">
        <f>IFERROR(VLOOKUP("咖啡机-13",dat_nespresso_mkt_rk_brand!$C:$AA,14,0),"")</f>
        <v>0</v>
      </c>
      <c r="M58" s="37">
        <f>IFERROR(VLOOKUP("咖啡机-13",dat_nespresso_mkt_rk_brand!$C:$AA,15,0),"")</f>
        <v>0</v>
      </c>
      <c r="O58" s="14">
        <f>IFERROR(VLOOKUP("咖啡机-13",dat_nespresso_mkt_rk_brand!$C:$AA,18,0),"")</f>
        <v>1265252</v>
      </c>
      <c r="P58" s="225" t="str">
        <f t="shared" si="19"/>
        <v/>
      </c>
    </row>
    <row r="59" spans="2:16" x14ac:dyDescent="0.25">
      <c r="B59" s="36">
        <f>IFERROR(VLOOKUP("咖啡机-14",dat_nespresso_mkt_rk_brand!$C:$AA,25,0),"")</f>
        <v>-4</v>
      </c>
      <c r="C59" s="22" t="str">
        <f>IFERROR(VLOOKUP("咖啡机-14",dat_nespresso_mkt_rk_brand!$C:$AA,4,0),"")</f>
        <v>Welhome/惠家</v>
      </c>
      <c r="D59" s="16">
        <f>IFERROR(VLOOKUP("咖啡机-14",dat_nespresso_mkt_rk_brand!$C:$AA,5,0),"")</f>
        <v>2316420</v>
      </c>
      <c r="E59" s="37">
        <f>IFERROR(VLOOKUP("咖啡机-14",dat_nespresso_mkt_rk_brand!$C:$AA,7,0),"")</f>
        <v>-0.42979714945344538</v>
      </c>
      <c r="F59" s="37">
        <f>dat_nespresso_mkt_rk_brand!J15</f>
        <v>1.6223188242035582E-2</v>
      </c>
      <c r="G59" s="38">
        <f>dat_nespresso_mkt_rk_brand!AD15</f>
        <v>0</v>
      </c>
      <c r="H59" s="16">
        <f>IFERROR(VLOOKUP("咖啡机-14",dat_nespresso_mkt_rk_brand!$C:$AA,10,0),"")</f>
        <v>544</v>
      </c>
      <c r="I59" s="37">
        <f>IFERROR(VLOOKUP("咖啡机-14",dat_nespresso_mkt_rk_brand!$C:$AA,11,0),"")</f>
        <v>-0.37360862744338741</v>
      </c>
      <c r="J59" s="16">
        <f>IFERROR(VLOOKUP("咖啡机-14",dat_nespresso_mkt_rk_brand!$C:$AA,12,0),"")</f>
        <v>4262</v>
      </c>
      <c r="K59" s="37">
        <f>IFERROR(VLOOKUP("咖啡机-14",dat_nespresso_mkt_rk_brand!$C:$AA,13,0),"")</f>
        <v>-8.9701941105486446E-2</v>
      </c>
      <c r="L59" s="16">
        <f>IFERROR(VLOOKUP("咖啡机-14",dat_nespresso_mkt_rk_brand!$C:$AA,14,0),"")</f>
        <v>54350</v>
      </c>
      <c r="M59" s="37">
        <f>IFERROR(VLOOKUP("咖啡机-14",dat_nespresso_mkt_rk_brand!$C:$AA,15,0),"")</f>
        <v>-0.45503950587574699</v>
      </c>
      <c r="O59" s="14">
        <f>IFERROR(VLOOKUP("咖啡机-14",dat_nespresso_mkt_rk_brand!$C:$AA,18,0),"")</f>
        <v>4062449</v>
      </c>
      <c r="P59" s="225">
        <f t="shared" si="19"/>
        <v>3.2107825160521384</v>
      </c>
    </row>
    <row r="60" spans="2:16" x14ac:dyDescent="0.25">
      <c r="B60" s="36">
        <f>IFERROR(VLOOKUP("咖啡机-15",dat_nespresso_mkt_rk_brand!$C:$AA,25,0),"")</f>
        <v>17</v>
      </c>
      <c r="C60" s="22" t="str">
        <f>IFERROR(VLOOKUP("咖啡机-15",dat_nespresso_mkt_rk_brand!$C:$AA,4,0),"")</f>
        <v>卡伦特</v>
      </c>
      <c r="D60" s="16">
        <f>IFERROR(VLOOKUP("咖啡机-15",dat_nespresso_mkt_rk_brand!$C:$AA,5,0),"")</f>
        <v>2176875</v>
      </c>
      <c r="E60" s="37">
        <f>IFERROR(VLOOKUP("咖啡机-15",dat_nespresso_mkt_rk_brand!$C:$AA,7,0),"")</f>
        <v>2.5233180329142439</v>
      </c>
      <c r="F60" s="37">
        <f>dat_nespresso_mkt_rk_brand!J16</f>
        <v>1.5245876354193628E-2</v>
      </c>
      <c r="G60" s="38">
        <f>dat_nespresso_mkt_rk_brand!AD16</f>
        <v>0</v>
      </c>
      <c r="H60" s="16">
        <f>IFERROR(VLOOKUP("咖啡机-15",dat_nespresso_mkt_rk_brand!$C:$AA,10,0),"")</f>
        <v>995</v>
      </c>
      <c r="I60" s="37">
        <f>IFERROR(VLOOKUP("咖啡机-15",dat_nespresso_mkt_rk_brand!$C:$AA,11,0),"")</f>
        <v>2.2348012749625972</v>
      </c>
      <c r="J60" s="16">
        <f>IFERROR(VLOOKUP("咖啡机-15",dat_nespresso_mkt_rk_brand!$C:$AA,12,0),"")</f>
        <v>2189</v>
      </c>
      <c r="K60" s="37">
        <f>IFERROR(VLOOKUP("咖啡机-15",dat_nespresso_mkt_rk_brand!$C:$AA,13,0),"")</f>
        <v>8.9191493828313595E-2</v>
      </c>
      <c r="L60" s="16">
        <f>IFERROR(VLOOKUP("咖啡机-15",dat_nespresso_mkt_rk_brand!$C:$AA,14,0),"")</f>
        <v>82881</v>
      </c>
      <c r="M60" s="37">
        <f>IFERROR(VLOOKUP("咖啡机-15",dat_nespresso_mkt_rk_brand!$C:$AA,15,0),"")</f>
        <v>7.82670916541989E-2</v>
      </c>
      <c r="O60" s="14">
        <f>IFERROR(VLOOKUP("咖啡机-15",dat_nespresso_mkt_rk_brand!$C:$AA,18,0),"")</f>
        <v>617848</v>
      </c>
      <c r="P60" s="225">
        <f t="shared" si="19"/>
        <v>0.15208757082242755</v>
      </c>
    </row>
    <row r="61" spans="2:16" x14ac:dyDescent="0.25">
      <c r="B61" s="36">
        <f>IFERROR(VLOOKUP("咖啡机-16",dat_nespresso_mkt_rk_brand!$C:$AA,25,0),"")</f>
        <v>7</v>
      </c>
      <c r="C61" s="22" t="str">
        <f>IFERROR(VLOOKUP("咖啡机-16",dat_nespresso_mkt_rk_brand!$C:$AA,4,0),"")</f>
        <v>LaMarzocco</v>
      </c>
      <c r="D61" s="16">
        <f>IFERROR(VLOOKUP("咖啡机-16",dat_nespresso_mkt_rk_brand!$C:$AA,5,0),"")</f>
        <v>1803244</v>
      </c>
      <c r="E61" s="37">
        <f>IFERROR(VLOOKUP("咖啡机-16",dat_nespresso_mkt_rk_brand!$C:$AA,7,0),"")</f>
        <v>0.84455087223278091</v>
      </c>
      <c r="F61" s="37">
        <f>dat_nespresso_mkt_rk_brand!J17</f>
        <v>1.2629128939622871E-2</v>
      </c>
      <c r="G61" s="38">
        <f>dat_nespresso_mkt_rk_brand!AD17</f>
        <v>0</v>
      </c>
      <c r="H61" s="16">
        <f>IFERROR(VLOOKUP("咖啡机-16",dat_nespresso_mkt_rk_brand!$C:$AA,10,0),"")</f>
        <v>0</v>
      </c>
      <c r="I61" s="37">
        <f>IFERROR(VLOOKUP("咖啡机-16",dat_nespresso_mkt_rk_brand!$C:$AA,11,0),"")</f>
        <v>0</v>
      </c>
      <c r="J61" s="16">
        <f>IFERROR(VLOOKUP("咖啡机-16",dat_nespresso_mkt_rk_brand!$C:$AA,12,0),"")</f>
        <v>0</v>
      </c>
      <c r="K61" s="37">
        <f>IFERROR(VLOOKUP("咖啡机-16",dat_nespresso_mkt_rk_brand!$C:$AA,13,0),"")</f>
        <v>0</v>
      </c>
      <c r="L61" s="16">
        <f>IFERROR(VLOOKUP("咖啡机-16",dat_nespresso_mkt_rk_brand!$C:$AA,14,0),"")</f>
        <v>0</v>
      </c>
      <c r="M61" s="37">
        <f>IFERROR(VLOOKUP("咖啡机-16",dat_nespresso_mkt_rk_brand!$C:$AA,15,0),"")</f>
        <v>0</v>
      </c>
      <c r="O61" s="14">
        <f>IFERROR(VLOOKUP("咖啡机-16",dat_nespresso_mkt_rk_brand!$C:$AA,18,0),"")</f>
        <v>977606</v>
      </c>
      <c r="P61" s="225">
        <f t="shared" si="19"/>
        <v>1.5822758995740052</v>
      </c>
    </row>
    <row r="62" spans="2:16" x14ac:dyDescent="0.25">
      <c r="B62" s="36">
        <f>IFERROR(VLOOKUP("咖啡机-17",dat_nespresso_mkt_rk_brand!$C:$AA,25,0),"")</f>
        <v>-5</v>
      </c>
      <c r="C62" s="22" t="str">
        <f>IFERROR(VLOOKUP("咖啡机-17",dat_nespresso_mkt_rk_brand!$C:$AA,4,0),"")</f>
        <v>Derlla</v>
      </c>
      <c r="D62" s="16">
        <f>IFERROR(VLOOKUP("咖啡机-17",dat_nespresso_mkt_rk_brand!$C:$AA,5,0),"")</f>
        <v>1531608</v>
      </c>
      <c r="E62" s="37">
        <f>IFERROR(VLOOKUP("咖啡机-17",dat_nespresso_mkt_rk_brand!$C:$AA,7,0),"")</f>
        <v>-0.45412495968151517</v>
      </c>
      <c r="F62" s="37">
        <f>dat_nespresso_mkt_rk_brand!J18</f>
        <v>1.0726709705928818E-2</v>
      </c>
      <c r="G62" s="38">
        <f>dat_nespresso_mkt_rk_brand!AD18</f>
        <v>0</v>
      </c>
      <c r="H62" s="16">
        <f>IFERROR(VLOOKUP("咖啡机-17",dat_nespresso_mkt_rk_brand!$C:$AA,10,0),"")</f>
        <v>2411</v>
      </c>
      <c r="I62" s="37">
        <f>IFERROR(VLOOKUP("咖啡机-17",dat_nespresso_mkt_rk_brand!$C:$AA,11,0),"")</f>
        <v>-0.32320606444242023</v>
      </c>
      <c r="J62" s="16">
        <f>IFERROR(VLOOKUP("咖啡机-17",dat_nespresso_mkt_rk_brand!$C:$AA,12,0),"")</f>
        <v>635</v>
      </c>
      <c r="K62" s="37">
        <f>IFERROR(VLOOKUP("咖啡机-17",dat_nespresso_mkt_rk_brand!$C:$AA,13,0),"")</f>
        <v>-0.19343981729274329</v>
      </c>
      <c r="L62" s="16">
        <f>IFERROR(VLOOKUP("咖啡机-17",dat_nespresso_mkt_rk_brand!$C:$AA,14,0),"")</f>
        <v>103477</v>
      </c>
      <c r="M62" s="37">
        <f>IFERROR(VLOOKUP("咖啡机-17",dat_nespresso_mkt_rk_brand!$C:$AA,15,0),"")</f>
        <v>-0.39291874449985331</v>
      </c>
      <c r="O62" s="14">
        <f>IFERROR(VLOOKUP("咖啡机-17",dat_nespresso_mkt_rk_brand!$C:$AA,18,0),"")</f>
        <v>2805785</v>
      </c>
      <c r="P62" s="225">
        <f t="shared" si="19"/>
        <v>2.8700570577512821</v>
      </c>
    </row>
    <row r="63" spans="2:16" x14ac:dyDescent="0.25">
      <c r="B63" s="36">
        <f>IFERROR(VLOOKUP("咖啡机-18",dat_nespresso_mkt_rk_brand!$C:$AA,25,0),"")</f>
        <v>15</v>
      </c>
      <c r="C63" s="22" t="str">
        <f>IFERROR(VLOOKUP("咖啡机-18",dat_nespresso_mkt_rk_brand!$C:$AA,4,0),"")</f>
        <v>SUPOR/苏泊尔</v>
      </c>
      <c r="D63" s="16">
        <f>IFERROR(VLOOKUP("咖啡机-18",dat_nespresso_mkt_rk_brand!$C:$AA,5,0),"")</f>
        <v>1481712</v>
      </c>
      <c r="E63" s="37">
        <f>IFERROR(VLOOKUP("咖啡机-18",dat_nespresso_mkt_rk_brand!$C:$AA,7,0),"")</f>
        <v>1.4050252398188581</v>
      </c>
      <c r="F63" s="37">
        <f>dat_nespresso_mkt_rk_brand!J19</f>
        <v>1.0377260037680138E-2</v>
      </c>
      <c r="G63" s="38">
        <f>dat_nespresso_mkt_rk_brand!AD19</f>
        <v>0</v>
      </c>
      <c r="H63" s="16">
        <f>IFERROR(VLOOKUP("咖啡机-18",dat_nespresso_mkt_rk_brand!$C:$AA,10,0),"")</f>
        <v>960</v>
      </c>
      <c r="I63" s="37">
        <f>IFERROR(VLOOKUP("咖啡机-18",dat_nespresso_mkt_rk_brand!$C:$AA,11,0),"")</f>
        <v>4.050599144349933</v>
      </c>
      <c r="J63" s="16">
        <f>IFERROR(VLOOKUP("咖啡机-18",dat_nespresso_mkt_rk_brand!$C:$AA,12,0),"")</f>
        <v>1543</v>
      </c>
      <c r="K63" s="37">
        <f>IFERROR(VLOOKUP("咖啡机-18",dat_nespresso_mkt_rk_brand!$C:$AA,13,0),"")</f>
        <v>-0.52381387414019165</v>
      </c>
      <c r="L63" s="16">
        <f>IFERROR(VLOOKUP("咖啡机-18",dat_nespresso_mkt_rk_brand!$C:$AA,14,0),"")</f>
        <v>143355</v>
      </c>
      <c r="M63" s="37">
        <f>IFERROR(VLOOKUP("咖啡机-18",dat_nespresso_mkt_rk_brand!$C:$AA,15,0),"")</f>
        <v>-0.39694338574926169</v>
      </c>
      <c r="O63" s="14">
        <f>IFERROR(VLOOKUP("咖啡机-18",dat_nespresso_mkt_rk_brand!$C:$AA,18,0),"")</f>
        <v>616090</v>
      </c>
      <c r="P63" s="225">
        <f t="shared" si="19"/>
        <v>0.21957847803734071</v>
      </c>
    </row>
    <row r="64" spans="2:16" x14ac:dyDescent="0.25">
      <c r="B64" s="36">
        <f>IFERROR(VLOOKUP("咖啡机-19",dat_nespresso_mkt_rk_brand!$C:$AA,25,0),"")</f>
        <v>0</v>
      </c>
      <c r="C64" s="22" t="str">
        <f>IFERROR(VLOOKUP("咖啡机-19",dat_nespresso_mkt_rk_brand!$C:$AA,4,0),"")</f>
        <v>MOAIQO/摩巧</v>
      </c>
      <c r="D64" s="16">
        <f>IFERROR(VLOOKUP("咖啡机-19",dat_nespresso_mkt_rk_brand!$C:$AA,5,0),"")</f>
        <v>1368675</v>
      </c>
      <c r="E64" s="37">
        <f>IFERROR(VLOOKUP("咖啡机-19",dat_nespresso_mkt_rk_brand!$C:$AA,7,0),"")</f>
        <v>0</v>
      </c>
      <c r="F64" s="37">
        <f>dat_nespresso_mkt_rk_brand!J20</f>
        <v>9.5855985387658747E-3</v>
      </c>
      <c r="G64" s="38">
        <f>dat_nespresso_mkt_rk_brand!AD20</f>
        <v>0</v>
      </c>
      <c r="H64" s="16">
        <f>IFERROR(VLOOKUP("咖啡机-19",dat_nespresso_mkt_rk_brand!$C:$AA,10,0),"")</f>
        <v>1044</v>
      </c>
      <c r="I64" s="37">
        <f>IFERROR(VLOOKUP("咖啡机-19",dat_nespresso_mkt_rk_brand!$C:$AA,11,0),"")</f>
        <v>0</v>
      </c>
      <c r="J64" s="16">
        <f>IFERROR(VLOOKUP("咖啡机-19",dat_nespresso_mkt_rk_brand!$C:$AA,12,0),"")</f>
        <v>1312</v>
      </c>
      <c r="K64" s="37">
        <f>IFERROR(VLOOKUP("咖啡机-19",dat_nespresso_mkt_rk_brand!$C:$AA,13,0),"")</f>
        <v>0</v>
      </c>
      <c r="L64" s="16">
        <f>IFERROR(VLOOKUP("咖啡机-19",dat_nespresso_mkt_rk_brand!$C:$AA,14,0),"")</f>
        <v>74012</v>
      </c>
      <c r="M64" s="37">
        <f>IFERROR(VLOOKUP("咖啡机-19",dat_nespresso_mkt_rk_brand!$C:$AA,15,0),"")</f>
        <v>0</v>
      </c>
      <c r="O64" s="14">
        <f>IFERROR(VLOOKUP("咖啡机-19",dat_nespresso_mkt_rk_brand!$C:$AA,18,0),"")</f>
        <v>0</v>
      </c>
      <c r="P64" s="225">
        <f t="shared" si="19"/>
        <v>0</v>
      </c>
    </row>
    <row r="65" spans="2:16" x14ac:dyDescent="0.25">
      <c r="B65" s="36">
        <f>IFERROR(VLOOKUP("咖啡机-20",dat_nespresso_mkt_rk_brand!$C:$AA,25,0),"")</f>
        <v>0</v>
      </c>
      <c r="C65" s="22" t="str">
        <f>IFERROR(VLOOKUP("咖啡机-20",dat_nespresso_mkt_rk_brand!$C:$AA,4,0),"")</f>
        <v>SAPOUDR/赛普达</v>
      </c>
      <c r="D65" s="16">
        <f>IFERROR(VLOOKUP("咖啡机-20",dat_nespresso_mkt_rk_brand!$C:$AA,5,0),"")</f>
        <v>1355872</v>
      </c>
      <c r="E65" s="37">
        <f>IFERROR(VLOOKUP("咖啡机-20",dat_nespresso_mkt_rk_brand!$C:$AA,7,0),"")</f>
        <v>0</v>
      </c>
      <c r="F65" s="37">
        <f>dat_nespresso_mkt_rk_brand!J21</f>
        <v>9.495931950209922E-3</v>
      </c>
      <c r="G65" s="38">
        <f>dat_nespresso_mkt_rk_brand!AD21</f>
        <v>0</v>
      </c>
      <c r="H65" s="16">
        <f>IFERROR(VLOOKUP("咖啡机-20",dat_nespresso_mkt_rk_brand!$C:$AA,10,0),"")</f>
        <v>3188</v>
      </c>
      <c r="I65" s="37">
        <f>IFERROR(VLOOKUP("咖啡机-20",dat_nespresso_mkt_rk_brand!$C:$AA,11,0),"")</f>
        <v>0</v>
      </c>
      <c r="J65" s="16">
        <f>IFERROR(VLOOKUP("咖啡机-20",dat_nespresso_mkt_rk_brand!$C:$AA,12,0),"")</f>
        <v>425</v>
      </c>
      <c r="K65" s="37">
        <f>IFERROR(VLOOKUP("咖啡机-20",dat_nespresso_mkt_rk_brand!$C:$AA,13,0),"")</f>
        <v>0</v>
      </c>
      <c r="L65" s="16">
        <f>IFERROR(VLOOKUP("咖啡机-20",dat_nespresso_mkt_rk_brand!$C:$AA,14,0),"")</f>
        <v>178074</v>
      </c>
      <c r="M65" s="37">
        <f>IFERROR(VLOOKUP("咖啡机-20",dat_nespresso_mkt_rk_brand!$C:$AA,15,0),"")</f>
        <v>0</v>
      </c>
      <c r="O65" s="14">
        <f>IFERROR(VLOOKUP("咖啡机-20",dat_nespresso_mkt_rk_brand!$C:$AA,18,0),"")</f>
        <v>0</v>
      </c>
      <c r="P65" s="225" t="str">
        <f t="shared" si="19"/>
        <v/>
      </c>
    </row>
    <row r="66" spans="2:16" x14ac:dyDescent="0.25">
      <c r="E66" s="4"/>
      <c r="F66" s="258"/>
    </row>
    <row r="68" spans="2:16" s="5" customFormat="1" ht="23.5" customHeight="1" x14ac:dyDescent="0.25">
      <c r="B68" s="270" t="s">
        <v>133</v>
      </c>
      <c r="C68" s="271"/>
      <c r="D68" s="271"/>
      <c r="E68" s="271"/>
      <c r="F68" s="271"/>
      <c r="N68" s="6"/>
      <c r="O68" s="6"/>
      <c r="P68" s="6"/>
    </row>
    <row r="70" spans="2:16" ht="16.25" customHeight="1" x14ac:dyDescent="0.25">
      <c r="B70" s="272" t="s">
        <v>134</v>
      </c>
      <c r="C70" s="273"/>
      <c r="D70" s="273"/>
      <c r="E70" s="274"/>
      <c r="F70" s="272" t="s">
        <v>135</v>
      </c>
      <c r="G70" s="273"/>
      <c r="H70" s="274"/>
      <c r="J70" s="299" t="s">
        <v>136</v>
      </c>
      <c r="K70" s="273"/>
      <c r="L70" s="273"/>
      <c r="M70" s="274"/>
    </row>
    <row r="71" spans="2:16" ht="16.25" customHeight="1" x14ac:dyDescent="0.25">
      <c r="B71" s="40" t="s">
        <v>137</v>
      </c>
      <c r="C71" s="10" t="s">
        <v>138</v>
      </c>
      <c r="D71" s="10" t="s">
        <v>139</v>
      </c>
      <c r="E71" s="10" t="s">
        <v>140</v>
      </c>
      <c r="F71" s="10" t="s">
        <v>141</v>
      </c>
      <c r="G71" s="10" t="s">
        <v>142</v>
      </c>
      <c r="H71" s="10" t="s">
        <v>143</v>
      </c>
      <c r="I71" s="1" t="s">
        <v>12405</v>
      </c>
      <c r="J71" s="11" t="s">
        <v>138</v>
      </c>
      <c r="K71" s="11" t="s">
        <v>144</v>
      </c>
      <c r="L71" s="207" t="s">
        <v>10782</v>
      </c>
      <c r="M71" s="207" t="s">
        <v>145</v>
      </c>
    </row>
    <row r="72" spans="2:16" x14ac:dyDescent="0.25">
      <c r="B72" s="22">
        <v>1</v>
      </c>
      <c r="C72" s="12" t="str">
        <f t="shared" ref="C72:C81" si="20">C46</f>
        <v>Delonghi/德龙</v>
      </c>
      <c r="D72" s="33">
        <f>IFERROR(M72/O46,"-")</f>
        <v>0.44137041702575674</v>
      </c>
      <c r="E72" s="33">
        <f t="shared" ref="E72:E81" si="21">IFERROR(L72/D46,"-")</f>
        <v>0.50482117874362331</v>
      </c>
      <c r="F72" s="33">
        <f t="shared" ref="F72:F81" si="22">E46</f>
        <v>2.7920413324376499E-2</v>
      </c>
      <c r="G72" s="33">
        <f t="shared" ref="G72:G81" si="23">IFERROR(L72/M72-1,"-")</f>
        <v>0.17569273945870756</v>
      </c>
      <c r="H72" s="33">
        <f t="shared" ref="H72:H81" si="24">IFERROR((D46-L72)/(O46-M72)-1,"-")</f>
        <v>-8.8833756520193208E-2</v>
      </c>
      <c r="I72" s="224">
        <f>E72-D72</f>
        <v>6.3450761717866566E-2</v>
      </c>
      <c r="J72" s="15" t="str">
        <f t="shared" ref="J72:J81" si="25">C46</f>
        <v>Delonghi/德龙</v>
      </c>
      <c r="K72" s="256" t="s">
        <v>146</v>
      </c>
      <c r="L72" s="19">
        <f>IFERROR(VLOOKUP("咖啡机"&amp;"-"&amp;K72,dat_nespresso_mkt_rk_shop!$D:$H,4,),0)</f>
        <v>20314294</v>
      </c>
      <c r="M72" s="19">
        <f>IFERROR(VLOOKUP("咖啡机"&amp;"-"&amp;K72,dat_nespresso_mkt_rk_shop!$D:$H,5,),0)</f>
        <v>17278574</v>
      </c>
      <c r="O72" s="16"/>
    </row>
    <row r="73" spans="2:16" x14ac:dyDescent="0.25">
      <c r="B73" s="22">
        <v>2</v>
      </c>
      <c r="C73" s="12" t="str">
        <f t="shared" si="20"/>
        <v>格米莱</v>
      </c>
      <c r="D73" s="33">
        <f t="shared" ref="D73:D81" si="26">IFERROR(M73/O47,"-")</f>
        <v>0.40314444115980996</v>
      </c>
      <c r="E73" s="33">
        <f t="shared" si="21"/>
        <v>0.85606121993043161</v>
      </c>
      <c r="F73" s="33">
        <f t="shared" si="22"/>
        <v>1.0136466103948221</v>
      </c>
      <c r="G73" s="33">
        <f t="shared" si="23"/>
        <v>3.2758986551920204</v>
      </c>
      <c r="H73" s="33">
        <f t="shared" si="24"/>
        <v>-0.51438529423320944</v>
      </c>
      <c r="I73" s="224">
        <f t="shared" ref="I73:I81" si="27">E73-D73</f>
        <v>0.45291677877062164</v>
      </c>
      <c r="J73" s="15" t="str">
        <f t="shared" si="25"/>
        <v>格米莱</v>
      </c>
      <c r="K73" s="256" t="s">
        <v>147</v>
      </c>
      <c r="L73" s="19">
        <f>IFERROR(VLOOKUP("咖啡机"&amp;"-"&amp;K73,dat_nespresso_mkt_rk_shop!$D:$H,4,),0)</f>
        <v>10437862</v>
      </c>
      <c r="M73" s="19">
        <f>IFERROR(VLOOKUP("咖啡机"&amp;"-"&amp;K73,dat_nespresso_mkt_rk_shop!$D:$H,5,),0)</f>
        <v>2441092</v>
      </c>
      <c r="N73" s="16" t="s">
        <v>147</v>
      </c>
      <c r="O73" s="16"/>
    </row>
    <row r="74" spans="2:16" x14ac:dyDescent="0.25">
      <c r="B74" s="22">
        <v>3</v>
      </c>
      <c r="C74" s="12" t="str">
        <f t="shared" si="20"/>
        <v>Barsetto/百胜图</v>
      </c>
      <c r="D74" s="33">
        <f t="shared" si="26"/>
        <v>0.75407074830135867</v>
      </c>
      <c r="E74" s="33">
        <f t="shared" si="21"/>
        <v>0.80118694511069533</v>
      </c>
      <c r="F74" s="33">
        <f t="shared" si="22"/>
        <v>-0.32194498123315229</v>
      </c>
      <c r="G74" s="33">
        <f t="shared" si="23"/>
        <v>-0.27957843434913265</v>
      </c>
      <c r="H74" s="33">
        <f t="shared" si="24"/>
        <v>-0.45184971396061646</v>
      </c>
      <c r="I74" s="224">
        <f t="shared" si="27"/>
        <v>4.7116196809336652E-2</v>
      </c>
      <c r="J74" s="15" t="str">
        <f t="shared" si="25"/>
        <v>Barsetto/百胜图</v>
      </c>
      <c r="K74" s="256" t="s">
        <v>148</v>
      </c>
      <c r="L74" s="19">
        <f>IFERROR(VLOOKUP("咖啡机"&amp;"-"&amp;K74,dat_nespresso_mkt_rk_shop!$D:$H,4,),0)</f>
        <v>7975115</v>
      </c>
      <c r="M74" s="19">
        <f>IFERROR(VLOOKUP("咖啡机"&amp;"-"&amp;K74,dat_nespresso_mkt_rk_shop!$D:$H,5,),0)</f>
        <v>11070067</v>
      </c>
      <c r="O74" s="16"/>
    </row>
    <row r="75" spans="2:16" x14ac:dyDescent="0.25">
      <c r="B75" s="22">
        <v>4</v>
      </c>
      <c r="C75" s="12" t="str">
        <f t="shared" si="20"/>
        <v>Petrus/柏翠</v>
      </c>
      <c r="D75" s="33">
        <f t="shared" si="26"/>
        <v>0.32487829179538258</v>
      </c>
      <c r="E75" s="33">
        <f t="shared" si="21"/>
        <v>0.57682872669049901</v>
      </c>
      <c r="F75" s="33">
        <f t="shared" si="22"/>
        <v>-1.354732392766214E-2</v>
      </c>
      <c r="G75" s="33">
        <f t="shared" si="23"/>
        <v>0.75146895144851067</v>
      </c>
      <c r="H75" s="33">
        <f t="shared" si="24"/>
        <v>-0.38168417646766339</v>
      </c>
      <c r="I75" s="224">
        <f t="shared" si="27"/>
        <v>0.25195043489511643</v>
      </c>
      <c r="J75" s="15" t="str">
        <f t="shared" si="25"/>
        <v>Petrus/柏翠</v>
      </c>
      <c r="K75" s="256" t="s">
        <v>151</v>
      </c>
      <c r="L75" s="19">
        <f>IFERROR(VLOOKUP("咖啡机"&amp;"-"&amp;K75,dat_nespresso_mkt_rk_shop!$D:$H,4,),0)</f>
        <v>4678389</v>
      </c>
      <c r="M75" s="19">
        <f>IFERROR(VLOOKUP("咖啡机"&amp;"-"&amp;K75,dat_nespresso_mkt_rk_shop!$D:$H,5,),0)</f>
        <v>2671123</v>
      </c>
      <c r="O75" s="16"/>
    </row>
    <row r="76" spans="2:16" x14ac:dyDescent="0.25">
      <c r="B76" s="22">
        <v>5</v>
      </c>
      <c r="C76" s="12" t="str">
        <f t="shared" si="20"/>
        <v>NESPRESSO/奈斯派索</v>
      </c>
      <c r="D76" s="33">
        <f t="shared" si="26"/>
        <v>0.75772228978066025</v>
      </c>
      <c r="E76" s="33">
        <f t="shared" si="21"/>
        <v>0.64238814124696264</v>
      </c>
      <c r="F76" s="33">
        <f t="shared" si="22"/>
        <v>-0.38206431563302262</v>
      </c>
      <c r="G76" s="33">
        <f t="shared" si="23"/>
        <v>-0.47612131641847322</v>
      </c>
      <c r="H76" s="33">
        <f t="shared" si="24"/>
        <v>-8.7901530535988703E-2</v>
      </c>
      <c r="I76" s="224">
        <f t="shared" si="27"/>
        <v>-0.11533414853369761</v>
      </c>
      <c r="J76" s="15" t="str">
        <f t="shared" si="25"/>
        <v>NESPRESSO/奈斯派索</v>
      </c>
      <c r="K76" s="256" t="s">
        <v>150</v>
      </c>
      <c r="L76" s="19">
        <f>IFERROR(VLOOKUP("咖啡机"&amp;"-"&amp;K76,dat_nespresso_mkt_rk_shop!$D:$H,4,),0)</f>
        <v>4406791</v>
      </c>
      <c r="M76" s="19">
        <f>IFERROR(VLOOKUP("咖啡机"&amp;"-"&amp;K76,dat_nespresso_mkt_rk_shop!$D:$H,5,),0)</f>
        <v>8411854</v>
      </c>
      <c r="O76" s="16"/>
    </row>
    <row r="77" spans="2:16" x14ac:dyDescent="0.25">
      <c r="B77" s="22">
        <v>6</v>
      </c>
      <c r="C77" s="12" t="str">
        <f t="shared" si="20"/>
        <v>Philips/飞利浦</v>
      </c>
      <c r="D77" s="33">
        <f t="shared" si="26"/>
        <v>0.51225966139309409</v>
      </c>
      <c r="E77" s="33">
        <f t="shared" si="21"/>
        <v>0.32244036244529706</v>
      </c>
      <c r="F77" s="33">
        <f t="shared" si="22"/>
        <v>-0.41820738568781812</v>
      </c>
      <c r="G77" s="33">
        <f t="shared" si="23"/>
        <v>-0.63379232142414821</v>
      </c>
      <c r="H77" s="33">
        <f t="shared" si="24"/>
        <v>-0.19178472297106897</v>
      </c>
      <c r="I77" s="224">
        <f t="shared" si="27"/>
        <v>-0.18981929894779703</v>
      </c>
      <c r="J77" s="15" t="str">
        <f t="shared" si="25"/>
        <v>Philips/飞利浦</v>
      </c>
      <c r="K77" s="256" t="s">
        <v>149</v>
      </c>
      <c r="L77" s="19">
        <f>IFERROR(VLOOKUP("咖啡机"&amp;"-"&amp;K77,dat_nespresso_mkt_rk_shop!$D:$H,4,),0)</f>
        <v>1936749</v>
      </c>
      <c r="M77" s="19">
        <f>IFERROR(VLOOKUP("咖啡机"&amp;"-"&amp;K77,dat_nespresso_mkt_rk_shop!$D:$H,5,),0)</f>
        <v>5288663</v>
      </c>
      <c r="N77" s="16" t="s">
        <v>149</v>
      </c>
      <c r="O77" s="16"/>
    </row>
    <row r="78" spans="2:16" x14ac:dyDescent="0.25">
      <c r="B78" s="22">
        <v>7</v>
      </c>
      <c r="C78" s="12" t="str">
        <f t="shared" si="20"/>
        <v>maxim'sdeparis</v>
      </c>
      <c r="D78" s="33">
        <f t="shared" si="26"/>
        <v>0.84673611301981699</v>
      </c>
      <c r="E78" s="33">
        <f t="shared" si="21"/>
        <v>0.86442979062467884</v>
      </c>
      <c r="F78" s="33">
        <f t="shared" si="22"/>
        <v>-0.40358656515405539</v>
      </c>
      <c r="G78" s="33">
        <f t="shared" si="23"/>
        <v>-0.39112371294649229</v>
      </c>
      <c r="H78" s="33">
        <f t="shared" si="24"/>
        <v>-0.47244001291201898</v>
      </c>
      <c r="I78" s="224">
        <f t="shared" si="27"/>
        <v>1.7693677604861846E-2</v>
      </c>
      <c r="J78" s="15" t="str">
        <f t="shared" si="25"/>
        <v>maxim'sdeparis</v>
      </c>
      <c r="K78" s="256" t="s">
        <v>154</v>
      </c>
      <c r="L78" s="19">
        <f>IFERROR(VLOOKUP("咖啡机"&amp;"-"&amp;K78,dat_nespresso_mkt_rk_shop!$D:$H,4,),0)</f>
        <v>3751506</v>
      </c>
      <c r="M78" s="19">
        <f>IFERROR(VLOOKUP("咖啡机"&amp;"-"&amp;K78,dat_nespresso_mkt_rk_shop!$D:$H,5,),0)</f>
        <v>6161360</v>
      </c>
      <c r="O78" s="16"/>
    </row>
    <row r="79" spans="2:16" x14ac:dyDescent="0.25">
      <c r="B79" s="22">
        <v>8</v>
      </c>
      <c r="C79" s="12" t="str">
        <f t="shared" si="20"/>
        <v>Breville/铂富</v>
      </c>
      <c r="D79" s="33">
        <f t="shared" si="26"/>
        <v>0.12628467133452298</v>
      </c>
      <c r="E79" s="33">
        <f t="shared" si="21"/>
        <v>0.19461444308445533</v>
      </c>
      <c r="F79" s="33">
        <f t="shared" si="22"/>
        <v>-0.37226468434956628</v>
      </c>
      <c r="G79" s="33">
        <f t="shared" si="23"/>
        <v>-3.2611340958870749E-2</v>
      </c>
      <c r="H79" s="33">
        <f t="shared" si="24"/>
        <v>-0.42135734580404849</v>
      </c>
      <c r="I79" s="224">
        <f t="shared" si="27"/>
        <v>6.832977174993235E-2</v>
      </c>
      <c r="J79" s="15" t="str">
        <f t="shared" si="25"/>
        <v>Breville/铂富</v>
      </c>
      <c r="K79" s="256" t="s">
        <v>153</v>
      </c>
      <c r="L79" s="19">
        <f>IFERROR(VLOOKUP("咖啡机"&amp;"-"&amp;K79,dat_nespresso_mkt_rk_shop!$D:$H,4,),0)</f>
        <v>822825</v>
      </c>
      <c r="M79" s="19">
        <f>IFERROR(VLOOKUP("咖啡机"&amp;"-"&amp;K79,dat_nespresso_mkt_rk_shop!$D:$H,5,),0)</f>
        <v>850563</v>
      </c>
      <c r="O79" s="16"/>
    </row>
    <row r="80" spans="2:16" x14ac:dyDescent="0.25">
      <c r="B80" s="22">
        <v>9</v>
      </c>
      <c r="C80" s="12" t="str">
        <f t="shared" si="20"/>
        <v>SMEG</v>
      </c>
      <c r="D80" s="33">
        <f t="shared" si="26"/>
        <v>0.56756370460380701</v>
      </c>
      <c r="E80" s="33">
        <f t="shared" si="21"/>
        <v>0.65168829070965717</v>
      </c>
      <c r="F80" s="33">
        <f t="shared" si="22"/>
        <v>-0.34936962955259848</v>
      </c>
      <c r="G80" s="33">
        <f t="shared" si="23"/>
        <v>-0.25293285923446973</v>
      </c>
      <c r="H80" s="33">
        <f t="shared" si="24"/>
        <v>-0.47594089844120313</v>
      </c>
      <c r="I80" s="224">
        <f t="shared" si="27"/>
        <v>8.4124586105850163E-2</v>
      </c>
      <c r="J80" s="15" t="str">
        <f t="shared" si="25"/>
        <v>SMEG</v>
      </c>
      <c r="K80" s="256" t="s">
        <v>152</v>
      </c>
      <c r="L80" s="19">
        <f>IFERROR(VLOOKUP("咖啡机"&amp;"-"&amp;K80,dat_nespresso_mkt_rk_shop!$D:$H,4,),0)</f>
        <v>2678796</v>
      </c>
      <c r="M80" s="19">
        <f>IFERROR(VLOOKUP("咖啡机"&amp;"-"&amp;K80,dat_nespresso_mkt_rk_shop!$D:$H,5,),0)</f>
        <v>3585750</v>
      </c>
      <c r="O80" s="16"/>
    </row>
    <row r="81" spans="2:33" x14ac:dyDescent="0.25">
      <c r="B81" s="22">
        <v>10</v>
      </c>
      <c r="C81" s="12" t="str">
        <f t="shared" si="20"/>
        <v>Bear/小熊</v>
      </c>
      <c r="D81" s="33">
        <f t="shared" si="26"/>
        <v>0</v>
      </c>
      <c r="E81" s="33">
        <f t="shared" si="21"/>
        <v>0.56956664681556557</v>
      </c>
      <c r="F81" s="33">
        <f t="shared" si="22"/>
        <v>1.336794775328916</v>
      </c>
      <c r="G81" s="33" t="str">
        <f t="shared" si="23"/>
        <v>-</v>
      </c>
      <c r="H81" s="33">
        <f t="shared" si="24"/>
        <v>5.8344108486925172E-3</v>
      </c>
      <c r="I81" s="224">
        <f t="shared" si="27"/>
        <v>0.56956664681556557</v>
      </c>
      <c r="J81" s="15" t="str">
        <f t="shared" si="25"/>
        <v>Bear/小熊</v>
      </c>
      <c r="K81" s="256" t="s">
        <v>4089</v>
      </c>
      <c r="L81" s="19">
        <f>IFERROR(VLOOKUP("咖啡机"&amp;"-"&amp;K81,dat_nespresso_mkt_rk_shop!$D:$H,4,),0)</f>
        <v>2186326</v>
      </c>
      <c r="M81" s="19">
        <f>IFERROR(VLOOKUP("咖啡机"&amp;"-"&amp;K81,dat_nespresso_mkt_rk_shop!$D:$H,5,),0)</f>
        <v>0</v>
      </c>
      <c r="O81" s="16"/>
    </row>
    <row r="83" spans="2:33" s="5" customFormat="1" ht="23.5" customHeight="1" x14ac:dyDescent="0.25">
      <c r="B83" s="270" t="s">
        <v>156</v>
      </c>
      <c r="C83" s="271"/>
      <c r="D83" s="271"/>
      <c r="E83" s="271"/>
      <c r="F83" s="271"/>
      <c r="N83" s="6"/>
      <c r="O83" s="6"/>
      <c r="P83" s="6"/>
    </row>
    <row r="84" spans="2:33" s="2" customFormat="1" ht="16.25" customHeight="1" x14ac:dyDescent="0.25">
      <c r="C84" s="7"/>
      <c r="D84" s="7"/>
      <c r="K84" s="3"/>
      <c r="L84" s="3"/>
      <c r="M84" s="3"/>
    </row>
    <row r="85" spans="2:33" ht="16.25" customHeight="1" x14ac:dyDescent="0.25">
      <c r="B85" s="41" t="s">
        <v>157</v>
      </c>
      <c r="G85" s="299" t="s">
        <v>158</v>
      </c>
      <c r="H85" s="273"/>
      <c r="I85" s="273"/>
      <c r="J85" s="273"/>
      <c r="K85" s="273"/>
      <c r="L85" s="273"/>
      <c r="M85" s="273"/>
      <c r="N85" s="273"/>
      <c r="O85" s="273"/>
      <c r="P85" s="273"/>
      <c r="Q85" s="273"/>
      <c r="R85" s="273"/>
      <c r="S85" s="274"/>
      <c r="U85" s="299" t="s">
        <v>159</v>
      </c>
      <c r="V85" s="273"/>
      <c r="W85" s="273"/>
      <c r="X85" s="273"/>
      <c r="Y85" s="273"/>
      <c r="Z85" s="273"/>
      <c r="AA85" s="273"/>
      <c r="AB85" s="273"/>
      <c r="AC85" s="273"/>
      <c r="AD85" s="273"/>
      <c r="AE85" s="273"/>
      <c r="AF85" s="273"/>
      <c r="AG85" s="274"/>
    </row>
    <row r="86" spans="2:33" ht="16.25" customHeight="1" x14ac:dyDescent="0.25">
      <c r="B86" s="272" t="s">
        <v>160</v>
      </c>
      <c r="C86" s="273"/>
      <c r="D86" s="273"/>
      <c r="E86" s="274"/>
      <c r="G86" s="11"/>
      <c r="H86" s="194">
        <v>2023.01</v>
      </c>
      <c r="I86" s="194">
        <v>2023.02</v>
      </c>
      <c r="J86" s="194">
        <v>2023.03</v>
      </c>
      <c r="K86" s="194">
        <v>2023.04</v>
      </c>
      <c r="L86" s="194">
        <v>2023.05</v>
      </c>
      <c r="M86" s="194">
        <v>2023.06</v>
      </c>
      <c r="N86" s="194">
        <v>2023.07</v>
      </c>
      <c r="O86" s="194">
        <v>2023.08</v>
      </c>
      <c r="P86" s="194">
        <v>2023.09</v>
      </c>
      <c r="Q86" s="194" t="s">
        <v>161</v>
      </c>
      <c r="R86" s="194">
        <v>2023.11</v>
      </c>
      <c r="S86" s="194">
        <v>2023.12</v>
      </c>
      <c r="U86" s="11"/>
      <c r="V86" s="11" t="s">
        <v>4</v>
      </c>
      <c r="W86" s="11" t="s">
        <v>5</v>
      </c>
      <c r="X86" s="11" t="s">
        <v>6</v>
      </c>
      <c r="Y86" s="11" t="s">
        <v>7</v>
      </c>
      <c r="Z86" s="11" t="s">
        <v>8</v>
      </c>
      <c r="AA86" s="11" t="s">
        <v>9</v>
      </c>
      <c r="AB86" s="11" t="s">
        <v>10</v>
      </c>
      <c r="AC86" s="11" t="s">
        <v>11</v>
      </c>
      <c r="AD86" s="11" t="s">
        <v>12</v>
      </c>
      <c r="AE86" s="11" t="s">
        <v>13</v>
      </c>
      <c r="AF86" s="11" t="s">
        <v>14</v>
      </c>
      <c r="AG86" s="11" t="s">
        <v>15</v>
      </c>
    </row>
    <row r="87" spans="2:33" ht="16.25" customHeight="1" x14ac:dyDescent="0.25">
      <c r="B87" s="10"/>
      <c r="C87" s="10" t="s">
        <v>162</v>
      </c>
      <c r="D87" s="10" t="s">
        <v>24</v>
      </c>
      <c r="E87" s="10" t="s">
        <v>163</v>
      </c>
      <c r="F87" s="323" t="s">
        <v>16</v>
      </c>
      <c r="G87" s="15" t="s">
        <v>106</v>
      </c>
      <c r="H87" s="16">
        <f>IFERROR(VLOOKUP("咖啡机"&amp;"-"&amp;H86,dat_nespresso_shop_ct_each!$C:$H,2,0),"")</f>
        <v>4342139</v>
      </c>
      <c r="I87" s="16">
        <f>IFERROR(VLOOKUP("咖啡机"&amp;"-"&amp;I86,dat_nespresso_shop_ct_each!$C:$H,2,0),"")</f>
        <v>4698419</v>
      </c>
      <c r="J87" s="16">
        <f>IFERROR(VLOOKUP("咖啡机"&amp;"-"&amp;J86,dat_nespresso_shop_ct_each!$C:$H,2,0),"")</f>
        <v>6979963</v>
      </c>
      <c r="K87" s="16">
        <f>IFERROR(VLOOKUP("咖啡机"&amp;"-"&amp;K86,dat_nespresso_shop_ct_each!$C:$H,2,0),"")</f>
        <v>5519409</v>
      </c>
      <c r="L87" s="16">
        <f>IFERROR(VLOOKUP("咖啡机"&amp;"-"&amp;L86,dat_nespresso_shop_ct_each!$C:$H,2,0),"")</f>
        <v>9669213</v>
      </c>
      <c r="M87" s="16">
        <f>IFERROR(VLOOKUP("咖啡机"&amp;"-"&amp;M86,dat_nespresso_shop_ct_each!$C:$H,2,0),"")</f>
        <v>13463656</v>
      </c>
      <c r="N87" s="16">
        <f>IFERROR(VLOOKUP("咖啡机"&amp;"-"&amp;N86,dat_nespresso_shop_ct_each!$C:$H,2,0),"")</f>
        <v>2919505</v>
      </c>
      <c r="O87" s="16">
        <f>IFERROR(VLOOKUP("咖啡机"&amp;"-"&amp;O86,dat_nespresso_shop_ct_each!$C:$H,2,0),"")</f>
        <v>4150051</v>
      </c>
      <c r="P87" s="16">
        <f>IFERROR(VLOOKUP("咖啡机"&amp;"-"&amp;P86,dat_nespresso_shop_ct_each!$C:$H,2,0),"")</f>
        <v>3853764</v>
      </c>
      <c r="Q87" s="16">
        <f>IFERROR(VLOOKUP("咖啡机"&amp;"-"&amp;Q86,dat_nespresso_shop_ct_each!$C:$H,2,0),"")</f>
        <v>11672199</v>
      </c>
      <c r="R87" s="16">
        <f>IFERROR(VLOOKUP("咖啡机"&amp;"-"&amp;R86,dat_nespresso_shop_ct_each!$C:$H,2,0),"")</f>
        <v>15245726</v>
      </c>
      <c r="S87" s="16">
        <f>IFERROR(VLOOKUP("咖啡机"&amp;"-"&amp;S86,dat_nespresso_shop_ct_each!$C:$H,2,0),"")</f>
        <v>4406802</v>
      </c>
      <c r="U87" s="15" t="s">
        <v>106</v>
      </c>
      <c r="V87" s="16">
        <v>7573774</v>
      </c>
      <c r="W87" s="16">
        <v>4987263</v>
      </c>
      <c r="X87" s="16">
        <v>8118179</v>
      </c>
      <c r="Y87" s="16">
        <v>3837444</v>
      </c>
      <c r="Z87" s="16">
        <v>12286956</v>
      </c>
      <c r="AA87" s="16">
        <v>19112656</v>
      </c>
      <c r="AB87" s="16">
        <v>3617627</v>
      </c>
      <c r="AC87" s="16">
        <v>5237200</v>
      </c>
      <c r="AD87" s="16">
        <v>8825401</v>
      </c>
      <c r="AE87" s="16">
        <v>16268726</v>
      </c>
      <c r="AF87" s="16">
        <v>20131609</v>
      </c>
      <c r="AG87" s="16">
        <v>8411848</v>
      </c>
    </row>
    <row r="88" spans="2:33" x14ac:dyDescent="0.25">
      <c r="B88" s="12" t="s">
        <v>106</v>
      </c>
      <c r="C88" s="16">
        <f>S87</f>
        <v>4406802</v>
      </c>
      <c r="D88" s="17">
        <f>R92</f>
        <v>-0.24269709390839056</v>
      </c>
      <c r="E88" s="17" t="str">
        <f>N12</f>
        <v/>
      </c>
      <c r="F88" s="281"/>
      <c r="G88" s="15" t="s">
        <v>107</v>
      </c>
      <c r="H88" s="16">
        <f>IFERROR(VLOOKUP("咖啡机"&amp;"-"&amp;H86,dat_nespresso_shop_ct_each!$C:$H,3,0),"")</f>
        <v>2985</v>
      </c>
      <c r="I88" s="16">
        <f>IFERROR(VLOOKUP("咖啡机"&amp;"-"&amp;I86,dat_nespresso_shop_ct_each!$C:$H,3,0),"")</f>
        <v>3201</v>
      </c>
      <c r="J88" s="16">
        <f>IFERROR(VLOOKUP("咖啡机"&amp;"-"&amp;J86,dat_nespresso_shop_ct_each!$C:$H,3,0),"")</f>
        <v>5117</v>
      </c>
      <c r="K88" s="16">
        <f>IFERROR(VLOOKUP("咖啡机"&amp;"-"&amp;K86,dat_nespresso_shop_ct_each!$C:$H,3,0),"")</f>
        <v>3994</v>
      </c>
      <c r="L88" s="16">
        <f>IFERROR(VLOOKUP("咖啡机"&amp;"-"&amp;L86,dat_nespresso_shop_ct_each!$C:$H,3,0),"")</f>
        <v>8969</v>
      </c>
      <c r="M88" s="16">
        <f>IFERROR(VLOOKUP("咖啡机"&amp;"-"&amp;M86,dat_nespresso_shop_ct_each!$C:$H,3,0),"")</f>
        <v>11085</v>
      </c>
      <c r="N88" s="16">
        <f>IFERROR(VLOOKUP("咖啡机"&amp;"-"&amp;N86,dat_nespresso_shop_ct_each!$C:$H,3,0),"")</f>
        <v>2215</v>
      </c>
      <c r="O88" s="16">
        <f>IFERROR(VLOOKUP("咖啡机"&amp;"-"&amp;O86,dat_nespresso_shop_ct_each!$C:$H,3,0),"")</f>
        <v>3079</v>
      </c>
      <c r="P88" s="16">
        <f>IFERROR(VLOOKUP("咖啡机"&amp;"-"&amp;P86,dat_nespresso_shop_ct_each!$C:$H,3,0),"")</f>
        <v>3075</v>
      </c>
      <c r="Q88" s="16">
        <f>IFERROR(VLOOKUP("咖啡机"&amp;"-"&amp;Q86,dat_nespresso_shop_ct_each!$C:$H,3,0),"")</f>
        <v>10240</v>
      </c>
      <c r="R88" s="16">
        <f>IFERROR(VLOOKUP("咖啡机"&amp;"-"&amp;R86,dat_nespresso_shop_ct_each!$C:$H,3,0),"")</f>
        <v>11636</v>
      </c>
      <c r="S88" s="16">
        <f>IFERROR(VLOOKUP("咖啡机"&amp;"-"&amp;S86,dat_nespresso_shop_ct_each!$C:$H,3,0),"")</f>
        <v>3003</v>
      </c>
      <c r="U88" s="15" t="s">
        <v>107</v>
      </c>
      <c r="V88" s="16">
        <v>5056</v>
      </c>
      <c r="W88" s="16">
        <v>3396</v>
      </c>
      <c r="X88" s="16">
        <v>6729</v>
      </c>
      <c r="Y88" s="16">
        <v>2751</v>
      </c>
      <c r="Z88" s="16">
        <v>10629</v>
      </c>
      <c r="AA88" s="16">
        <v>14417</v>
      </c>
      <c r="AB88" s="16">
        <v>2632</v>
      </c>
      <c r="AC88" s="16">
        <v>4254</v>
      </c>
      <c r="AD88" s="16">
        <v>7585</v>
      </c>
      <c r="AE88" s="16">
        <v>13923</v>
      </c>
      <c r="AF88" s="16">
        <v>15603</v>
      </c>
      <c r="AG88" s="16">
        <v>6954</v>
      </c>
    </row>
    <row r="89" spans="2:33" x14ac:dyDescent="0.25">
      <c r="B89" s="12" t="s">
        <v>107</v>
      </c>
      <c r="C89" s="16">
        <f>S88</f>
        <v>3003</v>
      </c>
      <c r="D89" s="17">
        <f>R93</f>
        <v>-0.25424597833749918</v>
      </c>
      <c r="E89" s="17" t="str">
        <f>N13</f>
        <v/>
      </c>
      <c r="F89" s="281"/>
      <c r="G89" s="15" t="s">
        <v>108</v>
      </c>
      <c r="H89" s="16">
        <f>IFERROR(VLOOKUP("咖啡机"&amp;"-"&amp;H86,dat_nespresso_shop_ct_each!$C:$H,4,0),"")</f>
        <v>315945</v>
      </c>
      <c r="I89" s="16">
        <f>IFERROR(VLOOKUP("咖啡机"&amp;"-"&amp;I86,dat_nespresso_shop_ct_each!$C:$H,4,0),"")</f>
        <v>202961</v>
      </c>
      <c r="J89" s="16">
        <f>IFERROR(VLOOKUP("咖啡机"&amp;"-"&amp;J86,dat_nespresso_shop_ct_each!$C:$H,4,0),"")</f>
        <v>261856</v>
      </c>
      <c r="K89" s="16">
        <f>IFERROR(VLOOKUP("咖啡机"&amp;"-"&amp;K86,dat_nespresso_shop_ct_each!$C:$H,4,0),"")</f>
        <v>5271802</v>
      </c>
      <c r="L89" s="16">
        <f>IFERROR(VLOOKUP("咖啡机"&amp;"-"&amp;L86,dat_nespresso_shop_ct_each!$C:$H,4,0),"")</f>
        <v>572396</v>
      </c>
      <c r="M89" s="16">
        <f>IFERROR(VLOOKUP("咖啡机"&amp;"-"&amp;M86,dat_nespresso_shop_ct_each!$C:$H,4,0),"")</f>
        <v>747179</v>
      </c>
      <c r="N89" s="16">
        <f>IFERROR(VLOOKUP("咖啡机"&amp;"-"&amp;N86,dat_nespresso_shop_ct_each!$C:$H,4,0),"")</f>
        <v>169417</v>
      </c>
      <c r="O89" s="16">
        <f>IFERROR(VLOOKUP("咖啡机"&amp;"-"&amp;O86,dat_nespresso_shop_ct_each!$C:$H,4,0),"")</f>
        <v>222775</v>
      </c>
      <c r="P89" s="16">
        <f>IFERROR(VLOOKUP("咖啡机"&amp;"-"&amp;P86,dat_nespresso_shop_ct_each!$C:$H,4,0),"")</f>
        <v>220275</v>
      </c>
      <c r="Q89" s="16">
        <f>IFERROR(VLOOKUP("咖啡机"&amp;"-"&amp;Q86,dat_nespresso_shop_ct_each!$C:$H,4,0),"")</f>
        <v>674470</v>
      </c>
      <c r="R89" s="16">
        <f>IFERROR(VLOOKUP("咖啡机"&amp;"-"&amp;R86,dat_nespresso_shop_ct_each!$C:$H,4,0),"")</f>
        <v>746175</v>
      </c>
      <c r="S89" s="16">
        <f>IFERROR(VLOOKUP("咖啡机"&amp;"-"&amp;S86,dat_nespresso_shop_ct_each!$C:$H,4,0),"")</f>
        <v>286638</v>
      </c>
      <c r="U89" s="15" t="s">
        <v>108</v>
      </c>
      <c r="V89" s="16">
        <v>343930</v>
      </c>
      <c r="W89" s="16">
        <v>197318</v>
      </c>
      <c r="X89" s="16">
        <v>228984</v>
      </c>
      <c r="Y89" s="16">
        <v>177048</v>
      </c>
      <c r="Z89" s="16">
        <v>384204</v>
      </c>
      <c r="AA89" s="16">
        <v>564367</v>
      </c>
      <c r="AB89" s="16">
        <v>138343</v>
      </c>
      <c r="AC89" s="16">
        <v>293437</v>
      </c>
      <c r="AD89" s="16">
        <v>377817</v>
      </c>
      <c r="AE89" s="16">
        <v>1237108</v>
      </c>
      <c r="AF89" s="16">
        <v>1014950</v>
      </c>
      <c r="AG89" s="16">
        <v>476228</v>
      </c>
    </row>
    <row r="90" spans="2:33" x14ac:dyDescent="0.25">
      <c r="B90" s="12" t="s">
        <v>108</v>
      </c>
      <c r="C90" s="16">
        <f>S89</f>
        <v>286638</v>
      </c>
      <c r="D90" s="17">
        <f>R94</f>
        <v>-0.26481600078821621</v>
      </c>
      <c r="E90" s="17" t="str">
        <f>N14</f>
        <v/>
      </c>
      <c r="F90" s="281"/>
      <c r="G90" s="15" t="s">
        <v>21</v>
      </c>
      <c r="H90" s="192">
        <f t="shared" ref="H90:S90" si="28">IFERROR(H88/H89,"")</f>
        <v>9.4478469353843231E-3</v>
      </c>
      <c r="I90" s="192">
        <f t="shared" si="28"/>
        <v>1.577150289957184E-2</v>
      </c>
      <c r="J90" s="192">
        <f t="shared" si="28"/>
        <v>1.9541274593669802E-2</v>
      </c>
      <c r="K90" s="192">
        <f t="shared" si="28"/>
        <v>7.5761570711494852E-4</v>
      </c>
      <c r="L90" s="192">
        <f t="shared" si="28"/>
        <v>1.5669222007141909E-2</v>
      </c>
      <c r="M90" s="192">
        <f t="shared" si="28"/>
        <v>1.483580239808667E-2</v>
      </c>
      <c r="N90" s="192">
        <f t="shared" si="28"/>
        <v>1.3074248747174132E-2</v>
      </c>
      <c r="O90" s="192">
        <f t="shared" si="28"/>
        <v>1.3821119964089327E-2</v>
      </c>
      <c r="P90" s="192">
        <f t="shared" si="28"/>
        <v>1.3959822948586994E-2</v>
      </c>
      <c r="Q90" s="192">
        <f t="shared" si="28"/>
        <v>1.5182291280561033E-2</v>
      </c>
      <c r="R90" s="192">
        <f t="shared" si="28"/>
        <v>1.5594197071732502E-2</v>
      </c>
      <c r="S90" s="192">
        <f t="shared" si="28"/>
        <v>1.0476629058254663E-2</v>
      </c>
      <c r="U90" s="15" t="s">
        <v>21</v>
      </c>
      <c r="V90" s="38">
        <v>1.4999999999999999E-2</v>
      </c>
      <c r="W90" s="38">
        <v>1.7000000000000001E-2</v>
      </c>
      <c r="X90" s="38">
        <v>2.9000000000000001E-2</v>
      </c>
      <c r="Y90" s="38">
        <v>1.6E-2</v>
      </c>
      <c r="Z90" s="38">
        <v>2.8000000000000001E-2</v>
      </c>
      <c r="AA90" s="38">
        <v>2.5999999999999999E-2</v>
      </c>
      <c r="AB90" s="38">
        <v>1.9E-2</v>
      </c>
      <c r="AC90" s="38">
        <v>1.4E-2</v>
      </c>
      <c r="AD90" s="38">
        <v>0.02</v>
      </c>
      <c r="AE90" s="38">
        <v>1.0999999999999999E-2</v>
      </c>
      <c r="AF90" s="38">
        <v>1.4999999999999999E-2</v>
      </c>
      <c r="AG90" s="38">
        <v>1.4999999999999999E-2</v>
      </c>
    </row>
    <row r="91" spans="2:33" x14ac:dyDescent="0.25">
      <c r="B91" s="12" t="s">
        <v>21</v>
      </c>
      <c r="C91" s="253">
        <f>S90</f>
        <v>1.0476629058254663E-2</v>
      </c>
      <c r="D91" s="17">
        <f>R95</f>
        <v>5.9419707173250305E-4</v>
      </c>
      <c r="E91" s="17" t="str">
        <f>N15</f>
        <v/>
      </c>
      <c r="F91" s="281"/>
      <c r="G91" s="15" t="s">
        <v>22</v>
      </c>
      <c r="H91" s="193">
        <f t="shared" ref="H91:S91" si="29">IFERROR(H87/H88,"")</f>
        <v>1454.6529313232832</v>
      </c>
      <c r="I91" s="193">
        <f t="shared" si="29"/>
        <v>1467.7972508591065</v>
      </c>
      <c r="J91" s="193">
        <f t="shared" si="29"/>
        <v>1364.0732851280047</v>
      </c>
      <c r="K91" s="193">
        <f t="shared" si="29"/>
        <v>1381.9251377065598</v>
      </c>
      <c r="L91" s="193">
        <f t="shared" si="29"/>
        <v>1078.0703534396255</v>
      </c>
      <c r="M91" s="193">
        <f t="shared" si="29"/>
        <v>1214.5833107803337</v>
      </c>
      <c r="N91" s="193">
        <f t="shared" si="29"/>
        <v>1318.0609480812641</v>
      </c>
      <c r="O91" s="193">
        <f t="shared" si="29"/>
        <v>1347.8567716791165</v>
      </c>
      <c r="P91" s="193">
        <f t="shared" si="29"/>
        <v>1253.2565853658537</v>
      </c>
      <c r="Q91" s="193">
        <f t="shared" si="29"/>
        <v>1139.8631835937499</v>
      </c>
      <c r="R91" s="193">
        <f t="shared" si="29"/>
        <v>1310.2205225163286</v>
      </c>
      <c r="S91" s="193">
        <f t="shared" si="29"/>
        <v>1467.4665334665335</v>
      </c>
      <c r="U91" s="15" t="s">
        <v>22</v>
      </c>
      <c r="V91" s="16">
        <v>1498</v>
      </c>
      <c r="W91" s="16">
        <v>1469</v>
      </c>
      <c r="X91" s="16">
        <v>1206</v>
      </c>
      <c r="Y91" s="16">
        <v>1395</v>
      </c>
      <c r="Z91" s="16">
        <v>1156</v>
      </c>
      <c r="AA91" s="16">
        <v>1326</v>
      </c>
      <c r="AB91" s="16">
        <v>1374</v>
      </c>
      <c r="AC91" s="16">
        <v>1231</v>
      </c>
      <c r="AD91" s="16">
        <v>1164</v>
      </c>
      <c r="AE91" s="16">
        <v>1168</v>
      </c>
      <c r="AF91" s="16">
        <v>1290</v>
      </c>
      <c r="AG91" s="16">
        <v>1210</v>
      </c>
    </row>
    <row r="92" spans="2:33" x14ac:dyDescent="0.25">
      <c r="B92" s="12" t="s">
        <v>22</v>
      </c>
      <c r="C92" s="16">
        <f>S91</f>
        <v>1467.4665334665335</v>
      </c>
      <c r="D92" s="17">
        <f>R96</f>
        <v>1.5674823656068648E-2</v>
      </c>
      <c r="E92" s="17" t="str">
        <f>N16</f>
        <v/>
      </c>
      <c r="F92" s="324" t="s">
        <v>24</v>
      </c>
      <c r="G92" s="15" t="s">
        <v>106</v>
      </c>
      <c r="H92" s="192">
        <f t="shared" ref="H92:S94" si="30">IFERROR(H87/V87-1,"")</f>
        <v>-0.42668754045209167</v>
      </c>
      <c r="I92" s="192">
        <f t="shared" si="30"/>
        <v>-5.7916336074516184E-2</v>
      </c>
      <c r="J92" s="192">
        <f t="shared" si="30"/>
        <v>-0.14020582694715156</v>
      </c>
      <c r="K92" s="192">
        <f t="shared" si="30"/>
        <v>0.43830346449355351</v>
      </c>
      <c r="L92" s="192">
        <f t="shared" si="30"/>
        <v>-0.21305057167942976</v>
      </c>
      <c r="M92" s="192">
        <f t="shared" si="30"/>
        <v>-0.29556331678862424</v>
      </c>
      <c r="N92" s="192">
        <f t="shared" si="30"/>
        <v>-0.19297788301557894</v>
      </c>
      <c r="O92" s="192">
        <f t="shared" si="30"/>
        <v>-0.20758210494157181</v>
      </c>
      <c r="P92" s="192">
        <f t="shared" si="30"/>
        <v>-0.56333270295593363</v>
      </c>
      <c r="Q92" s="192">
        <f t="shared" si="30"/>
        <v>-0.28253761234899399</v>
      </c>
      <c r="R92" s="192">
        <f t="shared" si="30"/>
        <v>-0.24269709390839056</v>
      </c>
      <c r="S92" s="192">
        <f t="shared" si="30"/>
        <v>-0.47611963506711008</v>
      </c>
    </row>
    <row r="93" spans="2:33" x14ac:dyDescent="0.25">
      <c r="F93" s="279"/>
      <c r="G93" s="15" t="s">
        <v>107</v>
      </c>
      <c r="H93" s="192">
        <f t="shared" si="30"/>
        <v>-0.40961234177215189</v>
      </c>
      <c r="I93" s="192">
        <f t="shared" si="30"/>
        <v>-5.7420494699646607E-2</v>
      </c>
      <c r="J93" s="192">
        <f t="shared" si="30"/>
        <v>-0.23956011294397384</v>
      </c>
      <c r="K93" s="192">
        <f t="shared" si="30"/>
        <v>0.45183569611050522</v>
      </c>
      <c r="L93" s="192">
        <f t="shared" si="30"/>
        <v>-0.15617649825947877</v>
      </c>
      <c r="M93" s="192">
        <f t="shared" si="30"/>
        <v>-0.23111604355968651</v>
      </c>
      <c r="N93" s="192">
        <f t="shared" si="30"/>
        <v>-0.15843465045592708</v>
      </c>
      <c r="O93" s="192">
        <f t="shared" si="30"/>
        <v>-0.27621062529384111</v>
      </c>
      <c r="P93" s="192">
        <f t="shared" si="30"/>
        <v>-0.59459459459459452</v>
      </c>
      <c r="Q93" s="192">
        <f t="shared" si="30"/>
        <v>-0.26452632334985271</v>
      </c>
      <c r="R93" s="192">
        <f t="shared" si="30"/>
        <v>-0.25424597833749918</v>
      </c>
      <c r="S93" s="192">
        <f t="shared" si="30"/>
        <v>-0.56816220880069024</v>
      </c>
    </row>
    <row r="94" spans="2:33" x14ac:dyDescent="0.25">
      <c r="F94" s="279"/>
      <c r="G94" s="15" t="s">
        <v>108</v>
      </c>
      <c r="H94" s="192">
        <f t="shared" si="30"/>
        <v>-8.1368301689297207E-2</v>
      </c>
      <c r="I94" s="192">
        <f t="shared" si="30"/>
        <v>2.8598505964990473E-2</v>
      </c>
      <c r="J94" s="192">
        <f t="shared" si="30"/>
        <v>0.14355588163365129</v>
      </c>
      <c r="K94" s="192">
        <f t="shared" si="30"/>
        <v>28.776117211151778</v>
      </c>
      <c r="L94" s="192">
        <f t="shared" si="30"/>
        <v>0.48982311480359386</v>
      </c>
      <c r="M94" s="192">
        <f t="shared" si="30"/>
        <v>0.32392397145828866</v>
      </c>
      <c r="N94" s="192">
        <f t="shared" si="30"/>
        <v>0.22461562926928003</v>
      </c>
      <c r="O94" s="192">
        <f t="shared" si="30"/>
        <v>-0.2408080780542331</v>
      </c>
      <c r="P94" s="192">
        <f t="shared" si="30"/>
        <v>-0.41697964887763128</v>
      </c>
      <c r="Q94" s="192">
        <f t="shared" si="30"/>
        <v>-0.4548010359645237</v>
      </c>
      <c r="R94" s="192">
        <f t="shared" si="30"/>
        <v>-0.26481600078821621</v>
      </c>
      <c r="S94" s="192">
        <f t="shared" si="30"/>
        <v>-0.39810762911882547</v>
      </c>
    </row>
    <row r="95" spans="2:33" x14ac:dyDescent="0.25">
      <c r="F95" s="279"/>
      <c r="G95" s="15" t="s">
        <v>21</v>
      </c>
      <c r="H95" s="192">
        <f t="shared" ref="H95:S95" si="31">IFERROR(H90-V90,"")</f>
        <v>-5.5521530646156763E-3</v>
      </c>
      <c r="I95" s="192">
        <f t="shared" si="31"/>
        <v>-1.2284971004281608E-3</v>
      </c>
      <c r="J95" s="192">
        <f t="shared" si="31"/>
        <v>-9.4587254063301998E-3</v>
      </c>
      <c r="K95" s="192">
        <f t="shared" si="31"/>
        <v>-1.5242384292885052E-2</v>
      </c>
      <c r="L95" s="192">
        <f t="shared" si="31"/>
        <v>-1.2330777992858092E-2</v>
      </c>
      <c r="M95" s="192">
        <f t="shared" si="31"/>
        <v>-1.1164197601913329E-2</v>
      </c>
      <c r="N95" s="192">
        <f t="shared" si="31"/>
        <v>-5.9257512528258678E-3</v>
      </c>
      <c r="O95" s="192">
        <f t="shared" si="31"/>
        <v>-1.7888003591067306E-4</v>
      </c>
      <c r="P95" s="192">
        <f t="shared" si="31"/>
        <v>-6.0401770514130065E-3</v>
      </c>
      <c r="Q95" s="192">
        <f t="shared" si="31"/>
        <v>4.1822912805610339E-3</v>
      </c>
      <c r="R95" s="192">
        <f t="shared" si="31"/>
        <v>5.9419707173250305E-4</v>
      </c>
      <c r="S95" s="192">
        <f t="shared" si="31"/>
        <v>-4.5233709417453367E-3</v>
      </c>
    </row>
    <row r="96" spans="2:33" x14ac:dyDescent="0.25">
      <c r="F96" s="279"/>
      <c r="G96" s="15" t="s">
        <v>22</v>
      </c>
      <c r="H96" s="192">
        <f t="shared" ref="H96:S96" si="32">IFERROR(H91/V91-1,"")</f>
        <v>-2.8936627955084671E-2</v>
      </c>
      <c r="I96" s="192">
        <f t="shared" si="32"/>
        <v>-8.187536697709108E-4</v>
      </c>
      <c r="J96" s="192">
        <f t="shared" si="32"/>
        <v>0.13107237572803054</v>
      </c>
      <c r="K96" s="192">
        <f t="shared" si="32"/>
        <v>-9.3726611422511041E-3</v>
      </c>
      <c r="L96" s="192">
        <f t="shared" si="32"/>
        <v>-6.7413189066067969E-2</v>
      </c>
      <c r="M96" s="192">
        <f t="shared" si="32"/>
        <v>-8.4024652503519093E-2</v>
      </c>
      <c r="N96" s="192">
        <f t="shared" si="32"/>
        <v>-4.0712555981612719E-2</v>
      </c>
      <c r="O96" s="192">
        <f t="shared" si="32"/>
        <v>9.4928327927795708E-2</v>
      </c>
      <c r="P96" s="192">
        <f t="shared" si="32"/>
        <v>7.6680915262760774E-2</v>
      </c>
      <c r="Q96" s="192">
        <f t="shared" si="32"/>
        <v>-2.4089740073844235E-2</v>
      </c>
      <c r="R96" s="192">
        <f t="shared" si="32"/>
        <v>1.5674823656068648E-2</v>
      </c>
      <c r="S96" s="192">
        <f t="shared" si="32"/>
        <v>0.21278225906325088</v>
      </c>
    </row>
    <row r="97" spans="2:21" x14ac:dyDescent="0.25">
      <c r="G97" s="31"/>
      <c r="H97" s="38"/>
      <c r="I97" s="38"/>
      <c r="J97" s="38"/>
      <c r="K97" s="38"/>
      <c r="L97" s="38"/>
      <c r="M97" s="38"/>
      <c r="N97" s="38"/>
      <c r="O97" s="38"/>
      <c r="P97" s="38"/>
      <c r="Q97" s="42"/>
      <c r="R97" s="38"/>
      <c r="S97" s="38"/>
    </row>
    <row r="98" spans="2:21" x14ac:dyDescent="0.25">
      <c r="G98" s="31"/>
      <c r="H98" s="16"/>
      <c r="I98" s="16"/>
      <c r="J98" s="16"/>
      <c r="K98" s="16"/>
      <c r="L98" s="16"/>
      <c r="M98" s="16"/>
      <c r="N98" s="16"/>
      <c r="O98" s="16"/>
      <c r="P98" s="16"/>
      <c r="Q98" s="16"/>
      <c r="R98" s="16"/>
      <c r="S98" s="16"/>
    </row>
    <row r="101" spans="2:21" s="43" customFormat="1" ht="16.25" customHeight="1" x14ac:dyDescent="0.25">
      <c r="B101" s="296" t="s">
        <v>164</v>
      </c>
      <c r="C101" s="297"/>
      <c r="D101" s="297"/>
      <c r="E101" s="297"/>
      <c r="F101" s="297"/>
      <c r="M101" s="44"/>
      <c r="N101" s="44"/>
      <c r="O101" s="44"/>
    </row>
    <row r="103" spans="2:21" s="5" customFormat="1" ht="23.5" customHeight="1" x14ac:dyDescent="0.25">
      <c r="B103" s="270" t="s">
        <v>165</v>
      </c>
      <c r="C103" s="271"/>
      <c r="D103" s="271"/>
      <c r="E103" s="271"/>
      <c r="F103" s="271"/>
      <c r="N103" s="6"/>
      <c r="O103" s="6"/>
      <c r="P103" s="6"/>
    </row>
    <row r="105" spans="2:21" s="20" customFormat="1" ht="16.25" customHeight="1" x14ac:dyDescent="0.25">
      <c r="B105" s="272" t="s">
        <v>166</v>
      </c>
      <c r="C105" s="273"/>
      <c r="D105" s="273"/>
      <c r="E105" s="273"/>
      <c r="F105" s="273"/>
      <c r="G105" s="274"/>
      <c r="P105" s="1"/>
      <c r="Q105" s="1"/>
      <c r="R105" s="1"/>
      <c r="S105" s="1"/>
      <c r="T105" s="1"/>
      <c r="U105" s="1"/>
    </row>
    <row r="106" spans="2:21" ht="16.25" customHeight="1" x14ac:dyDescent="0.25">
      <c r="B106" s="10"/>
      <c r="C106" s="10" t="s">
        <v>167</v>
      </c>
      <c r="D106" s="10" t="s">
        <v>168</v>
      </c>
      <c r="E106" s="10" t="s">
        <v>169</v>
      </c>
      <c r="F106" s="10" t="s">
        <v>170</v>
      </c>
      <c r="G106" s="10" t="s">
        <v>171</v>
      </c>
      <c r="I106" s="10" t="s">
        <v>172</v>
      </c>
      <c r="J106" s="10" t="s">
        <v>173</v>
      </c>
      <c r="K106" s="45"/>
    </row>
    <row r="107" spans="2:21" ht="16.25" customHeight="1" x14ac:dyDescent="0.25">
      <c r="B107" s="10"/>
      <c r="C107" s="10" t="s">
        <v>16</v>
      </c>
      <c r="D107" s="46">
        <v>2000</v>
      </c>
      <c r="E107" s="46">
        <v>6000</v>
      </c>
      <c r="F107" s="46">
        <v>80000</v>
      </c>
      <c r="G107" s="46">
        <v>90000</v>
      </c>
      <c r="I107" s="47"/>
      <c r="J107" s="47"/>
      <c r="K107" s="45"/>
    </row>
    <row r="108" spans="2:21" x14ac:dyDescent="0.25">
      <c r="B108" s="277" t="s">
        <v>174</v>
      </c>
      <c r="C108" s="12" t="s">
        <v>175</v>
      </c>
      <c r="D108" s="37">
        <f>IFERROR(dat_nespresso_profile_s!F2,"")</f>
        <v>0.32115375892115</v>
      </c>
      <c r="E108" s="37">
        <f>IFERROR(dat_nespresso_profile_s!G2,"")</f>
        <v>0.27733168925131652</v>
      </c>
      <c r="F108" s="37">
        <f>IFERROR(dat_nespresso_profile_s!H2,"")</f>
        <v>0.37910095058215959</v>
      </c>
      <c r="G108" s="37">
        <f>IFERROR(dat_nespresso_profile_s!I2,"")</f>
        <v>0.36068927675214202</v>
      </c>
      <c r="I108" s="33">
        <f t="shared" ref="I108:I127" si="33">$D$107*D108/($E$107*E108)-1</f>
        <v>-0.61399559760836642</v>
      </c>
      <c r="J108" s="48">
        <f t="shared" ref="J108:J127" si="34">$F$107*F108/($G$107*G108)-1</f>
        <v>-6.5737063840514587E-2</v>
      </c>
      <c r="K108" s="45"/>
    </row>
    <row r="109" spans="2:21" x14ac:dyDescent="0.25">
      <c r="B109" s="283"/>
      <c r="C109" s="12" t="s">
        <v>176</v>
      </c>
      <c r="D109" s="37">
        <f>IFERROR(dat_nespresso_profile_s!F3,"")</f>
        <v>0.65736588290247544</v>
      </c>
      <c r="E109" s="37">
        <f>IFERROR(dat_nespresso_profile_s!G3,"")</f>
        <v>0.74062441212387997</v>
      </c>
      <c r="F109" s="37">
        <f>IFERROR(dat_nespresso_profile_s!H3,"")</f>
        <v>0.61915710285644454</v>
      </c>
      <c r="G109" s="37">
        <f>IFERROR(dat_nespresso_profile_s!I3,"")</f>
        <v>0.6388466766106432</v>
      </c>
      <c r="I109" s="33">
        <f t="shared" si="33"/>
        <v>-0.70413888959031434</v>
      </c>
      <c r="J109" s="48">
        <f t="shared" si="34"/>
        <v>-0.13850711077400413</v>
      </c>
      <c r="K109" s="45"/>
    </row>
    <row r="110" spans="2:21" x14ac:dyDescent="0.25">
      <c r="B110" s="277" t="s">
        <v>177</v>
      </c>
      <c r="C110" s="12" t="s">
        <v>178</v>
      </c>
      <c r="D110" s="37">
        <f>IFERROR(dat_nespresso_profile_s!F4,"")</f>
        <v>5.9542093303073258E-2</v>
      </c>
      <c r="E110" s="37">
        <f>IFERROR(dat_nespresso_profile_s!G4,"")</f>
        <v>6.0308015953109848E-2</v>
      </c>
      <c r="F110" s="37">
        <f>IFERROR(dat_nespresso_profile_s!H4,"")</f>
        <v>8.9228251854674062E-2</v>
      </c>
      <c r="G110" s="37">
        <f>IFERROR(dat_nespresso_profile_s!I4,"")</f>
        <v>7.9173797661052717E-2</v>
      </c>
      <c r="I110" s="33">
        <f t="shared" si="33"/>
        <v>-0.67090005995572288</v>
      </c>
      <c r="J110" s="48">
        <f t="shared" si="34"/>
        <v>1.7708382279031376E-3</v>
      </c>
      <c r="K110" s="45"/>
    </row>
    <row r="111" spans="2:21" x14ac:dyDescent="0.25">
      <c r="B111" s="281"/>
      <c r="C111" s="12" t="s">
        <v>179</v>
      </c>
      <c r="D111" s="37">
        <f>IFERROR(dat_nespresso_profile_s!F5,"")</f>
        <v>0.21117835070282581</v>
      </c>
      <c r="E111" s="37">
        <f>IFERROR(dat_nespresso_profile_s!G5,"")</f>
        <v>0.22782338965016369</v>
      </c>
      <c r="F111" s="37">
        <f>IFERROR(dat_nespresso_profile_s!H5,"")</f>
        <v>0.21190372873369789</v>
      </c>
      <c r="G111" s="37">
        <f>IFERROR(dat_nespresso_profile_s!I5,"")</f>
        <v>0.20465998055414239</v>
      </c>
      <c r="I111" s="33">
        <f t="shared" si="33"/>
        <v>-0.69102038348344785</v>
      </c>
      <c r="J111" s="48">
        <f t="shared" si="34"/>
        <v>-7.964972206337495E-2</v>
      </c>
      <c r="K111" s="45"/>
    </row>
    <row r="112" spans="2:21" x14ac:dyDescent="0.25">
      <c r="B112" s="281"/>
      <c r="C112" s="12" t="s">
        <v>180</v>
      </c>
      <c r="D112" s="37">
        <f>IFERROR(dat_nespresso_profile_s!F6,"")</f>
        <v>0.2178297361314403</v>
      </c>
      <c r="E112" s="37">
        <f>IFERROR(dat_nespresso_profile_s!G6,"")</f>
        <v>0.2440091226096287</v>
      </c>
      <c r="F112" s="37">
        <f>IFERROR(dat_nespresso_profile_s!H6,"")</f>
        <v>0.2050300887158619</v>
      </c>
      <c r="G112" s="37">
        <f>IFERROR(dat_nespresso_profile_s!I6,"")</f>
        <v>0.2187260860404445</v>
      </c>
      <c r="I112" s="33">
        <f t="shared" si="33"/>
        <v>-0.70242951875214765</v>
      </c>
      <c r="J112" s="48">
        <f t="shared" si="34"/>
        <v>-0.16677077230864346</v>
      </c>
      <c r="K112" s="45"/>
    </row>
    <row r="113" spans="2:30" x14ac:dyDescent="0.25">
      <c r="B113" s="281"/>
      <c r="C113" s="12" t="s">
        <v>181</v>
      </c>
      <c r="D113" s="37">
        <f>IFERROR(dat_nespresso_profile_s!F7,"")</f>
        <v>0.19568318801011411</v>
      </c>
      <c r="E113" s="37">
        <f>IFERROR(dat_nespresso_profile_s!G7,"")</f>
        <v>0.19773854912076161</v>
      </c>
      <c r="F113" s="37">
        <f>IFERROR(dat_nespresso_profile_s!H7,"")</f>
        <v>0.16884899588038621</v>
      </c>
      <c r="G113" s="37">
        <f>IFERROR(dat_nespresso_profile_s!I7,"")</f>
        <v>0.18017299245535001</v>
      </c>
      <c r="I113" s="33">
        <f t="shared" si="33"/>
        <v>-0.67013144565519567</v>
      </c>
      <c r="J113" s="48">
        <f t="shared" si="34"/>
        <v>-0.1669783895312974</v>
      </c>
      <c r="K113" s="45"/>
    </row>
    <row r="114" spans="2:30" x14ac:dyDescent="0.25">
      <c r="B114" s="281"/>
      <c r="C114" s="12" t="s">
        <v>182</v>
      </c>
      <c r="D114" s="37">
        <f>IFERROR(dat_nespresso_profile_s!F8,"")</f>
        <v>7.7645877960503706E-2</v>
      </c>
      <c r="E114" s="37">
        <f>IFERROR(dat_nespresso_profile_s!G8,"")</f>
        <v>0.13979631448875449</v>
      </c>
      <c r="F114" s="37">
        <f>IFERROR(dat_nespresso_profile_s!H8,"")</f>
        <v>0.1216595179071546</v>
      </c>
      <c r="G114" s="37">
        <f>IFERROR(dat_nespresso_profile_s!I8,"")</f>
        <v>0.13005992278599299</v>
      </c>
      <c r="I114" s="33">
        <f t="shared" si="33"/>
        <v>-0.81485950173421839</v>
      </c>
      <c r="J114" s="48">
        <f t="shared" si="34"/>
        <v>-0.16852331311013946</v>
      </c>
      <c r="K114" s="45"/>
    </row>
    <row r="115" spans="2:30" x14ac:dyDescent="0.25">
      <c r="B115" s="281"/>
      <c r="C115" s="12" t="s">
        <v>183</v>
      </c>
      <c r="D115" s="37">
        <f>IFERROR(dat_nespresso_profile_s!F9,"")</f>
        <v>7.0764293936813272E-2</v>
      </c>
      <c r="E115" s="37">
        <f>IFERROR(dat_nespresso_profile_s!G9,"")</f>
        <v>6.7345200510559172E-2</v>
      </c>
      <c r="F115" s="37">
        <f>IFERROR(dat_nespresso_profile_s!H9,"")</f>
        <v>6.9080652636123244E-2</v>
      </c>
      <c r="G115" s="37">
        <f>IFERROR(dat_nespresso_profile_s!I9,"")</f>
        <v>7.0723750394744961E-2</v>
      </c>
      <c r="I115" s="33">
        <f t="shared" si="33"/>
        <v>-0.6497434442230321</v>
      </c>
      <c r="J115" s="48">
        <f t="shared" si="34"/>
        <v>-0.13176232563021006</v>
      </c>
      <c r="K115" s="45"/>
    </row>
    <row r="116" spans="2:30" x14ac:dyDescent="0.25">
      <c r="B116" s="283"/>
      <c r="C116" s="12" t="s">
        <v>184</v>
      </c>
      <c r="D116" s="37">
        <f>IFERROR(dat_nespresso_profile_s!F10,"")</f>
        <v>0.11828730969509089</v>
      </c>
      <c r="E116" s="37">
        <f>IFERROR(dat_nespresso_profile_s!G10,"")</f>
        <v>7.9355952638446345E-2</v>
      </c>
      <c r="F116" s="37">
        <f>IFERROR(dat_nespresso_profile_s!H10,"")</f>
        <v>0.12691823707750821</v>
      </c>
      <c r="G116" s="37">
        <f>IFERROR(dat_nespresso_profile_s!I10,"")</f>
        <v>0.1143370194899631</v>
      </c>
      <c r="I116" s="33">
        <f t="shared" si="33"/>
        <v>-0.50313616155123353</v>
      </c>
      <c r="J116" s="48">
        <f t="shared" si="34"/>
        <v>-1.3301105461593243E-2</v>
      </c>
      <c r="K116" s="45"/>
    </row>
    <row r="117" spans="2:30" x14ac:dyDescent="0.25">
      <c r="B117" s="277" t="s">
        <v>185</v>
      </c>
      <c r="C117" s="22">
        <v>1</v>
      </c>
      <c r="D117" s="37">
        <f>IFERROR(dat_nespresso_profile_s!F11,"")</f>
        <v>0.38201286912500509</v>
      </c>
      <c r="E117" s="37">
        <f>IFERROR(dat_nespresso_profile_s!G11,"")</f>
        <v>0.38020659623947428</v>
      </c>
      <c r="F117" s="37">
        <f>IFERROR(dat_nespresso_profile_s!H11,"")</f>
        <v>0.22937073279837941</v>
      </c>
      <c r="G117" s="37">
        <f>IFERROR(dat_nespresso_profile_s!I11,"")</f>
        <v>0.2472165843770785</v>
      </c>
      <c r="I117" s="33">
        <f t="shared" si="33"/>
        <v>-0.66508307772371111</v>
      </c>
      <c r="J117" s="48">
        <f t="shared" si="34"/>
        <v>-0.17527743401795193</v>
      </c>
      <c r="K117" s="45"/>
    </row>
    <row r="118" spans="2:30" x14ac:dyDescent="0.25">
      <c r="B118" s="281"/>
      <c r="C118" s="22">
        <v>2</v>
      </c>
      <c r="D118" s="37">
        <f>IFERROR(dat_nespresso_profile_s!F12,"")</f>
        <v>0.34024309259253438</v>
      </c>
      <c r="E118" s="37">
        <f>IFERROR(dat_nespresso_profile_s!G12,"")</f>
        <v>0.36592749796772778</v>
      </c>
      <c r="F118" s="37">
        <f>IFERROR(dat_nespresso_profile_s!H12,"")</f>
        <v>0.36876559273436188</v>
      </c>
      <c r="G118" s="37">
        <f>IFERROR(dat_nespresso_profile_s!I12,"")</f>
        <v>0.35627181286705623</v>
      </c>
      <c r="I118" s="33">
        <f t="shared" si="33"/>
        <v>-0.69006329169743408</v>
      </c>
      <c r="J118" s="48">
        <f t="shared" si="34"/>
        <v>-7.9939455922055314E-2</v>
      </c>
      <c r="K118" s="45"/>
    </row>
    <row r="119" spans="2:30" x14ac:dyDescent="0.25">
      <c r="B119" s="281"/>
      <c r="C119" s="22">
        <v>3</v>
      </c>
      <c r="D119" s="37">
        <f>IFERROR(dat_nespresso_profile_s!F13,"")</f>
        <v>0.1807558353315287</v>
      </c>
      <c r="E119" s="37">
        <f>IFERROR(dat_nespresso_profile_s!G13,"")</f>
        <v>0.1435289580403836</v>
      </c>
      <c r="F119" s="37">
        <f>IFERROR(dat_nespresso_profile_s!H13,"")</f>
        <v>0.19461458544013749</v>
      </c>
      <c r="G119" s="37">
        <f>IFERROR(dat_nespresso_profile_s!I13,"")</f>
        <v>0.186567953096866</v>
      </c>
      <c r="I119" s="33">
        <f t="shared" si="33"/>
        <v>-0.580210530800642</v>
      </c>
      <c r="J119" s="48">
        <f t="shared" si="34"/>
        <v>-7.2773540460944974E-2</v>
      </c>
      <c r="K119" s="45"/>
    </row>
    <row r="120" spans="2:30" x14ac:dyDescent="0.25">
      <c r="B120" s="281"/>
      <c r="C120" s="22">
        <v>4</v>
      </c>
      <c r="D120" s="37">
        <f>IFERROR(dat_nespresso_profile_s!F14,"")</f>
        <v>5.0925766517508929E-2</v>
      </c>
      <c r="E120" s="37">
        <f>IFERROR(dat_nespresso_profile_s!G14,"")</f>
        <v>3.768988204030891E-2</v>
      </c>
      <c r="F120" s="37">
        <f>IFERROR(dat_nespresso_profile_s!H14,"")</f>
        <v>6.5866811686315682E-2</v>
      </c>
      <c r="G120" s="37">
        <f>IFERROR(dat_nespresso_profile_s!I14,"")</f>
        <v>6.6114963116577538E-2</v>
      </c>
      <c r="I120" s="33">
        <f t="shared" si="33"/>
        <v>-0.54960709381681105</v>
      </c>
      <c r="J120" s="48">
        <f t="shared" si="34"/>
        <v>-0.11444740653840657</v>
      </c>
      <c r="K120" s="45"/>
    </row>
    <row r="121" spans="2:30" x14ac:dyDescent="0.25">
      <c r="B121" s="281"/>
      <c r="C121" s="22">
        <v>5</v>
      </c>
      <c r="D121" s="37">
        <f>IFERROR(dat_nespresso_profile_s!F15,"")</f>
        <v>5.4555244624722589E-2</v>
      </c>
      <c r="E121" s="37">
        <f>IFERROR(dat_nespresso_profile_s!G15,"")</f>
        <v>4.4888427478961601E-2</v>
      </c>
      <c r="F121" s="37">
        <f>IFERROR(dat_nespresso_profile_s!H15,"")</f>
        <v>8.5429507075360636E-2</v>
      </c>
      <c r="G121" s="37">
        <f>IFERROR(dat_nespresso_profile_s!I15,"")</f>
        <v>8.6672750586656813E-2</v>
      </c>
      <c r="I121" s="33">
        <f t="shared" si="33"/>
        <v>-0.59488263316648338</v>
      </c>
      <c r="J121" s="48">
        <f t="shared" si="34"/>
        <v>-0.12386143155086071</v>
      </c>
      <c r="K121" s="45"/>
    </row>
    <row r="122" spans="2:30" x14ac:dyDescent="0.25">
      <c r="B122" s="283"/>
      <c r="C122" s="22">
        <v>6</v>
      </c>
      <c r="D122" s="37">
        <f>IFERROR(dat_nespresso_profile_s!F16,"")</f>
        <v>1.9939702072663011E-2</v>
      </c>
      <c r="E122" s="37">
        <f>IFERROR(dat_nespresso_profile_s!G16,"")</f>
        <v>3.4313906050276018E-2</v>
      </c>
      <c r="F122" s="37">
        <f>IFERROR(dat_nespresso_profile_s!H16,"")</f>
        <v>4.9275146898097963E-2</v>
      </c>
      <c r="G122" s="37">
        <f>IFERROR(dat_nespresso_profile_s!I16,"")</f>
        <v>4.7477692256119378E-2</v>
      </c>
      <c r="I122" s="33">
        <f t="shared" si="33"/>
        <v>-0.80630105625935078</v>
      </c>
      <c r="J122" s="48">
        <f t="shared" si="34"/>
        <v>-7.74587286212991E-2</v>
      </c>
      <c r="K122" s="45"/>
    </row>
    <row r="123" spans="2:30" x14ac:dyDescent="0.25">
      <c r="B123" s="277" t="s">
        <v>186</v>
      </c>
      <c r="C123" s="12" t="s">
        <v>187</v>
      </c>
      <c r="D123" s="37">
        <f>IFERROR(dat_nespresso_profile_s!F17,"")</f>
        <v>2.3552338301041361E-2</v>
      </c>
      <c r="E123" s="37">
        <f>IFERROR(dat_nespresso_profile_s!G17,"")</f>
        <v>8.9620639614888722E-3</v>
      </c>
      <c r="F123" s="37">
        <f>IFERROR(dat_nespresso_profile_s!H17,"")</f>
        <v>4.4191897179740432E-2</v>
      </c>
      <c r="G123" s="37">
        <f>IFERROR(dat_nespresso_profile_s!I17,"")</f>
        <v>3.033721054515157E-2</v>
      </c>
      <c r="I123" s="33">
        <f t="shared" si="33"/>
        <v>-0.12399872759040209</v>
      </c>
      <c r="J123" s="48">
        <f t="shared" si="34"/>
        <v>0.294835143907765</v>
      </c>
      <c r="K123" s="45"/>
    </row>
    <row r="124" spans="2:30" x14ac:dyDescent="0.25">
      <c r="B124" s="281"/>
      <c r="C124" s="12" t="s">
        <v>188</v>
      </c>
      <c r="D124" s="37">
        <f>IFERROR(dat_nespresso_profile_s!F18,"")</f>
        <v>4.143207424816131E-2</v>
      </c>
      <c r="E124" s="37">
        <f>IFERROR(dat_nespresso_profile_s!G18,"")</f>
        <v>3.8562510224462637E-2</v>
      </c>
      <c r="F124" s="37">
        <f>IFERROR(dat_nespresso_profile_s!H18,"")</f>
        <v>0.1090461458969899</v>
      </c>
      <c r="G124" s="37">
        <f>IFERROR(dat_nespresso_profile_s!I18,"")</f>
        <v>9.8888419529306118E-2</v>
      </c>
      <c r="I124" s="33">
        <f t="shared" si="33"/>
        <v>-0.64186223003468335</v>
      </c>
      <c r="J124" s="48">
        <f t="shared" si="34"/>
        <v>-1.9805272190993817E-2</v>
      </c>
    </row>
    <row r="125" spans="2:30" x14ac:dyDescent="0.25">
      <c r="B125" s="281"/>
      <c r="C125" s="12" t="s">
        <v>189</v>
      </c>
      <c r="D125" s="37">
        <f>IFERROR(dat_nespresso_profile_s!F19,"")</f>
        <v>0.11161214252623421</v>
      </c>
      <c r="E125" s="37">
        <f>IFERROR(dat_nespresso_profile_s!G19,"")</f>
        <v>0.1028176990277607</v>
      </c>
      <c r="F125" s="37">
        <f>IFERROR(dat_nespresso_profile_s!H19,"")</f>
        <v>0.18181006416777051</v>
      </c>
      <c r="G125" s="37">
        <f>IFERROR(dat_nespresso_profile_s!I19,"")</f>
        <v>0.17113878822733189</v>
      </c>
      <c r="I125" s="33">
        <f t="shared" si="33"/>
        <v>-0.63815522171236616</v>
      </c>
      <c r="J125" s="48">
        <f t="shared" si="34"/>
        <v>-5.568487657962029E-2</v>
      </c>
      <c r="K125" s="45"/>
      <c r="L125" s="45"/>
      <c r="M125" s="45"/>
      <c r="N125" s="45"/>
      <c r="O125" s="45"/>
      <c r="P125" s="45"/>
      <c r="Q125" s="45"/>
      <c r="R125" s="45"/>
      <c r="S125" s="45"/>
      <c r="T125" s="45"/>
      <c r="U125" s="45"/>
      <c r="V125" s="45"/>
      <c r="W125" s="45"/>
      <c r="X125" s="45"/>
      <c r="Y125" s="45"/>
      <c r="Z125" s="45"/>
      <c r="AA125" s="45"/>
      <c r="AB125" s="45"/>
      <c r="AC125" s="45"/>
      <c r="AD125" s="45"/>
    </row>
    <row r="126" spans="2:30" x14ac:dyDescent="0.25">
      <c r="B126" s="281"/>
      <c r="C126" s="12" t="s">
        <v>190</v>
      </c>
      <c r="D126" s="37">
        <f>IFERROR(dat_nespresso_profile_s!F20,"")</f>
        <v>0.22021833429371679</v>
      </c>
      <c r="E126" s="37">
        <f>IFERROR(dat_nespresso_profile_s!G20,"")</f>
        <v>0.23082067072383511</v>
      </c>
      <c r="F126" s="37">
        <f>IFERROR(dat_nespresso_profile_s!H20,"")</f>
        <v>0.2642729869557397</v>
      </c>
      <c r="G126" s="37">
        <f>IFERROR(dat_nespresso_profile_s!I20,"")</f>
        <v>0.26401372091553482</v>
      </c>
      <c r="I126" s="33">
        <f t="shared" si="33"/>
        <v>-0.68197773968404451</v>
      </c>
      <c r="J126" s="48">
        <f t="shared" si="34"/>
        <v>-0.11023820684838892</v>
      </c>
    </row>
    <row r="127" spans="2:30" x14ac:dyDescent="0.25">
      <c r="B127" s="283"/>
      <c r="C127" s="12" t="s">
        <v>191</v>
      </c>
      <c r="D127" s="37">
        <f>IFERROR(dat_nespresso_profile_s!F21,"")</f>
        <v>0.63037662959182794</v>
      </c>
      <c r="E127" s="37">
        <f>IFERROR(dat_nespresso_profile_s!G21,"")</f>
        <v>0.61402893663086688</v>
      </c>
      <c r="F127" s="37">
        <f>IFERROR(dat_nespresso_profile_s!H21,"")</f>
        <v>0.3952592909557972</v>
      </c>
      <c r="G127" s="37">
        <f>IFERROR(dat_nespresso_profile_s!I21,"")</f>
        <v>0.43086398577846452</v>
      </c>
      <c r="I127" s="33">
        <f t="shared" si="33"/>
        <v>-0.65779211587287745</v>
      </c>
      <c r="J127" s="48">
        <f t="shared" si="34"/>
        <v>-0.18456495887925883</v>
      </c>
    </row>
    <row r="130" spans="2:29" s="49" customFormat="1" ht="16.25" hidden="1" customHeight="1" x14ac:dyDescent="0.25">
      <c r="B130" s="289" t="s">
        <v>192</v>
      </c>
      <c r="C130" s="290"/>
      <c r="D130" s="290"/>
      <c r="E130" s="290"/>
      <c r="F130" s="290"/>
      <c r="M130" s="50"/>
      <c r="N130" s="50"/>
      <c r="O130" s="50"/>
    </row>
    <row r="131" spans="2:29" ht="16.25" hidden="1" customHeight="1" x14ac:dyDescent="0.25">
      <c r="B131" s="41" t="s">
        <v>157</v>
      </c>
    </row>
    <row r="132" spans="2:29" ht="16.25" hidden="1" customHeight="1" x14ac:dyDescent="0.25">
      <c r="B132" s="272" t="s">
        <v>193</v>
      </c>
      <c r="C132" s="273"/>
      <c r="D132" s="273"/>
      <c r="E132" s="273"/>
      <c r="F132" s="273"/>
      <c r="G132" s="273"/>
      <c r="H132" s="273"/>
      <c r="I132" s="273"/>
      <c r="J132" s="273"/>
      <c r="K132" s="273"/>
      <c r="L132" s="273"/>
      <c r="M132" s="273"/>
      <c r="N132" s="273"/>
      <c r="O132" s="274"/>
      <c r="Q132" s="322" t="s">
        <v>194</v>
      </c>
      <c r="R132" s="303"/>
      <c r="S132" s="303"/>
      <c r="T132" s="303"/>
      <c r="U132" s="303"/>
      <c r="V132" s="303"/>
      <c r="W132" s="303"/>
      <c r="X132" s="303"/>
      <c r="Y132" s="303"/>
      <c r="Z132" s="303"/>
      <c r="AA132" s="303"/>
      <c r="AB132" s="303"/>
      <c r="AC132" s="304"/>
    </row>
    <row r="133" spans="2:29" ht="16.25" hidden="1" customHeight="1" x14ac:dyDescent="0.25">
      <c r="B133" s="10"/>
      <c r="C133" s="10"/>
      <c r="D133" s="10" t="s">
        <v>4</v>
      </c>
      <c r="E133" s="10" t="s">
        <v>5</v>
      </c>
      <c r="F133" s="10" t="s">
        <v>6</v>
      </c>
      <c r="G133" s="10" t="s">
        <v>7</v>
      </c>
      <c r="H133" s="10" t="s">
        <v>8</v>
      </c>
      <c r="I133" s="10" t="s">
        <v>9</v>
      </c>
      <c r="J133" s="10" t="s">
        <v>10</v>
      </c>
      <c r="K133" s="10" t="s">
        <v>11</v>
      </c>
      <c r="L133" s="10" t="s">
        <v>12</v>
      </c>
      <c r="M133" s="10" t="s">
        <v>13</v>
      </c>
      <c r="N133" s="10" t="s">
        <v>14</v>
      </c>
      <c r="O133" s="10" t="s">
        <v>15</v>
      </c>
      <c r="Q133" s="51"/>
      <c r="R133" s="51" t="s">
        <v>4</v>
      </c>
      <c r="S133" s="51" t="s">
        <v>5</v>
      </c>
      <c r="T133" s="51" t="s">
        <v>6</v>
      </c>
      <c r="U133" s="51" t="s">
        <v>7</v>
      </c>
      <c r="V133" s="51" t="s">
        <v>8</v>
      </c>
      <c r="W133" s="51" t="s">
        <v>9</v>
      </c>
      <c r="X133" s="51" t="s">
        <v>10</v>
      </c>
      <c r="Y133" s="51" t="s">
        <v>11</v>
      </c>
      <c r="Z133" s="51" t="s">
        <v>12</v>
      </c>
      <c r="AA133" s="51" t="s">
        <v>13</v>
      </c>
      <c r="AB133" s="51" t="s">
        <v>14</v>
      </c>
      <c r="AC133" s="51" t="s">
        <v>15</v>
      </c>
    </row>
    <row r="134" spans="2:29" hidden="1" x14ac:dyDescent="0.25">
      <c r="B134" s="277" t="s">
        <v>16</v>
      </c>
      <c r="C134" s="12" t="s">
        <v>39</v>
      </c>
      <c r="D134" s="16">
        <v>3210534.43</v>
      </c>
      <c r="E134" s="16">
        <v>3488527.7399999988</v>
      </c>
      <c r="F134" s="52">
        <f>C88-F137</f>
        <v>2411470.4500000002</v>
      </c>
      <c r="G134" s="16"/>
      <c r="H134" s="16"/>
      <c r="I134" s="16"/>
      <c r="J134" s="16"/>
      <c r="K134" s="16"/>
      <c r="L134" s="16"/>
      <c r="M134" s="16"/>
      <c r="N134" s="16"/>
      <c r="O134" s="16"/>
      <c r="Q134" s="53" t="s">
        <v>39</v>
      </c>
      <c r="R134" s="54">
        <v>5789119</v>
      </c>
      <c r="S134" s="54">
        <v>3854872.62</v>
      </c>
      <c r="T134" s="54">
        <f>N94-T137</f>
        <v>-2576198.1353843706</v>
      </c>
      <c r="U134" s="54"/>
      <c r="V134" s="54"/>
      <c r="W134" s="54"/>
      <c r="X134" s="54"/>
      <c r="Y134" s="54"/>
      <c r="Z134" s="54"/>
      <c r="AA134" s="54"/>
      <c r="AB134" s="54"/>
      <c r="AC134" s="54"/>
    </row>
    <row r="135" spans="2:29" hidden="1" x14ac:dyDescent="0.25">
      <c r="B135" s="281"/>
      <c r="C135" s="12" t="s">
        <v>40</v>
      </c>
      <c r="D135" s="16">
        <v>2353</v>
      </c>
      <c r="E135" s="16">
        <v>2574</v>
      </c>
      <c r="F135" s="52">
        <f>C89-F138</f>
        <v>1839</v>
      </c>
      <c r="G135" s="16"/>
      <c r="H135" s="16"/>
      <c r="I135" s="16"/>
      <c r="J135" s="16"/>
      <c r="K135" s="16"/>
      <c r="L135" s="16"/>
      <c r="M135" s="16"/>
      <c r="N135" s="16"/>
      <c r="O135" s="16"/>
      <c r="Q135" s="53" t="s">
        <v>40</v>
      </c>
      <c r="R135" s="54">
        <v>4012</v>
      </c>
      <c r="S135" s="54">
        <v>2713</v>
      </c>
      <c r="T135" s="54">
        <f>N95-T138</f>
        <v>-1586.0059257512528</v>
      </c>
      <c r="U135" s="54"/>
      <c r="V135" s="54"/>
      <c r="W135" s="54"/>
      <c r="X135" s="54"/>
      <c r="Y135" s="54"/>
      <c r="Z135" s="54"/>
      <c r="AA135" s="54"/>
      <c r="AB135" s="54"/>
      <c r="AC135" s="54"/>
    </row>
    <row r="136" spans="2:29" hidden="1" x14ac:dyDescent="0.25">
      <c r="B136" s="281"/>
      <c r="C136" s="12" t="s">
        <v>41</v>
      </c>
      <c r="D136" s="16">
        <f>D134/D135</f>
        <v>1364.4430216744581</v>
      </c>
      <c r="E136" s="16">
        <v>1355.294382284382</v>
      </c>
      <c r="F136" s="52">
        <f>F134/F135</f>
        <v>1311.2944263186516</v>
      </c>
      <c r="G136" s="16"/>
      <c r="H136" s="16"/>
      <c r="I136" s="16"/>
      <c r="J136" s="16"/>
      <c r="K136" s="16"/>
      <c r="L136" s="16"/>
      <c r="M136" s="16"/>
      <c r="N136" s="16"/>
      <c r="O136" s="16"/>
      <c r="Q136" s="53" t="s">
        <v>41</v>
      </c>
      <c r="R136" s="54">
        <v>1442.950897308076</v>
      </c>
      <c r="S136" s="54">
        <v>1420.8892812384811</v>
      </c>
      <c r="T136" s="54">
        <f>T134/T135</f>
        <v>1624.3307124871476</v>
      </c>
      <c r="U136" s="54"/>
      <c r="V136" s="54"/>
      <c r="W136" s="54"/>
      <c r="X136" s="54"/>
      <c r="Y136" s="54"/>
      <c r="Z136" s="54"/>
      <c r="AA136" s="54"/>
      <c r="AB136" s="54"/>
      <c r="AC136" s="54"/>
    </row>
    <row r="137" spans="2:29" hidden="1" x14ac:dyDescent="0.25">
      <c r="B137" s="281"/>
      <c r="C137" s="12" t="s">
        <v>42</v>
      </c>
      <c r="D137" s="16">
        <v>1131604.77</v>
      </c>
      <c r="E137" s="16">
        <v>1209891.07</v>
      </c>
      <c r="F137" s="52">
        <v>1995331.55</v>
      </c>
      <c r="G137" s="16"/>
      <c r="H137" s="16"/>
      <c r="I137" s="16"/>
      <c r="J137" s="16"/>
      <c r="K137" s="16"/>
      <c r="L137" s="16"/>
      <c r="M137" s="16"/>
      <c r="N137" s="16"/>
      <c r="O137" s="16"/>
      <c r="Q137" s="53" t="s">
        <v>42</v>
      </c>
      <c r="R137" s="54">
        <v>1784654.77</v>
      </c>
      <c r="S137" s="54">
        <v>1132390.3799999999</v>
      </c>
      <c r="T137" s="54">
        <v>2576198.36</v>
      </c>
      <c r="U137" s="54"/>
      <c r="V137" s="54"/>
      <c r="W137" s="54"/>
      <c r="X137" s="54"/>
      <c r="Y137" s="54"/>
      <c r="Z137" s="54"/>
      <c r="AA137" s="54"/>
      <c r="AB137" s="54"/>
      <c r="AC137" s="54"/>
    </row>
    <row r="138" spans="2:29" hidden="1" x14ac:dyDescent="0.25">
      <c r="B138" s="281"/>
      <c r="C138" s="12" t="s">
        <v>43</v>
      </c>
      <c r="D138" s="16">
        <v>632</v>
      </c>
      <c r="E138" s="16">
        <v>627</v>
      </c>
      <c r="F138" s="52">
        <v>1164</v>
      </c>
      <c r="G138" s="16"/>
      <c r="H138" s="16"/>
      <c r="I138" s="16"/>
      <c r="J138" s="16"/>
      <c r="K138" s="16"/>
      <c r="L138" s="16"/>
      <c r="M138" s="16"/>
      <c r="N138" s="16"/>
      <c r="O138" s="16"/>
      <c r="Q138" s="53" t="s">
        <v>43</v>
      </c>
      <c r="R138" s="54">
        <v>1044</v>
      </c>
      <c r="S138" s="54">
        <v>683</v>
      </c>
      <c r="T138" s="54">
        <v>1586</v>
      </c>
      <c r="U138" s="54"/>
      <c r="V138" s="54"/>
      <c r="W138" s="54"/>
      <c r="X138" s="54"/>
      <c r="Y138" s="54"/>
      <c r="Z138" s="54"/>
      <c r="AA138" s="54"/>
      <c r="AB138" s="54"/>
      <c r="AC138" s="54"/>
    </row>
    <row r="139" spans="2:29" hidden="1" x14ac:dyDescent="0.25">
      <c r="B139" s="283"/>
      <c r="C139" s="12" t="s">
        <v>44</v>
      </c>
      <c r="D139" s="16">
        <f>D137/D138</f>
        <v>1790.5138765822785</v>
      </c>
      <c r="E139" s="16">
        <v>1929.6508293460929</v>
      </c>
      <c r="F139" s="52">
        <f>F137/F138</f>
        <v>1714.2023625429554</v>
      </c>
      <c r="G139" s="16"/>
      <c r="H139" s="16"/>
      <c r="I139" s="16"/>
      <c r="J139" s="16"/>
      <c r="K139" s="16"/>
      <c r="L139" s="16"/>
      <c r="M139" s="16"/>
      <c r="N139" s="16"/>
      <c r="O139" s="16"/>
      <c r="Q139" s="53" t="s">
        <v>44</v>
      </c>
      <c r="R139" s="54">
        <f>R137/R138</f>
        <v>1709.4394348659005</v>
      </c>
      <c r="S139" s="54">
        <v>1657.96541727672</v>
      </c>
      <c r="T139" s="54">
        <f>T137/T138</f>
        <v>1624.3369230769231</v>
      </c>
      <c r="U139" s="54"/>
      <c r="V139" s="54"/>
      <c r="W139" s="54"/>
      <c r="X139" s="54"/>
      <c r="Y139" s="54"/>
      <c r="Z139" s="54"/>
      <c r="AA139" s="54"/>
      <c r="AB139" s="54"/>
      <c r="AC139" s="54"/>
    </row>
    <row r="140" spans="2:29" hidden="1" x14ac:dyDescent="0.25">
      <c r="B140" s="277" t="s">
        <v>24</v>
      </c>
      <c r="C140" s="12" t="s">
        <v>39</v>
      </c>
      <c r="D140" s="38">
        <f t="shared" ref="D140:D145" si="35">D134/R134-1</f>
        <v>-0.44541916827068162</v>
      </c>
      <c r="E140" s="38">
        <v>-9.5034237473714755E-2</v>
      </c>
      <c r="F140" s="55">
        <f t="shared" ref="F140:O145" si="36">F134/T134-1</f>
        <v>-1.9360578353342404</v>
      </c>
      <c r="G140" s="38" t="e">
        <f t="shared" si="36"/>
        <v>#DIV/0!</v>
      </c>
      <c r="H140" s="38" t="e">
        <f t="shared" si="36"/>
        <v>#DIV/0!</v>
      </c>
      <c r="I140" s="38" t="e">
        <f t="shared" si="36"/>
        <v>#DIV/0!</v>
      </c>
      <c r="J140" s="38" t="e">
        <f t="shared" si="36"/>
        <v>#DIV/0!</v>
      </c>
      <c r="K140" s="38" t="e">
        <f t="shared" si="36"/>
        <v>#DIV/0!</v>
      </c>
      <c r="L140" s="38" t="e">
        <f t="shared" si="36"/>
        <v>#DIV/0!</v>
      </c>
      <c r="M140" s="38" t="e">
        <f t="shared" si="36"/>
        <v>#DIV/0!</v>
      </c>
      <c r="N140" s="38" t="e">
        <f t="shared" si="36"/>
        <v>#DIV/0!</v>
      </c>
      <c r="O140" s="38" t="e">
        <f t="shared" si="36"/>
        <v>#DIV/0!</v>
      </c>
      <c r="Q140" s="32"/>
      <c r="R140" s="14"/>
      <c r="S140" s="14"/>
      <c r="T140" s="14"/>
      <c r="U140" s="14"/>
      <c r="V140" s="14"/>
      <c r="W140" s="14"/>
      <c r="X140" s="14"/>
      <c r="Y140" s="14"/>
      <c r="Z140" s="14"/>
      <c r="AA140" s="14"/>
      <c r="AB140" s="14"/>
      <c r="AC140" s="14"/>
    </row>
    <row r="141" spans="2:29" hidden="1" x14ac:dyDescent="0.25">
      <c r="B141" s="281"/>
      <c r="C141" s="12" t="s">
        <v>40</v>
      </c>
      <c r="D141" s="38">
        <f t="shared" si="35"/>
        <v>-0.41350947158524431</v>
      </c>
      <c r="E141" s="38">
        <v>-5.1234795429413893E-2</v>
      </c>
      <c r="F141" s="55">
        <f t="shared" si="36"/>
        <v>-2.1595164747754079</v>
      </c>
      <c r="G141" s="38" t="e">
        <f t="shared" si="36"/>
        <v>#DIV/0!</v>
      </c>
      <c r="H141" s="38" t="e">
        <f t="shared" si="36"/>
        <v>#DIV/0!</v>
      </c>
      <c r="I141" s="38" t="e">
        <f t="shared" si="36"/>
        <v>#DIV/0!</v>
      </c>
      <c r="J141" s="38" t="e">
        <f t="shared" si="36"/>
        <v>#DIV/0!</v>
      </c>
      <c r="K141" s="38" t="e">
        <f t="shared" si="36"/>
        <v>#DIV/0!</v>
      </c>
      <c r="L141" s="38" t="e">
        <f t="shared" si="36"/>
        <v>#DIV/0!</v>
      </c>
      <c r="M141" s="38" t="e">
        <f t="shared" si="36"/>
        <v>#DIV/0!</v>
      </c>
      <c r="N141" s="38" t="e">
        <f t="shared" si="36"/>
        <v>#DIV/0!</v>
      </c>
      <c r="O141" s="38" t="e">
        <f t="shared" si="36"/>
        <v>#DIV/0!</v>
      </c>
      <c r="Q141" s="32"/>
      <c r="R141" s="14"/>
      <c r="S141" s="14"/>
      <c r="T141" s="14"/>
      <c r="U141" s="14"/>
      <c r="V141" s="14"/>
      <c r="W141" s="14"/>
      <c r="X141" s="14"/>
      <c r="Y141" s="14"/>
      <c r="Z141" s="14"/>
      <c r="AA141" s="14"/>
      <c r="AB141" s="14"/>
      <c r="AC141" s="14"/>
    </row>
    <row r="142" spans="2:29" hidden="1" x14ac:dyDescent="0.25">
      <c r="B142" s="281"/>
      <c r="C142" s="12" t="s">
        <v>41</v>
      </c>
      <c r="D142" s="38">
        <f t="shared" si="35"/>
        <v>-5.4407863621748875E-2</v>
      </c>
      <c r="E142" s="38">
        <v>-4.6164679979094007E-2</v>
      </c>
      <c r="F142" s="55">
        <f t="shared" si="36"/>
        <v>-0.19271708880587513</v>
      </c>
      <c r="G142" s="38" t="e">
        <f t="shared" si="36"/>
        <v>#DIV/0!</v>
      </c>
      <c r="H142" s="38" t="e">
        <f t="shared" si="36"/>
        <v>#DIV/0!</v>
      </c>
      <c r="I142" s="38" t="e">
        <f t="shared" si="36"/>
        <v>#DIV/0!</v>
      </c>
      <c r="J142" s="38" t="e">
        <f t="shared" si="36"/>
        <v>#DIV/0!</v>
      </c>
      <c r="K142" s="38" t="e">
        <f t="shared" si="36"/>
        <v>#DIV/0!</v>
      </c>
      <c r="L142" s="38" t="e">
        <f t="shared" si="36"/>
        <v>#DIV/0!</v>
      </c>
      <c r="M142" s="38" t="e">
        <f t="shared" si="36"/>
        <v>#DIV/0!</v>
      </c>
      <c r="N142" s="38" t="e">
        <f t="shared" si="36"/>
        <v>#DIV/0!</v>
      </c>
      <c r="O142" s="38" t="e">
        <f t="shared" si="36"/>
        <v>#DIV/0!</v>
      </c>
      <c r="Q142" s="32"/>
      <c r="R142" s="14"/>
      <c r="S142" s="14"/>
      <c r="T142" s="14"/>
      <c r="U142" s="14"/>
      <c r="V142" s="14"/>
      <c r="W142" s="14"/>
      <c r="X142" s="14"/>
      <c r="Y142" s="14"/>
      <c r="Z142" s="14"/>
      <c r="AA142" s="14"/>
      <c r="AB142" s="14"/>
      <c r="AC142" s="14"/>
    </row>
    <row r="143" spans="2:29" hidden="1" x14ac:dyDescent="0.25">
      <c r="B143" s="281"/>
      <c r="C143" s="12" t="s">
        <v>42</v>
      </c>
      <c r="D143" s="38">
        <f t="shared" si="35"/>
        <v>-0.36592511390872529</v>
      </c>
      <c r="E143" s="38">
        <v>6.8439904973407018E-2</v>
      </c>
      <c r="F143" s="55">
        <f t="shared" si="36"/>
        <v>-0.22547441183838024</v>
      </c>
      <c r="G143" s="38" t="e">
        <f t="shared" si="36"/>
        <v>#DIV/0!</v>
      </c>
      <c r="H143" s="38" t="e">
        <f t="shared" si="36"/>
        <v>#DIV/0!</v>
      </c>
      <c r="I143" s="38" t="e">
        <f t="shared" si="36"/>
        <v>#DIV/0!</v>
      </c>
      <c r="J143" s="38" t="e">
        <f t="shared" si="36"/>
        <v>#DIV/0!</v>
      </c>
      <c r="K143" s="38" t="e">
        <f t="shared" si="36"/>
        <v>#DIV/0!</v>
      </c>
      <c r="L143" s="38" t="e">
        <f t="shared" si="36"/>
        <v>#DIV/0!</v>
      </c>
      <c r="M143" s="38" t="e">
        <f t="shared" si="36"/>
        <v>#DIV/0!</v>
      </c>
      <c r="N143" s="38" t="e">
        <f t="shared" si="36"/>
        <v>#DIV/0!</v>
      </c>
      <c r="O143" s="38" t="e">
        <f t="shared" si="36"/>
        <v>#DIV/0!</v>
      </c>
      <c r="Q143" s="32"/>
      <c r="R143" s="14"/>
      <c r="S143" s="14"/>
      <c r="T143" s="14"/>
      <c r="U143" s="14"/>
      <c r="V143" s="14"/>
      <c r="W143" s="14"/>
      <c r="X143" s="14"/>
      <c r="Y143" s="14"/>
      <c r="Z143" s="14"/>
      <c r="AA143" s="14"/>
      <c r="AB143" s="14"/>
      <c r="AC143" s="14"/>
    </row>
    <row r="144" spans="2:29" hidden="1" x14ac:dyDescent="0.25">
      <c r="B144" s="281"/>
      <c r="C144" s="12" t="s">
        <v>43</v>
      </c>
      <c r="D144" s="38">
        <f t="shared" si="35"/>
        <v>-0.3946360153256705</v>
      </c>
      <c r="E144" s="38">
        <v>-8.1991215226939973E-2</v>
      </c>
      <c r="F144" s="55">
        <f t="shared" si="36"/>
        <v>-0.26607818411097095</v>
      </c>
      <c r="G144" s="38" t="e">
        <f t="shared" si="36"/>
        <v>#DIV/0!</v>
      </c>
      <c r="H144" s="38" t="e">
        <f t="shared" si="36"/>
        <v>#DIV/0!</v>
      </c>
      <c r="I144" s="38" t="e">
        <f t="shared" si="36"/>
        <v>#DIV/0!</v>
      </c>
      <c r="J144" s="38" t="e">
        <f t="shared" si="36"/>
        <v>#DIV/0!</v>
      </c>
      <c r="K144" s="38" t="e">
        <f t="shared" si="36"/>
        <v>#DIV/0!</v>
      </c>
      <c r="L144" s="38" t="e">
        <f t="shared" si="36"/>
        <v>#DIV/0!</v>
      </c>
      <c r="M144" s="38" t="e">
        <f t="shared" si="36"/>
        <v>#DIV/0!</v>
      </c>
      <c r="N144" s="38" t="e">
        <f t="shared" si="36"/>
        <v>#DIV/0!</v>
      </c>
      <c r="O144" s="38" t="e">
        <f t="shared" si="36"/>
        <v>#DIV/0!</v>
      </c>
      <c r="Q144" s="32"/>
      <c r="R144" s="14"/>
      <c r="S144" s="14"/>
      <c r="T144" s="14"/>
      <c r="U144" s="14"/>
      <c r="V144" s="14"/>
      <c r="W144" s="14"/>
      <c r="X144" s="14"/>
      <c r="Y144" s="14"/>
      <c r="Z144" s="14"/>
      <c r="AA144" s="14"/>
      <c r="AB144" s="14"/>
      <c r="AC144" s="14"/>
    </row>
    <row r="145" spans="2:29" hidden="1" x14ac:dyDescent="0.25">
      <c r="B145" s="283"/>
      <c r="C145" s="12" t="s">
        <v>44</v>
      </c>
      <c r="D145" s="38">
        <f t="shared" si="35"/>
        <v>4.7427501707738573E-2</v>
      </c>
      <c r="E145" s="38">
        <v>0.1638667545404098</v>
      </c>
      <c r="F145" s="55">
        <f t="shared" si="36"/>
        <v>5.5324383869698401E-2</v>
      </c>
      <c r="G145" s="38" t="e">
        <f t="shared" si="36"/>
        <v>#DIV/0!</v>
      </c>
      <c r="H145" s="38" t="e">
        <f t="shared" si="36"/>
        <v>#DIV/0!</v>
      </c>
      <c r="I145" s="38" t="e">
        <f t="shared" si="36"/>
        <v>#DIV/0!</v>
      </c>
      <c r="J145" s="38" t="e">
        <f t="shared" si="36"/>
        <v>#DIV/0!</v>
      </c>
      <c r="K145" s="38" t="e">
        <f t="shared" si="36"/>
        <v>#DIV/0!</v>
      </c>
      <c r="L145" s="38" t="e">
        <f t="shared" si="36"/>
        <v>#DIV/0!</v>
      </c>
      <c r="M145" s="38" t="e">
        <f t="shared" si="36"/>
        <v>#DIV/0!</v>
      </c>
      <c r="N145" s="38" t="e">
        <f t="shared" si="36"/>
        <v>#DIV/0!</v>
      </c>
      <c r="O145" s="38" t="e">
        <f t="shared" si="36"/>
        <v>#DIV/0!</v>
      </c>
      <c r="Q145" s="32"/>
      <c r="R145" s="14"/>
      <c r="S145" s="14"/>
      <c r="T145" s="14"/>
      <c r="U145" s="14"/>
      <c r="V145" s="14"/>
      <c r="W145" s="14"/>
      <c r="X145" s="14"/>
      <c r="Y145" s="14"/>
      <c r="Z145" s="14"/>
      <c r="AA145" s="14"/>
      <c r="AB145" s="14"/>
      <c r="AC145" s="14"/>
    </row>
    <row r="146" spans="2:29" hidden="1" x14ac:dyDescent="0.25">
      <c r="B146" s="277" t="s">
        <v>45</v>
      </c>
      <c r="C146" s="12" t="s">
        <v>39</v>
      </c>
      <c r="D146" s="38">
        <f>(D134/SUM(D134,D137))-(R134/SUM(R134,R137))</f>
        <v>-2.4973836897892676E-2</v>
      </c>
      <c r="E146" s="38">
        <v>-3.045378471834459E-2</v>
      </c>
      <c r="F146" s="55">
        <f t="shared" ref="F146:O147" si="37">(F134/SUM(F134,F137))-(T134/SUM(T134,T137))</f>
        <v>11469363.313511891</v>
      </c>
      <c r="G146" s="38" t="e">
        <f t="shared" si="37"/>
        <v>#DIV/0!</v>
      </c>
      <c r="H146" s="38" t="e">
        <f t="shared" si="37"/>
        <v>#DIV/0!</v>
      </c>
      <c r="I146" s="38" t="e">
        <f t="shared" si="37"/>
        <v>#DIV/0!</v>
      </c>
      <c r="J146" s="38" t="e">
        <f t="shared" si="37"/>
        <v>#DIV/0!</v>
      </c>
      <c r="K146" s="38" t="e">
        <f t="shared" si="37"/>
        <v>#DIV/0!</v>
      </c>
      <c r="L146" s="38" t="e">
        <f t="shared" si="37"/>
        <v>#DIV/0!</v>
      </c>
      <c r="M146" s="38" t="e">
        <f t="shared" si="37"/>
        <v>#DIV/0!</v>
      </c>
      <c r="N146" s="38" t="e">
        <f t="shared" si="37"/>
        <v>#DIV/0!</v>
      </c>
      <c r="O146" s="38" t="e">
        <f t="shared" si="37"/>
        <v>#DIV/0!</v>
      </c>
      <c r="Q146" s="32"/>
      <c r="R146" s="14"/>
      <c r="S146" s="14"/>
      <c r="T146" s="14"/>
      <c r="U146" s="14"/>
      <c r="V146" s="14"/>
      <c r="W146" s="14"/>
      <c r="X146" s="14"/>
      <c r="Y146" s="14"/>
      <c r="Z146" s="14"/>
      <c r="AA146" s="14"/>
      <c r="AB146" s="14"/>
      <c r="AC146" s="14"/>
    </row>
    <row r="147" spans="2:29" hidden="1" x14ac:dyDescent="0.25">
      <c r="B147" s="281"/>
      <c r="C147" s="12" t="s">
        <v>40</v>
      </c>
      <c r="D147" s="38">
        <f>(D135/SUM(D135,D138))-(R135/SUM(R135,R138))</f>
        <v>-5.2379513601764627E-3</v>
      </c>
      <c r="E147" s="38">
        <v>5.2426748266608536E-3</v>
      </c>
      <c r="F147" s="55">
        <f t="shared" si="37"/>
        <v>-267645.77675245068</v>
      </c>
      <c r="G147" s="38" t="e">
        <f t="shared" si="37"/>
        <v>#DIV/0!</v>
      </c>
      <c r="H147" s="38" t="e">
        <f t="shared" si="37"/>
        <v>#DIV/0!</v>
      </c>
      <c r="I147" s="38" t="e">
        <f t="shared" si="37"/>
        <v>#DIV/0!</v>
      </c>
      <c r="J147" s="38" t="e">
        <f t="shared" si="37"/>
        <v>#DIV/0!</v>
      </c>
      <c r="K147" s="38" t="e">
        <f t="shared" si="37"/>
        <v>#DIV/0!</v>
      </c>
      <c r="L147" s="38" t="e">
        <f t="shared" si="37"/>
        <v>#DIV/0!</v>
      </c>
      <c r="M147" s="38" t="e">
        <f t="shared" si="37"/>
        <v>#DIV/0!</v>
      </c>
      <c r="N147" s="38" t="e">
        <f t="shared" si="37"/>
        <v>#DIV/0!</v>
      </c>
      <c r="O147" s="38" t="e">
        <f t="shared" si="37"/>
        <v>#DIV/0!</v>
      </c>
      <c r="Q147" s="32"/>
      <c r="R147" s="14"/>
      <c r="S147" s="14"/>
      <c r="T147" s="14"/>
      <c r="U147" s="14"/>
      <c r="V147" s="14"/>
      <c r="W147" s="14"/>
      <c r="X147" s="14"/>
      <c r="Y147" s="14"/>
      <c r="Z147" s="14"/>
      <c r="AA147" s="14"/>
      <c r="AB147" s="14"/>
      <c r="AC147" s="14"/>
    </row>
    <row r="148" spans="2:29" hidden="1" x14ac:dyDescent="0.25">
      <c r="B148" s="281"/>
      <c r="C148" s="12" t="s">
        <v>41</v>
      </c>
      <c r="D148" s="38" t="s">
        <v>132</v>
      </c>
      <c r="E148" s="38" t="s">
        <v>132</v>
      </c>
      <c r="F148" s="55" t="s">
        <v>132</v>
      </c>
      <c r="G148" s="38" t="s">
        <v>132</v>
      </c>
      <c r="H148" s="38" t="s">
        <v>132</v>
      </c>
      <c r="I148" s="38" t="s">
        <v>132</v>
      </c>
      <c r="J148" s="38" t="s">
        <v>132</v>
      </c>
      <c r="K148" s="38" t="s">
        <v>132</v>
      </c>
      <c r="L148" s="38" t="s">
        <v>132</v>
      </c>
      <c r="M148" s="38" t="s">
        <v>132</v>
      </c>
      <c r="N148" s="38" t="s">
        <v>132</v>
      </c>
      <c r="O148" s="38" t="s">
        <v>132</v>
      </c>
      <c r="Q148" s="32"/>
      <c r="R148" s="14"/>
      <c r="S148" s="14"/>
      <c r="T148" s="14"/>
      <c r="U148" s="14"/>
      <c r="V148" s="14"/>
      <c r="W148" s="14"/>
      <c r="X148" s="14"/>
      <c r="Y148" s="14"/>
      <c r="Z148" s="14"/>
      <c r="AA148" s="14"/>
      <c r="AB148" s="14"/>
      <c r="AC148" s="14"/>
    </row>
    <row r="149" spans="2:29" hidden="1" x14ac:dyDescent="0.25">
      <c r="B149" s="281"/>
      <c r="C149" s="12" t="s">
        <v>42</v>
      </c>
      <c r="D149" s="38">
        <f>(D137/SUM(D137,D134))-(R137/SUM(R134,R137))</f>
        <v>2.4973836897892676E-2</v>
      </c>
      <c r="E149" s="38">
        <v>3.0453784718344559E-2</v>
      </c>
      <c r="F149" s="55">
        <f t="shared" ref="F149:O149" si="38">(F137/SUM(F137,F134))-(T137/SUM(T134,T137))</f>
        <v>-11469363.313511891</v>
      </c>
      <c r="G149" s="38" t="e">
        <f t="shared" si="38"/>
        <v>#DIV/0!</v>
      </c>
      <c r="H149" s="38" t="e">
        <f t="shared" si="38"/>
        <v>#DIV/0!</v>
      </c>
      <c r="I149" s="38" t="e">
        <f t="shared" si="38"/>
        <v>#DIV/0!</v>
      </c>
      <c r="J149" s="38" t="e">
        <f t="shared" si="38"/>
        <v>#DIV/0!</v>
      </c>
      <c r="K149" s="38" t="e">
        <f t="shared" si="38"/>
        <v>#DIV/0!</v>
      </c>
      <c r="L149" s="38" t="e">
        <f t="shared" si="38"/>
        <v>#DIV/0!</v>
      </c>
      <c r="M149" s="38" t="e">
        <f t="shared" si="38"/>
        <v>#DIV/0!</v>
      </c>
      <c r="N149" s="38" t="e">
        <f t="shared" si="38"/>
        <v>#DIV/0!</v>
      </c>
      <c r="O149" s="38" t="e">
        <f t="shared" si="38"/>
        <v>#DIV/0!</v>
      </c>
      <c r="Q149" s="32"/>
      <c r="R149" s="14"/>
      <c r="S149" s="14"/>
      <c r="T149" s="14"/>
      <c r="U149" s="14"/>
      <c r="V149" s="14"/>
      <c r="W149" s="14"/>
      <c r="X149" s="14"/>
      <c r="Y149" s="14"/>
      <c r="Z149" s="14"/>
      <c r="AA149" s="14"/>
      <c r="AB149" s="14"/>
      <c r="AC149" s="14"/>
    </row>
    <row r="150" spans="2:29" hidden="1" x14ac:dyDescent="0.25">
      <c r="B150" s="281"/>
      <c r="C150" s="12" t="s">
        <v>43</v>
      </c>
      <c r="D150" s="38">
        <f>(D138/SUM(D135,D138))-(R138/SUM(R135,R138))</f>
        <v>5.2379513601764072E-3</v>
      </c>
      <c r="E150" s="38">
        <v>-5.2426748266608536E-3</v>
      </c>
      <c r="F150" s="55">
        <f t="shared" ref="F150:O150" si="39">(F138/SUM(F135,F138))-(T138/SUM(T135,T138))</f>
        <v>267645.77675245068</v>
      </c>
      <c r="G150" s="38" t="e">
        <f t="shared" si="39"/>
        <v>#DIV/0!</v>
      </c>
      <c r="H150" s="38" t="e">
        <f t="shared" si="39"/>
        <v>#DIV/0!</v>
      </c>
      <c r="I150" s="38" t="e">
        <f t="shared" si="39"/>
        <v>#DIV/0!</v>
      </c>
      <c r="J150" s="38" t="e">
        <f t="shared" si="39"/>
        <v>#DIV/0!</v>
      </c>
      <c r="K150" s="38" t="e">
        <f t="shared" si="39"/>
        <v>#DIV/0!</v>
      </c>
      <c r="L150" s="38" t="e">
        <f t="shared" si="39"/>
        <v>#DIV/0!</v>
      </c>
      <c r="M150" s="38" t="e">
        <f t="shared" si="39"/>
        <v>#DIV/0!</v>
      </c>
      <c r="N150" s="38" t="e">
        <f t="shared" si="39"/>
        <v>#DIV/0!</v>
      </c>
      <c r="O150" s="38" t="e">
        <f t="shared" si="39"/>
        <v>#DIV/0!</v>
      </c>
      <c r="Q150" s="32"/>
      <c r="R150" s="14"/>
      <c r="S150" s="14"/>
      <c r="T150" s="14"/>
      <c r="U150" s="14"/>
      <c r="V150" s="14"/>
      <c r="W150" s="14"/>
      <c r="X150" s="14"/>
      <c r="Y150" s="14"/>
      <c r="Z150" s="14"/>
      <c r="AA150" s="14"/>
      <c r="AB150" s="14"/>
      <c r="AC150" s="14"/>
    </row>
    <row r="151" spans="2:29" hidden="1" x14ac:dyDescent="0.25">
      <c r="B151" s="283"/>
      <c r="C151" s="12" t="s">
        <v>44</v>
      </c>
      <c r="D151" s="38" t="s">
        <v>132</v>
      </c>
      <c r="E151" s="38" t="s">
        <v>132</v>
      </c>
      <c r="F151" s="55" t="s">
        <v>132</v>
      </c>
      <c r="G151" s="38" t="s">
        <v>132</v>
      </c>
      <c r="H151" s="38" t="s">
        <v>132</v>
      </c>
      <c r="I151" s="38" t="s">
        <v>132</v>
      </c>
      <c r="J151" s="38" t="s">
        <v>132</v>
      </c>
      <c r="K151" s="38" t="s">
        <v>132</v>
      </c>
      <c r="L151" s="38" t="s">
        <v>132</v>
      </c>
      <c r="M151" s="38" t="s">
        <v>132</v>
      </c>
      <c r="N151" s="38" t="s">
        <v>132</v>
      </c>
      <c r="O151" s="38" t="s">
        <v>132</v>
      </c>
      <c r="Q151" s="32"/>
      <c r="R151" s="14"/>
      <c r="S151" s="14"/>
      <c r="T151" s="14"/>
      <c r="U151" s="14"/>
      <c r="V151" s="14"/>
      <c r="W151" s="14"/>
      <c r="X151" s="14"/>
      <c r="Y151" s="14"/>
      <c r="Z151" s="14"/>
      <c r="AA151" s="14"/>
      <c r="AB151" s="14"/>
      <c r="AC151" s="14"/>
    </row>
    <row r="152" spans="2:29" hidden="1" x14ac:dyDescent="0.25"/>
    <row r="153" spans="2:29" hidden="1" x14ac:dyDescent="0.25"/>
    <row r="154" spans="2:29" s="5" customFormat="1" ht="23.5" customHeight="1" x14ac:dyDescent="0.25">
      <c r="B154" s="270" t="s">
        <v>195</v>
      </c>
      <c r="C154" s="271"/>
      <c r="D154" s="271"/>
      <c r="E154" s="271"/>
      <c r="F154" s="271"/>
      <c r="N154" s="6"/>
      <c r="O154" s="6"/>
      <c r="P154" s="6"/>
    </row>
    <row r="155" spans="2:29" x14ac:dyDescent="0.25">
      <c r="B155" s="2" t="s">
        <v>196</v>
      </c>
    </row>
    <row r="156" spans="2:29" ht="16.25" customHeight="1" x14ac:dyDescent="0.25">
      <c r="B156" s="272" t="s">
        <v>197</v>
      </c>
      <c r="C156" s="273"/>
      <c r="D156" s="273"/>
      <c r="E156" s="273"/>
      <c r="F156" s="274"/>
    </row>
    <row r="157" spans="2:29" ht="16.25" customHeight="1" x14ac:dyDescent="0.25">
      <c r="B157" s="10"/>
      <c r="C157" s="10" t="s">
        <v>167</v>
      </c>
      <c r="D157" s="10" t="s">
        <v>168</v>
      </c>
      <c r="E157" s="10" t="s">
        <v>198</v>
      </c>
      <c r="F157" s="10" t="s">
        <v>199</v>
      </c>
    </row>
    <row r="158" spans="2:29" ht="16.25" customHeight="1" x14ac:dyDescent="0.25">
      <c r="B158" s="10"/>
      <c r="C158" s="10" t="s">
        <v>16</v>
      </c>
      <c r="D158" s="46">
        <v>2963</v>
      </c>
      <c r="E158" s="46">
        <v>2449</v>
      </c>
      <c r="F158" s="46">
        <v>465</v>
      </c>
    </row>
    <row r="159" spans="2:29" x14ac:dyDescent="0.25">
      <c r="B159" s="277" t="s">
        <v>174</v>
      </c>
      <c r="C159" s="12" t="s">
        <v>175</v>
      </c>
      <c r="D159" s="37">
        <f>IFERROR(dat_nespresso_profile_d!F2,"")</f>
        <v>0.33029073698444888</v>
      </c>
      <c r="E159" s="37">
        <f>IFERROR(dat_nespresso_profile_d!G2,"")</f>
        <v>0.34348697394789579</v>
      </c>
      <c r="F159" s="37">
        <f>IFERROR(dat_nespresso_profile_d!H2,"")</f>
        <v>0.25917926565874733</v>
      </c>
    </row>
    <row r="160" spans="2:29" x14ac:dyDescent="0.25">
      <c r="B160" s="283"/>
      <c r="C160" s="12" t="s">
        <v>176</v>
      </c>
      <c r="D160" s="37">
        <f>IFERROR(dat_nespresso_profile_d!F3,"")</f>
        <v>0.66903313049357671</v>
      </c>
      <c r="E160" s="37">
        <f>IFERROR(dat_nespresso_profile_d!G3,"")</f>
        <v>0.65571142284569139</v>
      </c>
      <c r="F160" s="37">
        <f>IFERROR(dat_nespresso_profile_d!H3,"")</f>
        <v>0.74082073434125273</v>
      </c>
    </row>
    <row r="161" spans="2:6" x14ac:dyDescent="0.25">
      <c r="B161" s="277" t="s">
        <v>177</v>
      </c>
      <c r="C161" s="12" t="s">
        <v>178</v>
      </c>
      <c r="D161" s="37">
        <f>IFERROR(dat_nespresso_profile_d!F4,"")</f>
        <v>5.4766734279918863E-2</v>
      </c>
      <c r="E161" s="37">
        <f>IFERROR(dat_nespresso_profile_d!G4,"")</f>
        <v>6.0921843687374751E-2</v>
      </c>
      <c r="F161" s="37">
        <f>IFERROR(dat_nespresso_profile_d!H4,"")</f>
        <v>2.159827213822894E-2</v>
      </c>
    </row>
    <row r="162" spans="2:6" x14ac:dyDescent="0.25">
      <c r="B162" s="281"/>
      <c r="C162" s="12" t="s">
        <v>179</v>
      </c>
      <c r="D162" s="37">
        <f>IFERROR(dat_nespresso_profile_d!F5,"")</f>
        <v>0.21129141311697089</v>
      </c>
      <c r="E162" s="37">
        <f>IFERROR(dat_nespresso_profile_d!G5,"")</f>
        <v>0.22444889779559121</v>
      </c>
      <c r="F162" s="37">
        <f>IFERROR(dat_nespresso_profile_d!H5,"")</f>
        <v>0.14038876889848809</v>
      </c>
    </row>
    <row r="163" spans="2:6" x14ac:dyDescent="0.25">
      <c r="B163" s="281"/>
      <c r="C163" s="12" t="s">
        <v>180</v>
      </c>
      <c r="D163" s="37">
        <f>IFERROR(dat_nespresso_profile_d!F6,"")</f>
        <v>0.21839080459770119</v>
      </c>
      <c r="E163" s="37">
        <f>IFERROR(dat_nespresso_profile_d!G6,"")</f>
        <v>0.21643286573146289</v>
      </c>
      <c r="F163" s="37">
        <f>IFERROR(dat_nespresso_profile_d!H6,"")</f>
        <v>0.2289416846652268</v>
      </c>
    </row>
    <row r="164" spans="2:6" x14ac:dyDescent="0.25">
      <c r="B164" s="281"/>
      <c r="C164" s="12" t="s">
        <v>181</v>
      </c>
      <c r="D164" s="37">
        <f>IFERROR(dat_nespresso_profile_d!F7,"")</f>
        <v>0.18356997971602429</v>
      </c>
      <c r="E164" s="37">
        <f>IFERROR(dat_nespresso_profile_d!G7,"")</f>
        <v>0.18316633266533069</v>
      </c>
      <c r="F164" s="37">
        <f>IFERROR(dat_nespresso_profile_d!H7,"")</f>
        <v>0.18574514038876891</v>
      </c>
    </row>
    <row r="165" spans="2:6" x14ac:dyDescent="0.25">
      <c r="B165" s="281"/>
      <c r="C165" s="12" t="s">
        <v>200</v>
      </c>
      <c r="D165" s="37">
        <f>IFERROR(dat_nespresso_profile_d!F8,"")</f>
        <v>0.20216362407031779</v>
      </c>
      <c r="E165" s="37">
        <f>IFERROR(dat_nespresso_profile_d!G8,"")</f>
        <v>0.1907815631262525</v>
      </c>
      <c r="F165" s="37">
        <f>IFERROR(dat_nespresso_profile_d!H8,"")</f>
        <v>0.26349892008639308</v>
      </c>
    </row>
    <row r="166" spans="2:6" x14ac:dyDescent="0.25">
      <c r="B166" s="283"/>
      <c r="C166" s="12" t="s">
        <v>184</v>
      </c>
      <c r="D166" s="37">
        <f>IFERROR(dat_nespresso_profile_d!F9,"")</f>
        <v>0.12609871534820821</v>
      </c>
      <c r="E166" s="37">
        <f>IFERROR(dat_nespresso_profile_d!G9,"")</f>
        <v>0.12064128256513031</v>
      </c>
      <c r="F166" s="56">
        <f>IFERROR(dat_nespresso_profile_d!H9,"")</f>
        <v>0.15550755939524841</v>
      </c>
    </row>
    <row r="167" spans="2:6" x14ac:dyDescent="0.25">
      <c r="B167" s="277" t="s">
        <v>185</v>
      </c>
      <c r="C167" s="22">
        <v>1</v>
      </c>
      <c r="D167" s="37">
        <f>IFERROR(dat_nespresso_profile_d!F10,"")</f>
        <v>0.33637592968221769</v>
      </c>
      <c r="E167" s="37">
        <f>IFERROR(dat_nespresso_profile_d!G10,"")</f>
        <v>0.32024048096192392</v>
      </c>
      <c r="F167" s="37">
        <f>IFERROR(dat_nespresso_profile_d!H10,"")</f>
        <v>0.42332613390928719</v>
      </c>
    </row>
    <row r="168" spans="2:6" x14ac:dyDescent="0.25">
      <c r="B168" s="281"/>
      <c r="C168" s="22" t="s">
        <v>201</v>
      </c>
      <c r="D168" s="37">
        <f>IFERROR(dat_nespresso_profile_d!F11,"")</f>
        <v>0.29783637592968221</v>
      </c>
      <c r="E168" s="37">
        <f>IFERROR(dat_nespresso_profile_d!G11,"")</f>
        <v>0.29498997995991982</v>
      </c>
      <c r="F168" s="37">
        <f>IFERROR(dat_nespresso_profile_d!H11,"")</f>
        <v>0.31317494600431972</v>
      </c>
    </row>
    <row r="169" spans="2:6" x14ac:dyDescent="0.25">
      <c r="B169" s="281"/>
      <c r="C169" s="22">
        <v>2</v>
      </c>
      <c r="D169" s="37">
        <f>IFERROR(dat_nespresso_profile_d!F12,"")</f>
        <v>0.15652467883705209</v>
      </c>
      <c r="E169" s="37">
        <f>IFERROR(dat_nespresso_profile_d!G12,"")</f>
        <v>0.1615230460921844</v>
      </c>
      <c r="F169" s="37">
        <f>IFERROR(dat_nespresso_profile_d!H12,"")</f>
        <v>0.12958963282937369</v>
      </c>
    </row>
    <row r="170" spans="2:6" x14ac:dyDescent="0.25">
      <c r="B170" s="281"/>
      <c r="C170" s="22">
        <v>3</v>
      </c>
      <c r="D170" s="37">
        <f>IFERROR(dat_nespresso_profile_d!F13,"")</f>
        <v>3.9553752535496957E-2</v>
      </c>
      <c r="E170" s="37">
        <f>IFERROR(dat_nespresso_profile_d!G13,"")</f>
        <v>4.3286573146292577E-2</v>
      </c>
      <c r="F170" s="37">
        <f>IFERROR(dat_nespresso_profile_d!H13,"")</f>
        <v>1.9438444924406051E-2</v>
      </c>
    </row>
    <row r="171" spans="2:6" x14ac:dyDescent="0.25">
      <c r="B171" s="281"/>
      <c r="C171" s="22">
        <v>4</v>
      </c>
      <c r="D171" s="37">
        <f>IFERROR(dat_nespresso_profile_d!F14,"")</f>
        <v>4.1920216362407031E-2</v>
      </c>
      <c r="E171" s="37">
        <f>IFERROR(dat_nespresso_profile_d!G14,"")</f>
        <v>4.3286573146292577E-2</v>
      </c>
      <c r="F171" s="37">
        <f>IFERROR(dat_nespresso_profile_d!H14,"")</f>
        <v>3.4557235421166309E-2</v>
      </c>
    </row>
    <row r="172" spans="2:6" x14ac:dyDescent="0.25">
      <c r="B172" s="283"/>
      <c r="C172" s="22">
        <v>5</v>
      </c>
      <c r="D172" s="37">
        <f>IFERROR(dat_nespresso_profile_d!F15,"")</f>
        <v>2.0622041920216359E-2</v>
      </c>
      <c r="E172" s="37">
        <f>IFERROR(dat_nespresso_profile_d!G15,"")</f>
        <v>2.1643286573146289E-2</v>
      </c>
      <c r="F172" s="37">
        <f>IFERROR(dat_nespresso_profile_d!H15,"")</f>
        <v>1.511879049676026E-2</v>
      </c>
    </row>
    <row r="173" spans="2:6" x14ac:dyDescent="0.25">
      <c r="B173" s="277" t="s">
        <v>186</v>
      </c>
      <c r="C173" s="12" t="s">
        <v>187</v>
      </c>
      <c r="D173" s="37">
        <f>IFERROR(dat_nespresso_profile_d!F16,"")</f>
        <v>1.690331304935767E-2</v>
      </c>
      <c r="E173" s="37">
        <f>IFERROR(dat_nespresso_profile_d!G16,"")</f>
        <v>1.88376753507014E-2</v>
      </c>
      <c r="F173" s="37">
        <f>IFERROR(dat_nespresso_profile_d!H16,"")</f>
        <v>6.4794816414686816E-3</v>
      </c>
    </row>
    <row r="174" spans="2:6" x14ac:dyDescent="0.25">
      <c r="B174" s="281"/>
      <c r="C174" s="12" t="s">
        <v>188</v>
      </c>
      <c r="D174" s="37">
        <f>IFERROR(dat_nespresso_profile_d!F17,"")</f>
        <v>4.3272481406355652E-2</v>
      </c>
      <c r="E174" s="37">
        <f>IFERROR(dat_nespresso_profile_d!G17,"")</f>
        <v>4.6893787575150302E-2</v>
      </c>
      <c r="F174" s="37">
        <f>IFERROR(dat_nespresso_profile_d!H17,"")</f>
        <v>2.375809935205184E-2</v>
      </c>
    </row>
    <row r="175" spans="2:6" x14ac:dyDescent="0.25">
      <c r="B175" s="281"/>
      <c r="C175" s="12" t="s">
        <v>189</v>
      </c>
      <c r="D175" s="37">
        <f>IFERROR(dat_nespresso_profile_d!F18,"")</f>
        <v>9.9729546991210283E-2</v>
      </c>
      <c r="E175" s="37">
        <f>IFERROR(dat_nespresso_profile_d!G18,"")</f>
        <v>0.1110220440881764</v>
      </c>
      <c r="F175" s="37">
        <f>IFERROR(dat_nespresso_profile_d!H18,"")</f>
        <v>3.8876889848812088E-2</v>
      </c>
    </row>
    <row r="176" spans="2:6" x14ac:dyDescent="0.25">
      <c r="B176" s="281"/>
      <c r="C176" s="12" t="s">
        <v>190</v>
      </c>
      <c r="D176" s="37">
        <f>IFERROR(dat_nespresso_profile_d!F19,"")</f>
        <v>0.21129141311697089</v>
      </c>
      <c r="E176" s="37">
        <f>IFERROR(dat_nespresso_profile_d!G19,"")</f>
        <v>0.22244488977955909</v>
      </c>
      <c r="F176" s="37">
        <f>IFERROR(dat_nespresso_profile_d!H19,"")</f>
        <v>0.15118790496760259</v>
      </c>
    </row>
    <row r="177" spans="2:15" x14ac:dyDescent="0.25">
      <c r="B177" s="283"/>
      <c r="C177" s="12" t="s">
        <v>191</v>
      </c>
      <c r="D177" s="37">
        <f>IFERROR(dat_nespresso_profile_d!F20,"")</f>
        <v>0.62373225152129819</v>
      </c>
      <c r="E177" s="37">
        <f>IFERROR(dat_nespresso_profile_d!G20,"")</f>
        <v>0.59519038076152309</v>
      </c>
      <c r="F177" s="37">
        <f>IFERROR(dat_nespresso_profile_d!H20,"")</f>
        <v>0.77753779697624192</v>
      </c>
    </row>
    <row r="179" spans="2:15" s="49" customFormat="1" ht="16.25" customHeight="1" x14ac:dyDescent="0.25">
      <c r="B179" s="289" t="s">
        <v>202</v>
      </c>
      <c r="C179" s="290"/>
      <c r="D179" s="290"/>
      <c r="E179" s="290"/>
      <c r="F179" s="290"/>
      <c r="M179" s="50"/>
      <c r="N179" s="50"/>
      <c r="O179" s="50"/>
    </row>
    <row r="180" spans="2:15" x14ac:dyDescent="0.25">
      <c r="B180" s="2" t="s">
        <v>196</v>
      </c>
    </row>
    <row r="181" spans="2:15" ht="16.25" customHeight="1" x14ac:dyDescent="0.25">
      <c r="B181" s="272" t="s">
        <v>203</v>
      </c>
      <c r="C181" s="273"/>
      <c r="D181" s="273"/>
      <c r="E181" s="273"/>
      <c r="F181" s="274"/>
    </row>
    <row r="182" spans="2:15" ht="16.25" customHeight="1" x14ac:dyDescent="0.25">
      <c r="B182" s="10" t="s">
        <v>204</v>
      </c>
      <c r="C182" s="10" t="s">
        <v>33</v>
      </c>
      <c r="D182" s="10" t="s">
        <v>205</v>
      </c>
      <c r="E182" s="57" t="s">
        <v>206</v>
      </c>
      <c r="F182" s="57" t="s">
        <v>207</v>
      </c>
    </row>
    <row r="183" spans="2:15" ht="30" customHeight="1" x14ac:dyDescent="0.25">
      <c r="B183" s="242" t="s">
        <v>208</v>
      </c>
      <c r="C183" s="37">
        <v>0.60070000000000001</v>
      </c>
      <c r="D183" s="38" t="s">
        <v>209</v>
      </c>
      <c r="E183" s="58" t="s">
        <v>10783</v>
      </c>
      <c r="F183" s="59" t="s">
        <v>10784</v>
      </c>
    </row>
    <row r="184" spans="2:15" x14ac:dyDescent="0.25">
      <c r="B184" s="242" t="s">
        <v>210</v>
      </c>
      <c r="C184" s="37">
        <v>0.39939999999999998</v>
      </c>
      <c r="D184" s="38" t="s">
        <v>209</v>
      </c>
      <c r="E184" s="38" t="s">
        <v>10785</v>
      </c>
      <c r="F184" s="59" t="s">
        <v>10786</v>
      </c>
    </row>
    <row r="185" spans="2:15" ht="18" customHeight="1" x14ac:dyDescent="0.25">
      <c r="B185" s="242" t="s">
        <v>10787</v>
      </c>
      <c r="C185" s="37">
        <v>0.36969999999999997</v>
      </c>
      <c r="D185" s="38" t="s">
        <v>209</v>
      </c>
      <c r="E185" s="60" t="s">
        <v>10788</v>
      </c>
      <c r="F185" s="59" t="s">
        <v>10789</v>
      </c>
    </row>
    <row r="186" spans="2:15" x14ac:dyDescent="0.25">
      <c r="B186" s="242" t="s">
        <v>212</v>
      </c>
      <c r="C186" s="37">
        <v>0.30080000000000001</v>
      </c>
      <c r="D186" s="38" t="s">
        <v>209</v>
      </c>
      <c r="E186" s="38" t="s">
        <v>10790</v>
      </c>
      <c r="F186" s="59" t="s">
        <v>10791</v>
      </c>
    </row>
    <row r="187" spans="2:15" x14ac:dyDescent="0.25">
      <c r="B187" s="242" t="s">
        <v>213</v>
      </c>
      <c r="C187" s="37">
        <v>0.2404</v>
      </c>
      <c r="D187" s="38" t="s">
        <v>209</v>
      </c>
      <c r="E187" s="38" t="s">
        <v>10792</v>
      </c>
      <c r="F187" s="59" t="s">
        <v>214</v>
      </c>
    </row>
    <row r="188" spans="2:15" x14ac:dyDescent="0.25">
      <c r="B188" s="242" t="s">
        <v>215</v>
      </c>
      <c r="C188" s="37">
        <v>0.2273</v>
      </c>
      <c r="D188" s="38" t="s">
        <v>10793</v>
      </c>
      <c r="E188" s="38" t="s">
        <v>10794</v>
      </c>
      <c r="F188" s="59" t="s">
        <v>10795</v>
      </c>
    </row>
    <row r="189" spans="2:15" x14ac:dyDescent="0.25">
      <c r="B189" s="242" t="s">
        <v>10796</v>
      </c>
      <c r="C189" s="37">
        <v>0.24990000000000001</v>
      </c>
      <c r="D189" s="38" t="s">
        <v>10797</v>
      </c>
      <c r="E189" s="38" t="s">
        <v>10798</v>
      </c>
      <c r="F189" s="59" t="s">
        <v>10799</v>
      </c>
    </row>
    <row r="190" spans="2:15" x14ac:dyDescent="0.25">
      <c r="B190" s="242" t="s">
        <v>10800</v>
      </c>
      <c r="C190" s="37">
        <v>0.24879999999999999</v>
      </c>
      <c r="D190" s="38" t="s">
        <v>10797</v>
      </c>
      <c r="E190" s="38" t="s">
        <v>10801</v>
      </c>
      <c r="F190" s="59"/>
    </row>
    <row r="191" spans="2:15" x14ac:dyDescent="0.25">
      <c r="B191" s="242" t="s">
        <v>10802</v>
      </c>
      <c r="C191" s="37">
        <v>0.62949999999999995</v>
      </c>
      <c r="D191" s="38" t="s">
        <v>216</v>
      </c>
      <c r="E191" s="38" t="s">
        <v>10803</v>
      </c>
      <c r="F191" s="59" t="s">
        <v>12404</v>
      </c>
    </row>
    <row r="192" spans="2:15" x14ac:dyDescent="0.25">
      <c r="B192" s="242" t="s">
        <v>10804</v>
      </c>
      <c r="C192" s="37">
        <v>0.56079999999999997</v>
      </c>
      <c r="D192" s="38" t="s">
        <v>216</v>
      </c>
      <c r="E192" s="38" t="s">
        <v>10805</v>
      </c>
      <c r="F192" s="59" t="s">
        <v>10806</v>
      </c>
    </row>
    <row r="194" spans="2:24" s="49" customFormat="1" ht="16.25" customHeight="1" x14ac:dyDescent="0.25">
      <c r="B194" s="289" t="s">
        <v>217</v>
      </c>
      <c r="C194" s="290"/>
      <c r="D194" s="290"/>
      <c r="E194" s="290"/>
      <c r="F194" s="290"/>
      <c r="M194" s="50"/>
      <c r="N194" s="50"/>
      <c r="O194" s="50"/>
    </row>
    <row r="195" spans="2:24" ht="16.25" customHeight="1" thickBot="1" x14ac:dyDescent="0.5">
      <c r="V195" s="61"/>
      <c r="W195" s="61"/>
      <c r="X195" s="61"/>
    </row>
    <row r="196" spans="2:24" s="61" customFormat="1" ht="16.25" customHeight="1" x14ac:dyDescent="0.45">
      <c r="B196" s="334" t="s">
        <v>218</v>
      </c>
      <c r="C196" s="335"/>
      <c r="D196" s="335"/>
      <c r="E196" s="335"/>
      <c r="F196" s="335"/>
      <c r="G196" s="335"/>
      <c r="H196" s="335"/>
      <c r="I196" s="335"/>
      <c r="J196" s="335"/>
      <c r="K196" s="335"/>
      <c r="L196" s="335"/>
      <c r="M196" s="335"/>
      <c r="N196" s="335"/>
      <c r="O196" s="336"/>
      <c r="R196" s="320" t="s">
        <v>219</v>
      </c>
      <c r="S196" s="321"/>
      <c r="T196" s="321"/>
      <c r="U196" s="321"/>
    </row>
    <row r="197" spans="2:24" s="61" customFormat="1" ht="16.75" customHeight="1" thickBot="1" x14ac:dyDescent="0.5">
      <c r="B197" s="318" t="s">
        <v>220</v>
      </c>
      <c r="C197" s="319"/>
      <c r="D197" s="62">
        <v>2023.01</v>
      </c>
      <c r="E197" s="62">
        <v>2023.02</v>
      </c>
      <c r="F197" s="62">
        <v>2023.03</v>
      </c>
      <c r="G197" s="62">
        <v>2023.04</v>
      </c>
      <c r="H197" s="62">
        <v>2023.05</v>
      </c>
      <c r="I197" s="62">
        <v>2023.06</v>
      </c>
      <c r="J197" s="62">
        <v>2023.07</v>
      </c>
      <c r="K197" s="62">
        <v>2023.08</v>
      </c>
      <c r="L197" s="62">
        <v>2023.09</v>
      </c>
      <c r="M197" s="62">
        <v>2023.1</v>
      </c>
      <c r="N197" s="62">
        <v>2023.11</v>
      </c>
      <c r="O197" s="63">
        <v>2023.12</v>
      </c>
      <c r="R197" s="214"/>
      <c r="S197" s="215" t="str">
        <f>N197&amp;"复购率"</f>
        <v>2023.11复购率</v>
      </c>
      <c r="T197" s="215" t="str">
        <f>O197&amp;"复购率"</f>
        <v>2023.12复购率</v>
      </c>
      <c r="U197" s="216" t="s">
        <v>221</v>
      </c>
    </row>
    <row r="198" spans="2:24" s="61" customFormat="1" x14ac:dyDescent="0.45">
      <c r="B198" s="328" t="s">
        <v>16</v>
      </c>
      <c r="C198" s="64" t="s">
        <v>43</v>
      </c>
      <c r="D198" s="65">
        <v>89635</v>
      </c>
      <c r="E198" s="65">
        <v>87749</v>
      </c>
      <c r="F198" s="66">
        <v>80487</v>
      </c>
      <c r="G198" s="66">
        <v>80750</v>
      </c>
      <c r="H198" s="66"/>
      <c r="I198" s="66">
        <v>85394</v>
      </c>
      <c r="J198" s="66">
        <v>82334</v>
      </c>
      <c r="K198" s="67">
        <v>82075</v>
      </c>
      <c r="L198" s="65">
        <v>80985</v>
      </c>
      <c r="M198" s="65">
        <v>76753</v>
      </c>
      <c r="N198" s="65">
        <v>73760</v>
      </c>
      <c r="O198" s="65">
        <v>69763</v>
      </c>
      <c r="R198" s="214" t="s">
        <v>222</v>
      </c>
      <c r="S198" s="212">
        <f t="shared" ref="S198:T200" si="40">N202</f>
        <v>1.2486442516268981E-2</v>
      </c>
      <c r="T198" s="212">
        <f t="shared" si="40"/>
        <v>1.9207889568969225E-3</v>
      </c>
      <c r="U198" s="213">
        <f>O206</f>
        <v>-0.15723270440251569</v>
      </c>
    </row>
    <row r="199" spans="2:24" s="61" customFormat="1" x14ac:dyDescent="0.45">
      <c r="B199" s="311"/>
      <c r="C199" s="68" t="s">
        <v>223</v>
      </c>
      <c r="D199" s="16">
        <v>161</v>
      </c>
      <c r="E199" s="16">
        <v>160</v>
      </c>
      <c r="F199" s="69">
        <v>209</v>
      </c>
      <c r="G199" s="69">
        <f>G198-80556</f>
        <v>194</v>
      </c>
      <c r="H199" s="69"/>
      <c r="I199" s="69">
        <v>835</v>
      </c>
      <c r="J199" s="69">
        <f>J198-82215</f>
        <v>119</v>
      </c>
      <c r="K199" s="71">
        <f>K198-81894</f>
        <v>181</v>
      </c>
      <c r="L199" s="16">
        <v>159</v>
      </c>
      <c r="M199" s="16">
        <v>445</v>
      </c>
      <c r="N199" s="16">
        <v>921</v>
      </c>
      <c r="O199" s="16">
        <v>134</v>
      </c>
      <c r="R199" s="214" t="s">
        <v>224</v>
      </c>
      <c r="S199" s="212">
        <f t="shared" si="40"/>
        <v>3.0097613882863342E-3</v>
      </c>
      <c r="T199" s="212">
        <f t="shared" si="40"/>
        <v>2.8668491893983918E-3</v>
      </c>
      <c r="U199" s="213">
        <f>O207</f>
        <v>0.21212121212121215</v>
      </c>
    </row>
    <row r="200" spans="2:24" s="61" customFormat="1" x14ac:dyDescent="0.45">
      <c r="B200" s="311"/>
      <c r="C200" s="72" t="s">
        <v>225</v>
      </c>
      <c r="D200" s="16">
        <v>112</v>
      </c>
      <c r="E200" s="16">
        <v>120</v>
      </c>
      <c r="F200" s="69">
        <v>87</v>
      </c>
      <c r="G200" s="69">
        <f>G198-80454-G199</f>
        <v>102</v>
      </c>
      <c r="H200" s="69"/>
      <c r="I200" s="69">
        <v>201</v>
      </c>
      <c r="J200" s="69">
        <f>294-J199</f>
        <v>175</v>
      </c>
      <c r="K200" s="71">
        <f>346-K199</f>
        <v>165</v>
      </c>
      <c r="L200" s="16">
        <v>165</v>
      </c>
      <c r="M200" s="16">
        <v>265</v>
      </c>
      <c r="N200" s="16">
        <f>1143-921</f>
        <v>222</v>
      </c>
      <c r="O200" s="16">
        <v>200</v>
      </c>
      <c r="R200" s="214" t="s">
        <v>226</v>
      </c>
      <c r="S200" s="212">
        <f t="shared" si="40"/>
        <v>7.8904555314533616E-3</v>
      </c>
      <c r="T200" s="212">
        <f t="shared" si="40"/>
        <v>3.7555724381118931E-3</v>
      </c>
      <c r="U200" s="213">
        <f>O208</f>
        <v>0.13419913419913421</v>
      </c>
    </row>
    <row r="201" spans="2:24" s="61" customFormat="1" ht="16.25" customHeight="1" thickBot="1" x14ac:dyDescent="0.5">
      <c r="B201" s="329"/>
      <c r="C201" s="73" t="s">
        <v>227</v>
      </c>
      <c r="D201" s="74" t="s">
        <v>228</v>
      </c>
      <c r="E201" s="74" t="s">
        <v>228</v>
      </c>
      <c r="F201" s="75">
        <v>398</v>
      </c>
      <c r="G201" s="75">
        <f>G198-G200-G199-80263</f>
        <v>191</v>
      </c>
      <c r="H201" s="75"/>
      <c r="I201" s="75">
        <v>531</v>
      </c>
      <c r="J201" s="75">
        <f>82062-81909</f>
        <v>153</v>
      </c>
      <c r="K201" s="76">
        <f>591-K200-K199</f>
        <v>245</v>
      </c>
      <c r="L201" s="74">
        <v>231</v>
      </c>
      <c r="M201" s="74">
        <v>452</v>
      </c>
      <c r="N201" s="74">
        <f>582</f>
        <v>582</v>
      </c>
      <c r="O201" s="74">
        <v>262</v>
      </c>
      <c r="U201" s="211"/>
    </row>
    <row r="202" spans="2:24" s="61" customFormat="1" x14ac:dyDescent="0.45">
      <c r="B202" s="328" t="s">
        <v>33</v>
      </c>
      <c r="C202" s="77" t="s">
        <v>223</v>
      </c>
      <c r="D202" s="78">
        <f t="shared" ref="D202:E204" si="41">IFERROR(D199/D$198,"-")</f>
        <v>1.7961733697774308E-3</v>
      </c>
      <c r="E202" s="78">
        <f t="shared" si="41"/>
        <v>1.8233826026507424E-3</v>
      </c>
      <c r="F202" s="78">
        <v>2.596692633593003E-3</v>
      </c>
      <c r="G202" s="78">
        <f>IFERROR(G199/G$198,"-")</f>
        <v>2.4024767801857586E-3</v>
      </c>
      <c r="H202" s="78" t="str">
        <f>IFERROR(H199/H$273,"-")</f>
        <v>-</v>
      </c>
      <c r="I202" s="78">
        <f t="shared" ref="I202:O204" si="42">IFERROR(I199/I$198,"-")</f>
        <v>9.778204557697262E-3</v>
      </c>
      <c r="J202" s="78">
        <f t="shared" si="42"/>
        <v>1.4453324264580853E-3</v>
      </c>
      <c r="K202" s="78">
        <f t="shared" si="42"/>
        <v>2.2053000304599452E-3</v>
      </c>
      <c r="L202" s="78">
        <f t="shared" si="42"/>
        <v>1.9633265419522132E-3</v>
      </c>
      <c r="M202" s="78">
        <f t="shared" si="42"/>
        <v>5.7978189777598268E-3</v>
      </c>
      <c r="N202" s="78">
        <f t="shared" si="42"/>
        <v>1.2486442516268981E-2</v>
      </c>
      <c r="O202" s="78">
        <f t="shared" si="42"/>
        <v>1.9207889568969225E-3</v>
      </c>
      <c r="R202" s="320" t="s">
        <v>229</v>
      </c>
      <c r="S202" s="321"/>
      <c r="T202" s="321"/>
      <c r="U202" s="321"/>
    </row>
    <row r="203" spans="2:24" s="61" customFormat="1" x14ac:dyDescent="0.45">
      <c r="B203" s="311"/>
      <c r="C203" s="72" t="s">
        <v>225</v>
      </c>
      <c r="D203" s="24">
        <f t="shared" si="41"/>
        <v>1.2495119094103866E-3</v>
      </c>
      <c r="E203" s="24">
        <f t="shared" si="41"/>
        <v>1.3675369519880569E-3</v>
      </c>
      <c r="F203" s="24">
        <v>1.0809199001080921E-3</v>
      </c>
      <c r="G203" s="24">
        <f>IFERROR(G200/G$198,"-")</f>
        <v>1.2631578947368421E-3</v>
      </c>
      <c r="H203" s="24" t="str">
        <f>IFERROR(H200/H$273,"-")</f>
        <v>-</v>
      </c>
      <c r="I203" s="24">
        <f t="shared" si="42"/>
        <v>2.353795348619341E-3</v>
      </c>
      <c r="J203" s="24">
        <f t="shared" si="42"/>
        <v>2.1254888624383608E-3</v>
      </c>
      <c r="K203" s="24">
        <f t="shared" si="42"/>
        <v>2.0103563813585134E-3</v>
      </c>
      <c r="L203" s="24">
        <f t="shared" si="42"/>
        <v>2.0374143359881461E-3</v>
      </c>
      <c r="M203" s="24">
        <f t="shared" si="42"/>
        <v>3.4526337732727059E-3</v>
      </c>
      <c r="N203" s="24">
        <f t="shared" si="42"/>
        <v>3.0097613882863342E-3</v>
      </c>
      <c r="O203" s="24">
        <f t="shared" si="42"/>
        <v>2.8668491893983918E-3</v>
      </c>
      <c r="R203" s="214" t="s">
        <v>230</v>
      </c>
      <c r="S203" s="215">
        <v>2023.11</v>
      </c>
      <c r="T203" s="215">
        <v>2023.12</v>
      </c>
    </row>
    <row r="204" spans="2:24" s="61" customFormat="1" ht="16.25" customHeight="1" thickBot="1" x14ac:dyDescent="0.5">
      <c r="B204" s="329"/>
      <c r="C204" s="73" t="s">
        <v>227</v>
      </c>
      <c r="D204" s="79" t="str">
        <f t="shared" si="41"/>
        <v>-</v>
      </c>
      <c r="E204" s="79" t="str">
        <f t="shared" si="41"/>
        <v>-</v>
      </c>
      <c r="F204" s="80">
        <f>IFERROR(F201/F$198,"-")</f>
        <v>4.9448979338278234E-3</v>
      </c>
      <c r="G204" s="80">
        <f>IFERROR(G201/G$198,"-")</f>
        <v>2.3653250773993809E-3</v>
      </c>
      <c r="H204" s="80" t="str">
        <f>IFERROR(H201/H$273,"-")</f>
        <v>-</v>
      </c>
      <c r="I204" s="80">
        <f t="shared" si="42"/>
        <v>6.2182354732182588E-3</v>
      </c>
      <c r="J204" s="80">
        <f t="shared" si="42"/>
        <v>1.8582845483032526E-3</v>
      </c>
      <c r="K204" s="80">
        <f t="shared" si="42"/>
        <v>2.9850746268656717E-3</v>
      </c>
      <c r="L204" s="80">
        <f t="shared" si="42"/>
        <v>2.8523800703834042E-3</v>
      </c>
      <c r="M204" s="80">
        <f t="shared" si="42"/>
        <v>5.8890206246009925E-3</v>
      </c>
      <c r="N204" s="80">
        <f t="shared" si="42"/>
        <v>7.8904555314533616E-3</v>
      </c>
      <c r="O204" s="80">
        <f t="shared" si="42"/>
        <v>3.7555724381118931E-3</v>
      </c>
      <c r="R204" s="214" t="s">
        <v>231</v>
      </c>
      <c r="S204" s="217">
        <f>N211</f>
        <v>12</v>
      </c>
      <c r="T204" s="217">
        <f>O211</f>
        <v>11</v>
      </c>
    </row>
    <row r="205" spans="2:24" s="61" customFormat="1" x14ac:dyDescent="0.45">
      <c r="B205" s="330" t="s">
        <v>232</v>
      </c>
      <c r="C205" s="81" t="s">
        <v>43</v>
      </c>
      <c r="D205" s="82">
        <v>-8.0000000000000002E-3</v>
      </c>
      <c r="E205" s="82">
        <f>IFERROR(E198/D198-1,"-")</f>
        <v>-2.1040888045964157E-2</v>
      </c>
      <c r="F205" s="82">
        <v>-8.2758777877810594E-2</v>
      </c>
      <c r="G205" s="82">
        <f>IFERROR(G198/F198-1,"-")</f>
        <v>3.2676084336600297E-3</v>
      </c>
      <c r="H205" s="82" t="str">
        <f>IFERROR(H198/#REF!-1,"-")</f>
        <v>-</v>
      </c>
      <c r="I205" s="82" t="str">
        <f t="shared" ref="I205:O205" si="43">IFERROR(I198/H198-1,"-")</f>
        <v>-</v>
      </c>
      <c r="J205" s="82">
        <f t="shared" si="43"/>
        <v>-3.5833899337189945E-2</v>
      </c>
      <c r="K205" s="82">
        <f t="shared" si="43"/>
        <v>-3.1457235164087383E-3</v>
      </c>
      <c r="L205" s="82">
        <f t="shared" si="43"/>
        <v>-1.3280536095034989E-2</v>
      </c>
      <c r="M205" s="82">
        <f t="shared" si="43"/>
        <v>-5.2256590726677765E-2</v>
      </c>
      <c r="N205" s="82">
        <f t="shared" si="43"/>
        <v>-3.8995218427944178E-2</v>
      </c>
      <c r="O205" s="82">
        <f t="shared" si="43"/>
        <v>-5.4189262472885025E-2</v>
      </c>
      <c r="R205" s="214" t="s">
        <v>233</v>
      </c>
      <c r="S205" s="218">
        <f>ROUND(N212,5)</f>
        <v>1.8000000000000001E-4</v>
      </c>
      <c r="T205" s="218">
        <f>ROUND(O212,5)</f>
        <v>1.8000000000000001E-4</v>
      </c>
    </row>
    <row r="206" spans="2:24" s="61" customFormat="1" x14ac:dyDescent="0.45">
      <c r="B206" s="311"/>
      <c r="C206" s="68" t="s">
        <v>223</v>
      </c>
      <c r="D206" s="17">
        <v>-0.58699999999999997</v>
      </c>
      <c r="E206" s="17">
        <f>IFERROR(E199/D199-1,"-")</f>
        <v>-6.2111801242236142E-3</v>
      </c>
      <c r="F206" s="17">
        <v>0.30625000000000002</v>
      </c>
      <c r="G206" s="17">
        <f>IFERROR(G199/F199-1,"-")</f>
        <v>-7.1770334928229707E-2</v>
      </c>
      <c r="H206" s="17" t="str">
        <f>IFERROR(H199/#REF!-1,"-")</f>
        <v>-</v>
      </c>
      <c r="I206" s="17" t="str">
        <f>IFERROR(I199/H199-1,"-")</f>
        <v>-</v>
      </c>
      <c r="J206" s="17">
        <f>IFERROR(J199/G199-1,"-")</f>
        <v>-0.38659793814432986</v>
      </c>
      <c r="K206" s="17">
        <f>IFERROR(K199/J199-1,"-")</f>
        <v>0.52100840336134446</v>
      </c>
      <c r="L206" s="17">
        <f t="shared" ref="L206:O208" si="44">IFERROR(L199/I199-1,"-")</f>
        <v>-0.80958083832335326</v>
      </c>
      <c r="M206" s="17">
        <f t="shared" si="44"/>
        <v>2.7394957983193278</v>
      </c>
      <c r="N206" s="17">
        <f t="shared" si="44"/>
        <v>4.0883977900552484</v>
      </c>
      <c r="O206" s="17">
        <f t="shared" si="44"/>
        <v>-0.15723270440251569</v>
      </c>
      <c r="R206" s="214"/>
      <c r="S206" s="212"/>
      <c r="T206" s="212"/>
    </row>
    <row r="207" spans="2:24" s="61" customFormat="1" x14ac:dyDescent="0.45">
      <c r="B207" s="311"/>
      <c r="C207" s="72" t="s">
        <v>225</v>
      </c>
      <c r="D207" s="17">
        <v>-0.125</v>
      </c>
      <c r="E207" s="17">
        <f>IFERROR(E200/D200-1,"-")</f>
        <v>7.1428571428571397E-2</v>
      </c>
      <c r="F207" s="17">
        <v>-0.27500000000000002</v>
      </c>
      <c r="G207" s="17">
        <f>IFERROR(G200/F200-1,"-")</f>
        <v>0.17241379310344818</v>
      </c>
      <c r="H207" s="17" t="str">
        <f>IFERROR(H200/#REF!-1,"-")</f>
        <v>-</v>
      </c>
      <c r="I207" s="17" t="str">
        <f>IFERROR(I200/H200-1,"-")</f>
        <v>-</v>
      </c>
      <c r="J207" s="17">
        <f>IFERROR(J200/G200-1,"-")</f>
        <v>0.71568627450980382</v>
      </c>
      <c r="K207" s="17">
        <f>IFERROR(K200/J200-1,"-")</f>
        <v>-5.7142857142857162E-2</v>
      </c>
      <c r="L207" s="17">
        <f t="shared" si="44"/>
        <v>-0.17910447761194026</v>
      </c>
      <c r="M207" s="17">
        <f t="shared" si="44"/>
        <v>0.51428571428571423</v>
      </c>
      <c r="N207" s="17">
        <f t="shared" si="44"/>
        <v>0.34545454545454546</v>
      </c>
      <c r="O207" s="17">
        <f t="shared" si="44"/>
        <v>0.21212121212121215</v>
      </c>
    </row>
    <row r="208" spans="2:24" s="61" customFormat="1" ht="16.25" customHeight="1" thickBot="1" x14ac:dyDescent="0.5">
      <c r="B208" s="329"/>
      <c r="C208" s="73" t="s">
        <v>227</v>
      </c>
      <c r="D208" s="79" t="str">
        <f>IFERROR(D201/C201-1,"-")</f>
        <v>-</v>
      </c>
      <c r="E208" s="79" t="str">
        <f>IFERROR(E201/D201-1,"-")</f>
        <v>-</v>
      </c>
      <c r="F208" s="79" t="s">
        <v>132</v>
      </c>
      <c r="G208" s="79">
        <f>IFERROR(G201/F201-1,"-")</f>
        <v>-0.52010050251256279</v>
      </c>
      <c r="H208" s="79" t="str">
        <f>IFERROR(H201/#REF!-1,"-")</f>
        <v>-</v>
      </c>
      <c r="I208" s="79" t="str">
        <f>IFERROR(I201/H201-1,"-")</f>
        <v>-</v>
      </c>
      <c r="J208" s="79">
        <f>IFERROR(J201/G201-1,"-")</f>
        <v>-0.19895287958115182</v>
      </c>
      <c r="K208" s="79">
        <f>IFERROR(K201/J201-1,"-")</f>
        <v>0.60130718954248374</v>
      </c>
      <c r="L208" s="79">
        <f t="shared" si="44"/>
        <v>-0.56497175141242939</v>
      </c>
      <c r="M208" s="79">
        <f t="shared" si="44"/>
        <v>1.9542483660130721</v>
      </c>
      <c r="N208" s="79">
        <f t="shared" si="44"/>
        <v>1.3755102040816327</v>
      </c>
      <c r="O208" s="79">
        <f t="shared" si="44"/>
        <v>0.13419913419913421</v>
      </c>
    </row>
    <row r="209" spans="2:23" s="61" customFormat="1" ht="16.75" customHeight="1" thickBot="1" x14ac:dyDescent="0.5">
      <c r="B209" s="331" t="s">
        <v>234</v>
      </c>
      <c r="C209" s="332"/>
      <c r="D209" s="83">
        <v>2023.01</v>
      </c>
      <c r="E209" s="83">
        <v>2023.02</v>
      </c>
      <c r="F209" s="83">
        <v>2023.03</v>
      </c>
      <c r="G209" s="83">
        <v>2023.04</v>
      </c>
      <c r="H209" s="83">
        <v>2023.05</v>
      </c>
      <c r="I209" s="83">
        <v>2023.06</v>
      </c>
      <c r="J209" s="83">
        <v>2023.07</v>
      </c>
      <c r="K209" s="83">
        <v>2023.08</v>
      </c>
      <c r="L209" s="83">
        <v>2023.09</v>
      </c>
      <c r="M209" s="83">
        <v>2023.1</v>
      </c>
      <c r="N209" s="83">
        <v>2023.11</v>
      </c>
      <c r="O209" s="84">
        <v>2023.12</v>
      </c>
    </row>
    <row r="210" spans="2:23" s="61" customFormat="1" x14ac:dyDescent="0.45">
      <c r="B210" s="328" t="s">
        <v>16</v>
      </c>
      <c r="C210" s="64" t="s">
        <v>235</v>
      </c>
      <c r="D210" s="65">
        <v>78243</v>
      </c>
      <c r="E210" s="65">
        <v>76794</v>
      </c>
      <c r="F210" s="65">
        <v>70472</v>
      </c>
      <c r="G210" s="65">
        <v>70518</v>
      </c>
      <c r="H210" s="65"/>
      <c r="I210" s="65">
        <v>75331</v>
      </c>
      <c r="J210" s="65">
        <v>72954</v>
      </c>
      <c r="K210" s="85">
        <v>72754</v>
      </c>
      <c r="L210" s="65">
        <v>71765</v>
      </c>
      <c r="M210" s="65">
        <v>68054</v>
      </c>
      <c r="N210" s="65">
        <v>65291</v>
      </c>
      <c r="O210" s="86">
        <v>61564</v>
      </c>
    </row>
    <row r="211" spans="2:23" s="61" customFormat="1" ht="16.75" customHeight="1" thickBot="1" x14ac:dyDescent="0.5">
      <c r="B211" s="329"/>
      <c r="C211" s="87" t="s">
        <v>231</v>
      </c>
      <c r="D211" s="74">
        <v>14</v>
      </c>
      <c r="E211" s="74">
        <f>E210-76778</f>
        <v>16</v>
      </c>
      <c r="F211" s="74">
        <v>51</v>
      </c>
      <c r="G211" s="74">
        <f>G210-70496</f>
        <v>22</v>
      </c>
      <c r="H211" s="74"/>
      <c r="I211" s="74">
        <f>I210-75273</f>
        <v>58</v>
      </c>
      <c r="J211" s="74">
        <f>J210-72949</f>
        <v>5</v>
      </c>
      <c r="K211" s="88">
        <v>1</v>
      </c>
      <c r="L211" s="74">
        <v>33</v>
      </c>
      <c r="M211" s="74">
        <v>2</v>
      </c>
      <c r="N211" s="74">
        <v>12</v>
      </c>
      <c r="O211" s="89">
        <v>11</v>
      </c>
    </row>
    <row r="212" spans="2:23" s="61" customFormat="1" x14ac:dyDescent="0.45">
      <c r="B212" s="90" t="s">
        <v>33</v>
      </c>
      <c r="C212" s="81" t="s">
        <v>233</v>
      </c>
      <c r="D212" s="91">
        <f>IFERROR(D211/D210,"-")</f>
        <v>1.7892974451388623E-4</v>
      </c>
      <c r="E212" s="91">
        <f>IFERROR(E211/E210,"-")</f>
        <v>2.083496106466651E-4</v>
      </c>
      <c r="F212" s="91">
        <v>7.2369167896469517E-4</v>
      </c>
      <c r="G212" s="91">
        <f t="shared" ref="G212:O212" si="45">IFERROR(G211/G210,"-")</f>
        <v>3.1197708386511246E-4</v>
      </c>
      <c r="H212" s="91" t="str">
        <f t="shared" si="45"/>
        <v>-</v>
      </c>
      <c r="I212" s="91">
        <f t="shared" si="45"/>
        <v>7.6993535197992862E-4</v>
      </c>
      <c r="J212" s="91">
        <f t="shared" si="45"/>
        <v>6.8536337966389774E-5</v>
      </c>
      <c r="K212" s="91">
        <f t="shared" si="45"/>
        <v>1.3744948731341232E-5</v>
      </c>
      <c r="L212" s="91">
        <f t="shared" si="45"/>
        <v>4.598341810074549E-4</v>
      </c>
      <c r="M212" s="91">
        <f t="shared" si="45"/>
        <v>2.9388426837511388E-5</v>
      </c>
      <c r="N212" s="91">
        <f t="shared" si="45"/>
        <v>1.83792559464551E-4</v>
      </c>
      <c r="O212" s="92">
        <f t="shared" si="45"/>
        <v>1.7867584952244818E-4</v>
      </c>
    </row>
    <row r="213" spans="2:23" s="61" customFormat="1" ht="16.75" customHeight="1" thickBot="1" x14ac:dyDescent="0.5">
      <c r="B213" s="93" t="s">
        <v>232</v>
      </c>
      <c r="C213" s="87" t="s">
        <v>231</v>
      </c>
      <c r="D213" s="79">
        <v>-0.41699999999999998</v>
      </c>
      <c r="E213" s="79">
        <f>IFERROR(E211/D211-1,"-")</f>
        <v>0.14285714285714279</v>
      </c>
      <c r="F213" s="79">
        <v>2.1875</v>
      </c>
      <c r="G213" s="79">
        <f>IFERROR(G211/F211-1,"-")</f>
        <v>-0.56862745098039214</v>
      </c>
      <c r="H213" s="79" t="str">
        <f>IFERROR(H211/#REF!-1,"-")</f>
        <v>-</v>
      </c>
      <c r="I213" s="79" t="str">
        <f t="shared" ref="I213:O213" si="46">IFERROR(I211/H211-1,"-")</f>
        <v>-</v>
      </c>
      <c r="J213" s="79">
        <f t="shared" si="46"/>
        <v>-0.9137931034482758</v>
      </c>
      <c r="K213" s="79">
        <f t="shared" si="46"/>
        <v>-0.8</v>
      </c>
      <c r="L213" s="79">
        <f t="shared" si="46"/>
        <v>32</v>
      </c>
      <c r="M213" s="79">
        <f t="shared" si="46"/>
        <v>-0.93939393939393945</v>
      </c>
      <c r="N213" s="79">
        <f t="shared" si="46"/>
        <v>5</v>
      </c>
      <c r="O213" s="94">
        <f t="shared" si="46"/>
        <v>-8.333333333333337E-2</v>
      </c>
    </row>
    <row r="214" spans="2:23" s="61" customFormat="1" ht="16.75" customHeight="1" thickBot="1" x14ac:dyDescent="0.5">
      <c r="B214" s="333" t="s">
        <v>236</v>
      </c>
      <c r="C214" s="279"/>
      <c r="D214" s="95">
        <v>2023.01</v>
      </c>
      <c r="E214" s="95">
        <v>2023.02</v>
      </c>
      <c r="F214" s="83">
        <v>2023.03</v>
      </c>
      <c r="G214" s="83">
        <v>2023.04</v>
      </c>
      <c r="H214" s="95">
        <v>2023.05</v>
      </c>
      <c r="I214" s="95">
        <v>2023.06</v>
      </c>
      <c r="J214" s="95">
        <v>2023.07</v>
      </c>
      <c r="K214" s="95">
        <v>2023.08</v>
      </c>
      <c r="L214" s="95">
        <v>2023.09</v>
      </c>
      <c r="M214" s="95">
        <v>2023.1</v>
      </c>
      <c r="N214" s="95">
        <v>2023.11</v>
      </c>
      <c r="O214" s="96">
        <v>2023.12</v>
      </c>
      <c r="Q214" s="320" t="s">
        <v>219</v>
      </c>
      <c r="R214" s="321"/>
      <c r="S214" s="321"/>
      <c r="T214" s="321"/>
      <c r="U214" s="321"/>
    </row>
    <row r="215" spans="2:23" s="61" customFormat="1" ht="18" customHeight="1" thickBot="1" x14ac:dyDescent="0.5">
      <c r="B215" s="310" t="s">
        <v>16</v>
      </c>
      <c r="C215" s="97" t="s">
        <v>237</v>
      </c>
      <c r="D215" s="98">
        <v>1528</v>
      </c>
      <c r="E215" s="65">
        <v>1962</v>
      </c>
      <c r="F215" s="65">
        <v>3903</v>
      </c>
      <c r="G215" s="65">
        <v>2019</v>
      </c>
      <c r="H215" s="65"/>
      <c r="I215" s="65">
        <v>5236</v>
      </c>
      <c r="J215" s="65">
        <v>1583</v>
      </c>
      <c r="K215" s="85">
        <v>2415</v>
      </c>
      <c r="L215" s="65">
        <v>2431</v>
      </c>
      <c r="M215" s="65">
        <v>5478</v>
      </c>
      <c r="N215" s="65">
        <v>4027</v>
      </c>
      <c r="O215" s="65">
        <v>1863</v>
      </c>
      <c r="Q215" s="61" t="s">
        <v>238</v>
      </c>
      <c r="R215" s="214" t="s">
        <v>239</v>
      </c>
      <c r="S215" s="215" t="str">
        <f>N197&amp;"复购率"</f>
        <v>2023.11复购率</v>
      </c>
      <c r="T215" s="215" t="str">
        <f>O197&amp;"复购率"</f>
        <v>2023.12复购率</v>
      </c>
      <c r="U215" s="216" t="s">
        <v>221</v>
      </c>
    </row>
    <row r="216" spans="2:23" s="61" customFormat="1" x14ac:dyDescent="0.45">
      <c r="B216" s="311"/>
      <c r="C216" s="99" t="s">
        <v>240</v>
      </c>
      <c r="D216" s="100">
        <v>2000</v>
      </c>
      <c r="E216" s="16">
        <v>2000</v>
      </c>
      <c r="F216" s="16">
        <v>2000</v>
      </c>
      <c r="G216" s="16">
        <v>3138</v>
      </c>
      <c r="H216" s="16"/>
      <c r="I216" s="16">
        <v>4138</v>
      </c>
      <c r="J216" s="16">
        <v>2289</v>
      </c>
      <c r="K216" s="101">
        <f>5618-K215</f>
        <v>3203</v>
      </c>
      <c r="L216" s="16">
        <v>2693</v>
      </c>
      <c r="M216" s="16">
        <v>4214</v>
      </c>
      <c r="N216" s="16">
        <v>3733</v>
      </c>
      <c r="O216" s="16">
        <v>2091</v>
      </c>
      <c r="Q216" s="222" t="s">
        <v>241</v>
      </c>
      <c r="R216" s="222" t="s">
        <v>242</v>
      </c>
      <c r="S216" s="212">
        <f t="shared" ref="S216:T218" si="47">N219</f>
        <v>5.4595986984815617E-2</v>
      </c>
      <c r="T216" s="212">
        <f t="shared" si="47"/>
        <v>2.670470019924602E-2</v>
      </c>
      <c r="U216" s="213">
        <f>O222</f>
        <v>-0.53737273404519492</v>
      </c>
    </row>
    <row r="217" spans="2:23" s="61" customFormat="1" x14ac:dyDescent="0.45">
      <c r="B217" s="311"/>
      <c r="C217" s="72" t="s">
        <v>243</v>
      </c>
      <c r="D217" s="100">
        <v>200000</v>
      </c>
      <c r="E217" s="16">
        <v>190000</v>
      </c>
      <c r="F217" s="16">
        <v>190000</v>
      </c>
      <c r="G217" s="16">
        <v>190000</v>
      </c>
      <c r="H217" s="16"/>
      <c r="I217" s="16">
        <v>230000</v>
      </c>
      <c r="J217" s="16">
        <v>220000</v>
      </c>
      <c r="K217" s="101">
        <v>220000</v>
      </c>
      <c r="L217" s="16">
        <v>180000</v>
      </c>
      <c r="M217" s="16">
        <v>220000</v>
      </c>
      <c r="N217" s="16">
        <v>220000</v>
      </c>
      <c r="O217" s="16">
        <v>180000</v>
      </c>
      <c r="Q217" s="222"/>
      <c r="R217" s="222" t="s">
        <v>226</v>
      </c>
      <c r="S217" s="212">
        <f t="shared" si="47"/>
        <v>5.0610086767895877E-2</v>
      </c>
      <c r="T217" s="212">
        <f t="shared" si="47"/>
        <v>2.9972908275160186E-2</v>
      </c>
      <c r="U217" s="213">
        <f>O223</f>
        <v>-0.43986070184837933</v>
      </c>
    </row>
    <row r="218" spans="2:23" s="61" customFormat="1" ht="16.25" customHeight="1" thickBot="1" x14ac:dyDescent="0.5">
      <c r="B218" s="312"/>
      <c r="C218" s="102" t="s">
        <v>244</v>
      </c>
      <c r="D218" s="103">
        <v>9000</v>
      </c>
      <c r="E218" s="74">
        <v>12000</v>
      </c>
      <c r="F218" s="74">
        <v>17000</v>
      </c>
      <c r="G218" s="74">
        <v>14000</v>
      </c>
      <c r="H218" s="74"/>
      <c r="I218" s="74">
        <v>20000</v>
      </c>
      <c r="J218" s="74">
        <v>10000</v>
      </c>
      <c r="K218" s="88">
        <v>13000</v>
      </c>
      <c r="L218" s="74">
        <v>12000</v>
      </c>
      <c r="M218" s="74">
        <v>13000</v>
      </c>
      <c r="N218" s="74">
        <v>12000</v>
      </c>
      <c r="O218" s="74">
        <v>12000</v>
      </c>
      <c r="Q218" s="222" t="s">
        <v>245</v>
      </c>
      <c r="R218" s="222" t="s">
        <v>236</v>
      </c>
      <c r="S218" s="212">
        <f t="shared" si="47"/>
        <v>5.4545454545454543E-2</v>
      </c>
      <c r="T218" s="212">
        <f t="shared" si="47"/>
        <v>6.6666666666666666E-2</v>
      </c>
      <c r="U218" s="213">
        <f>O224</f>
        <v>-0.18181818181818177</v>
      </c>
    </row>
    <row r="219" spans="2:23" s="61" customFormat="1" ht="18" customHeight="1" thickBot="1" x14ac:dyDescent="0.5">
      <c r="B219" s="313" t="s">
        <v>246</v>
      </c>
      <c r="C219" s="104" t="s">
        <v>247</v>
      </c>
      <c r="D219" s="82">
        <f>IFERROR(D215/D$198,"-")</f>
        <v>1.7046912478384559E-2</v>
      </c>
      <c r="E219" s="82">
        <f>IFERROR(E215/E$198,"-")</f>
        <v>2.235922916500473E-2</v>
      </c>
      <c r="F219" s="82">
        <v>4.8492303104849227E-2</v>
      </c>
      <c r="G219" s="82">
        <f t="shared" ref="G219:O219" si="48">IFERROR(G215/G$198,"-")</f>
        <v>2.5003095975232197E-2</v>
      </c>
      <c r="H219" s="82" t="str">
        <f t="shared" si="48"/>
        <v>-</v>
      </c>
      <c r="I219" s="82">
        <f t="shared" si="48"/>
        <v>6.1315783310302831E-2</v>
      </c>
      <c r="J219" s="82">
        <f t="shared" si="48"/>
        <v>1.9226564967085288E-2</v>
      </c>
      <c r="K219" s="82">
        <f t="shared" si="48"/>
        <v>2.9424307036247335E-2</v>
      </c>
      <c r="L219" s="82">
        <f t="shared" si="48"/>
        <v>3.0017904550225349E-2</v>
      </c>
      <c r="M219" s="82">
        <f t="shared" si="48"/>
        <v>7.1371803056558047E-2</v>
      </c>
      <c r="N219" s="82">
        <f t="shared" si="48"/>
        <v>5.4595986984815617E-2</v>
      </c>
      <c r="O219" s="82">
        <f t="shared" si="48"/>
        <v>2.670470019924602E-2</v>
      </c>
    </row>
    <row r="220" spans="2:23" s="61" customFormat="1" x14ac:dyDescent="0.45">
      <c r="B220" s="311"/>
      <c r="C220" s="105" t="s">
        <v>248</v>
      </c>
      <c r="D220" s="17">
        <f>IFERROR(D216/D$198,"-")</f>
        <v>2.2312712668042616E-2</v>
      </c>
      <c r="E220" s="17">
        <f>IFERROR(E216/E$198,"-")</f>
        <v>2.279228253313428E-2</v>
      </c>
      <c r="F220" s="17">
        <v>2.4848733335818211E-2</v>
      </c>
      <c r="G220" s="17">
        <f t="shared" ref="G220:O220" si="49">IFERROR(G216/G$198,"-")</f>
        <v>3.8860681114551085E-2</v>
      </c>
      <c r="H220" s="17" t="str">
        <f t="shared" si="49"/>
        <v>-</v>
      </c>
      <c r="I220" s="17">
        <f t="shared" si="49"/>
        <v>4.8457737077546435E-2</v>
      </c>
      <c r="J220" s="17">
        <f t="shared" si="49"/>
        <v>2.780139432069376E-2</v>
      </c>
      <c r="K220" s="17">
        <f t="shared" si="49"/>
        <v>3.9025281754492845E-2</v>
      </c>
      <c r="L220" s="17">
        <f t="shared" si="49"/>
        <v>3.3253071556461074E-2</v>
      </c>
      <c r="M220" s="17">
        <f t="shared" si="49"/>
        <v>5.4903391398381823E-2</v>
      </c>
      <c r="N220" s="17">
        <f t="shared" si="49"/>
        <v>5.0610086767895877E-2</v>
      </c>
      <c r="O220" s="17">
        <f t="shared" si="49"/>
        <v>2.9972908275160186E-2</v>
      </c>
    </row>
    <row r="221" spans="2:23" s="61" customFormat="1" ht="16.25" customHeight="1" thickBot="1" x14ac:dyDescent="0.5">
      <c r="B221" s="312"/>
      <c r="C221" s="102" t="s">
        <v>249</v>
      </c>
      <c r="D221" s="79">
        <f>IFERROR(D218/D217,"-")</f>
        <v>4.4999999999999998E-2</v>
      </c>
      <c r="E221" s="79">
        <f>IFERROR(E218/E217,"-")</f>
        <v>6.3157894736842107E-2</v>
      </c>
      <c r="F221" s="79">
        <v>8.9473684210526316E-2</v>
      </c>
      <c r="G221" s="79">
        <f t="shared" ref="G221:O221" si="50">IFERROR(G218/G217,"-")</f>
        <v>7.3684210526315783E-2</v>
      </c>
      <c r="H221" s="79" t="str">
        <f t="shared" si="50"/>
        <v>-</v>
      </c>
      <c r="I221" s="79">
        <f t="shared" si="50"/>
        <v>8.6956521739130432E-2</v>
      </c>
      <c r="J221" s="79">
        <f t="shared" si="50"/>
        <v>4.5454545454545456E-2</v>
      </c>
      <c r="K221" s="79">
        <f t="shared" si="50"/>
        <v>5.909090909090909E-2</v>
      </c>
      <c r="L221" s="79">
        <f t="shared" si="50"/>
        <v>6.6666666666666666E-2</v>
      </c>
      <c r="M221" s="79">
        <f t="shared" si="50"/>
        <v>5.909090909090909E-2</v>
      </c>
      <c r="N221" s="79">
        <f t="shared" si="50"/>
        <v>5.4545454545454543E-2</v>
      </c>
      <c r="O221" s="79">
        <f t="shared" si="50"/>
        <v>6.6666666666666666E-2</v>
      </c>
    </row>
    <row r="222" spans="2:23" s="61" customFormat="1" ht="18" customHeight="1" thickBot="1" x14ac:dyDescent="0.5">
      <c r="B222" s="313" t="s">
        <v>232</v>
      </c>
      <c r="C222" s="104" t="s">
        <v>237</v>
      </c>
      <c r="D222" s="82">
        <v>-0.63</v>
      </c>
      <c r="E222" s="82">
        <f>IFERROR(E215/D215-1,"-")</f>
        <v>0.28403141361256545</v>
      </c>
      <c r="F222" s="82">
        <v>0.98929663608562701</v>
      </c>
      <c r="G222" s="82">
        <f>IFERROR(G215/F215-1,"-")</f>
        <v>-0.48270561106840892</v>
      </c>
      <c r="H222" s="82" t="str">
        <f>IFERROR(H215/#REF!-1,"-")</f>
        <v>-</v>
      </c>
      <c r="I222" s="82" t="str">
        <f>IFERROR(I215/H215-1,"-")</f>
        <v>-</v>
      </c>
      <c r="J222" s="82">
        <f>IFERROR(J215/G215-1,"-")</f>
        <v>-0.21594848935116395</v>
      </c>
      <c r="K222" s="82">
        <f t="shared" ref="K222:O225" si="51">IFERROR(K215/J215-1,"-")</f>
        <v>0.52558433354390388</v>
      </c>
      <c r="L222" s="82">
        <f t="shared" si="51"/>
        <v>6.6252587991717515E-3</v>
      </c>
      <c r="M222" s="82">
        <f t="shared" si="51"/>
        <v>1.253393665158371</v>
      </c>
      <c r="N222" s="82">
        <f t="shared" si="51"/>
        <v>-0.264877692588536</v>
      </c>
      <c r="O222" s="82">
        <f t="shared" si="51"/>
        <v>-0.53737273404519492</v>
      </c>
    </row>
    <row r="223" spans="2:23" x14ac:dyDescent="0.45">
      <c r="B223" s="311"/>
      <c r="C223" s="105" t="s">
        <v>240</v>
      </c>
      <c r="D223" s="17">
        <v>-0.33300000000000002</v>
      </c>
      <c r="E223" s="17">
        <f>IFERROR(E216/D216-1,"-")</f>
        <v>0</v>
      </c>
      <c r="F223" s="17">
        <v>0</v>
      </c>
      <c r="G223" s="17">
        <f>IFERROR(G216/F216-1,"-")</f>
        <v>0.56899999999999995</v>
      </c>
      <c r="H223" s="17" t="str">
        <f>IFERROR(H216/#REF!-1,"-")</f>
        <v>-</v>
      </c>
      <c r="I223" s="17" t="str">
        <f>IFERROR(I216/H216-1,"-")</f>
        <v>-</v>
      </c>
      <c r="J223" s="17">
        <f>IFERROR(J216/G216-1,"-")</f>
        <v>-0.27055449330783943</v>
      </c>
      <c r="K223" s="17">
        <f t="shared" si="51"/>
        <v>0.39930100480559205</v>
      </c>
      <c r="L223" s="17">
        <f t="shared" si="51"/>
        <v>-0.15922572588198569</v>
      </c>
      <c r="M223" s="17">
        <f t="shared" si="51"/>
        <v>0.56479762346825102</v>
      </c>
      <c r="N223" s="17">
        <f t="shared" si="51"/>
        <v>-0.1141433317513052</v>
      </c>
      <c r="O223" s="17">
        <f t="shared" si="51"/>
        <v>-0.43986070184837933</v>
      </c>
      <c r="R223" s="61"/>
      <c r="S223" s="61"/>
      <c r="T223" s="61"/>
      <c r="U223" s="61"/>
      <c r="V223" s="61"/>
      <c r="W223" s="61"/>
    </row>
    <row r="224" spans="2:23" x14ac:dyDescent="0.45">
      <c r="B224" s="311"/>
      <c r="C224" s="72" t="s">
        <v>243</v>
      </c>
      <c r="D224" s="17">
        <v>-4.7600000000000003E-2</v>
      </c>
      <c r="E224" s="17">
        <f>IFERROR(E217/D217-1,"-")</f>
        <v>-5.0000000000000044E-2</v>
      </c>
      <c r="F224" s="17">
        <v>0</v>
      </c>
      <c r="G224" s="17">
        <f>IFERROR(G217/F217-1,"-")</f>
        <v>0</v>
      </c>
      <c r="H224" s="17" t="str">
        <f>IFERROR(H217/#REF!-1,"-")</f>
        <v>-</v>
      </c>
      <c r="I224" s="17" t="str">
        <f>IFERROR(I217/H217-1,"-")</f>
        <v>-</v>
      </c>
      <c r="J224" s="17">
        <f>IFERROR(J217/G217-1,"-")</f>
        <v>0.15789473684210531</v>
      </c>
      <c r="K224" s="17">
        <f t="shared" si="51"/>
        <v>0</v>
      </c>
      <c r="L224" s="17">
        <f t="shared" si="51"/>
        <v>-0.18181818181818177</v>
      </c>
      <c r="M224" s="17">
        <f t="shared" si="51"/>
        <v>0.22222222222222232</v>
      </c>
      <c r="N224" s="17">
        <f t="shared" si="51"/>
        <v>0</v>
      </c>
      <c r="O224" s="17">
        <f t="shared" si="51"/>
        <v>-0.18181818181818177</v>
      </c>
      <c r="R224" s="61"/>
      <c r="S224" s="61"/>
      <c r="T224" s="61"/>
      <c r="U224" s="61"/>
      <c r="V224" s="61"/>
      <c r="W224" s="61"/>
    </row>
    <row r="225" spans="2:23" ht="16.25" customHeight="1" thickBot="1" x14ac:dyDescent="0.5">
      <c r="B225" s="312"/>
      <c r="C225" s="102" t="s">
        <v>244</v>
      </c>
      <c r="D225" s="79">
        <v>-0.47060000000000002</v>
      </c>
      <c r="E225" s="79">
        <f>IFERROR(E218/D218-1,"-")</f>
        <v>0.33333333333333326</v>
      </c>
      <c r="F225" s="79">
        <v>0.41666666666666669</v>
      </c>
      <c r="G225" s="79">
        <f>IFERROR(G218/F218-1,"-")</f>
        <v>-0.17647058823529416</v>
      </c>
      <c r="H225" s="79" t="str">
        <f>IFERROR(H218/#REF!-1,"-")</f>
        <v>-</v>
      </c>
      <c r="I225" s="79" t="str">
        <f>IFERROR(I218/H218-1,"-")</f>
        <v>-</v>
      </c>
      <c r="J225" s="79">
        <f>IFERROR(J218/G218-1,"-")</f>
        <v>-0.2857142857142857</v>
      </c>
      <c r="K225" s="79">
        <f t="shared" si="51"/>
        <v>0.30000000000000004</v>
      </c>
      <c r="L225" s="79">
        <f t="shared" si="51"/>
        <v>-7.6923076923076872E-2</v>
      </c>
      <c r="M225" s="79">
        <f t="shared" si="51"/>
        <v>8.3333333333333259E-2</v>
      </c>
      <c r="N225" s="79">
        <f t="shared" si="51"/>
        <v>-7.6923076923076872E-2</v>
      </c>
      <c r="O225" s="79">
        <f t="shared" si="51"/>
        <v>0</v>
      </c>
      <c r="R225" s="61"/>
      <c r="S225" s="61"/>
      <c r="T225" s="61"/>
      <c r="U225" s="61"/>
      <c r="V225" s="61"/>
      <c r="W225" s="61"/>
    </row>
    <row r="226" spans="2:23" x14ac:dyDescent="0.45">
      <c r="R226" s="61"/>
      <c r="S226" s="61"/>
      <c r="T226" s="61"/>
      <c r="U226" s="61"/>
      <c r="V226" s="61"/>
      <c r="W226" s="61"/>
    </row>
    <row r="227" spans="2:23" s="49" customFormat="1" ht="16.25" customHeight="1" x14ac:dyDescent="0.25">
      <c r="B227" s="289" t="s">
        <v>217</v>
      </c>
      <c r="C227" s="290"/>
      <c r="D227" s="290"/>
      <c r="E227" s="290"/>
      <c r="F227" s="290"/>
      <c r="M227" s="50"/>
      <c r="N227" s="50"/>
      <c r="O227" s="50"/>
    </row>
    <row r="228" spans="2:23" ht="16.25" customHeight="1" thickBot="1" x14ac:dyDescent="0.3">
      <c r="B228" s="1" t="s">
        <v>196</v>
      </c>
      <c r="I228" s="106"/>
    </row>
    <row r="229" spans="2:23" ht="16.25" customHeight="1" x14ac:dyDescent="0.25">
      <c r="C229" s="272" t="s">
        <v>10812</v>
      </c>
      <c r="D229" s="273"/>
      <c r="E229" s="273"/>
      <c r="F229" s="274"/>
      <c r="H229" s="107"/>
      <c r="I229" s="314" t="s">
        <v>250</v>
      </c>
      <c r="J229" s="315"/>
      <c r="K229" s="315"/>
      <c r="L229" s="315"/>
      <c r="M229" s="315"/>
      <c r="N229" s="315"/>
      <c r="O229" s="315"/>
      <c r="P229" s="315"/>
      <c r="Q229" s="316"/>
    </row>
    <row r="230" spans="2:23" ht="32.5" customHeight="1" x14ac:dyDescent="0.25">
      <c r="C230" s="10" t="s">
        <v>138</v>
      </c>
      <c r="D230" s="108" t="s">
        <v>10813</v>
      </c>
      <c r="E230" s="10" t="s">
        <v>10814</v>
      </c>
      <c r="F230" s="108" t="s">
        <v>251</v>
      </c>
      <c r="H230" s="106"/>
      <c r="I230" s="306" t="s">
        <v>252</v>
      </c>
      <c r="J230" s="269"/>
      <c r="K230" s="109" t="s">
        <v>16</v>
      </c>
      <c r="L230" s="109" t="s">
        <v>253</v>
      </c>
      <c r="M230" s="109" t="s">
        <v>254</v>
      </c>
      <c r="N230" s="109" t="s">
        <v>255</v>
      </c>
      <c r="O230" s="110" t="s">
        <v>256</v>
      </c>
      <c r="P230" s="109" t="s">
        <v>257</v>
      </c>
      <c r="Q230" s="109" t="s">
        <v>258</v>
      </c>
    </row>
    <row r="231" spans="2:23" ht="18" customHeight="1" thickBot="1" x14ac:dyDescent="0.3">
      <c r="C231" s="16" t="s">
        <v>10807</v>
      </c>
      <c r="D231" s="111">
        <v>0.22220000000000001</v>
      </c>
      <c r="E231" s="111">
        <v>0.20780000000000001</v>
      </c>
      <c r="F231" s="17">
        <f t="shared" ref="F231:F240" si="52">IFERROR(E231-D231,"-")</f>
        <v>-1.4399999999999996E-2</v>
      </c>
      <c r="G231" s="112">
        <v>26000</v>
      </c>
      <c r="H231" s="112">
        <v>2700000</v>
      </c>
      <c r="I231" s="307" t="s">
        <v>260</v>
      </c>
      <c r="J231" s="113" t="s">
        <v>261</v>
      </c>
      <c r="K231" s="114">
        <v>430000</v>
      </c>
      <c r="L231" s="114">
        <v>10000</v>
      </c>
      <c r="M231" s="114">
        <v>6000</v>
      </c>
      <c r="N231" s="116" t="str">
        <f t="shared" ref="N231:N236" si="53">IF(AND(P231="-",Q231="-"),"-",TEXT(P231,"#%")&amp;" vs. "&amp; TEXT(Q231,"#%"))</f>
        <v>2% vs. 1%</v>
      </c>
      <c r="O231" s="116" t="str">
        <f t="shared" ref="O231:O236" si="54">IF(AND(P231="-",Q231="-"),"-",IF(IF(P231="-",0,P231)-IF(Q231="-",0,Q231)&gt;0,"高于竞品",IF(IF(P231="-",0,P231)-IF(Q231="-",0,Q231)=0,"相似","低于竞品")))</f>
        <v>高于竞品</v>
      </c>
      <c r="P231" s="115">
        <f t="shared" ref="P231:P236" si="55">IFERROR(L231/K231,"-")</f>
        <v>2.3255813953488372E-2</v>
      </c>
      <c r="Q231" s="115">
        <f t="shared" ref="Q231:Q236" si="56">IFERROR(M231/K231,"-")</f>
        <v>1.3953488372093023E-2</v>
      </c>
    </row>
    <row r="232" spans="2:23" x14ac:dyDescent="0.25">
      <c r="C232" s="16" t="s">
        <v>262</v>
      </c>
      <c r="D232" s="111">
        <v>0.31890000000000002</v>
      </c>
      <c r="E232" s="111">
        <v>0.1908</v>
      </c>
      <c r="F232" s="17">
        <f t="shared" si="52"/>
        <v>-0.12810000000000002</v>
      </c>
      <c r="G232" s="112">
        <v>6000</v>
      </c>
      <c r="H232" s="112">
        <v>1000000</v>
      </c>
      <c r="I232" s="308"/>
      <c r="J232" s="118" t="s">
        <v>263</v>
      </c>
      <c r="K232" s="119">
        <v>190000</v>
      </c>
      <c r="L232" s="118">
        <v>2000</v>
      </c>
      <c r="M232" s="118" t="s">
        <v>228</v>
      </c>
      <c r="N232" s="116" t="str">
        <f t="shared" si="53"/>
        <v>1% vs. -</v>
      </c>
      <c r="O232" s="116" t="str">
        <f t="shared" si="54"/>
        <v>高于竞品</v>
      </c>
      <c r="P232" s="120">
        <f t="shared" si="55"/>
        <v>1.0526315789473684E-2</v>
      </c>
      <c r="Q232" s="120" t="str">
        <f t="shared" si="56"/>
        <v>-</v>
      </c>
    </row>
    <row r="233" spans="2:23" x14ac:dyDescent="0.25">
      <c r="C233" s="16" t="s">
        <v>264</v>
      </c>
      <c r="D233" s="121">
        <v>8.6499999999999994E-2</v>
      </c>
      <c r="E233" s="111">
        <v>0.12570000000000001</v>
      </c>
      <c r="F233" s="17">
        <f t="shared" si="52"/>
        <v>3.9200000000000013E-2</v>
      </c>
      <c r="G233" s="112">
        <v>9000</v>
      </c>
      <c r="H233" s="112">
        <v>600000</v>
      </c>
      <c r="I233" s="308"/>
      <c r="J233" s="118" t="s">
        <v>265</v>
      </c>
      <c r="K233" s="119">
        <v>130000</v>
      </c>
      <c r="L233" s="118">
        <v>3000</v>
      </c>
      <c r="M233" s="118" t="s">
        <v>228</v>
      </c>
      <c r="N233" s="116" t="str">
        <f t="shared" si="53"/>
        <v>2% vs. -</v>
      </c>
      <c r="O233" s="116" t="str">
        <f t="shared" si="54"/>
        <v>高于竞品</v>
      </c>
      <c r="P233" s="120">
        <f t="shared" si="55"/>
        <v>2.3076923076923078E-2</v>
      </c>
      <c r="Q233" s="120" t="str">
        <f t="shared" si="56"/>
        <v>-</v>
      </c>
    </row>
    <row r="234" spans="2:23" x14ac:dyDescent="0.25">
      <c r="C234" s="16" t="s">
        <v>266</v>
      </c>
      <c r="D234" s="111">
        <v>0.1027</v>
      </c>
      <c r="E234" s="121">
        <v>9.6000000000000002E-2</v>
      </c>
      <c r="F234" s="24">
        <f t="shared" si="52"/>
        <v>-6.6999999999999976E-3</v>
      </c>
      <c r="G234" s="112">
        <v>2000</v>
      </c>
      <c r="H234" s="112">
        <v>160000</v>
      </c>
      <c r="I234" s="308"/>
      <c r="J234" s="118" t="s">
        <v>267</v>
      </c>
      <c r="K234" s="119">
        <v>10000</v>
      </c>
      <c r="L234" s="119" t="s">
        <v>10811</v>
      </c>
      <c r="M234" s="118" t="s">
        <v>228</v>
      </c>
      <c r="N234" s="116" t="str">
        <f t="shared" si="53"/>
        <v>-</v>
      </c>
      <c r="O234" s="116" t="str">
        <f t="shared" si="54"/>
        <v>-</v>
      </c>
      <c r="P234" s="120" t="str">
        <f t="shared" si="55"/>
        <v>-</v>
      </c>
      <c r="Q234" s="120" t="str">
        <f t="shared" si="56"/>
        <v>-</v>
      </c>
    </row>
    <row r="235" spans="2:23" x14ac:dyDescent="0.25">
      <c r="C235" s="16" t="s">
        <v>272</v>
      </c>
      <c r="D235" s="111">
        <v>2.7199999999999998E-2</v>
      </c>
      <c r="E235" s="111">
        <v>7.3499999999999996E-2</v>
      </c>
      <c r="F235" s="24">
        <f t="shared" si="52"/>
        <v>4.6299999999999994E-2</v>
      </c>
      <c r="G235" s="112">
        <v>9000</v>
      </c>
      <c r="H235" s="112">
        <v>900000</v>
      </c>
      <c r="I235" s="308"/>
      <c r="J235" s="122" t="s">
        <v>269</v>
      </c>
      <c r="K235" s="119">
        <v>210000</v>
      </c>
      <c r="L235" s="118">
        <v>2000</v>
      </c>
      <c r="M235" s="118" t="s">
        <v>228</v>
      </c>
      <c r="N235" s="116" t="str">
        <f t="shared" si="53"/>
        <v>1% vs. -</v>
      </c>
      <c r="O235" s="116" t="str">
        <f t="shared" si="54"/>
        <v>高于竞品</v>
      </c>
      <c r="P235" s="123">
        <f t="shared" si="55"/>
        <v>9.5238095238095247E-3</v>
      </c>
      <c r="Q235" s="123" t="str">
        <f t="shared" si="56"/>
        <v>-</v>
      </c>
    </row>
    <row r="236" spans="2:23" ht="16.25" customHeight="1" thickBot="1" x14ac:dyDescent="0.3">
      <c r="C236" s="16" t="s">
        <v>268</v>
      </c>
      <c r="D236" s="111">
        <v>5.8700000000000002E-2</v>
      </c>
      <c r="E236" s="111">
        <v>6.0699999999999997E-2</v>
      </c>
      <c r="F236" s="17">
        <f t="shared" si="52"/>
        <v>1.9999999999999948E-3</v>
      </c>
      <c r="G236" s="124">
        <v>25000</v>
      </c>
      <c r="H236" s="112">
        <v>1200000</v>
      </c>
      <c r="I236" s="309"/>
      <c r="J236" s="125" t="s">
        <v>271</v>
      </c>
      <c r="K236" s="126">
        <v>110000</v>
      </c>
      <c r="L236" s="118">
        <v>4000</v>
      </c>
      <c r="M236" s="118">
        <v>3000</v>
      </c>
      <c r="N236" s="127" t="str">
        <f t="shared" si="53"/>
        <v>4% vs. 3%</v>
      </c>
      <c r="O236" s="127" t="str">
        <f t="shared" si="54"/>
        <v>高于竞品</v>
      </c>
      <c r="P236" s="127">
        <f t="shared" si="55"/>
        <v>3.6363636363636362E-2</v>
      </c>
      <c r="Q236" s="127">
        <f t="shared" si="56"/>
        <v>2.7272727272727271E-2</v>
      </c>
    </row>
    <row r="237" spans="2:23" x14ac:dyDescent="0.25">
      <c r="C237" s="16" t="s">
        <v>270</v>
      </c>
      <c r="D237" s="111">
        <v>4.7699999999999999E-2</v>
      </c>
      <c r="E237" s="111">
        <v>5.5399999999999998E-2</v>
      </c>
      <c r="F237" s="17">
        <f t="shared" si="52"/>
        <v>7.6999999999999985E-3</v>
      </c>
      <c r="G237" s="112">
        <v>19000</v>
      </c>
      <c r="H237" s="112">
        <v>600000</v>
      </c>
    </row>
    <row r="238" spans="2:23" x14ac:dyDescent="0.25">
      <c r="C238" s="244" t="s">
        <v>10808</v>
      </c>
      <c r="D238" s="111">
        <v>1.2800000000000001E-2</v>
      </c>
      <c r="E238" s="111">
        <v>2.0299999999999999E-2</v>
      </c>
      <c r="F238" s="17">
        <f t="shared" si="52"/>
        <v>7.499999999999998E-3</v>
      </c>
      <c r="G238" s="128"/>
      <c r="H238" s="112"/>
    </row>
    <row r="239" spans="2:23" x14ac:dyDescent="0.25">
      <c r="C239" s="244" t="s">
        <v>10809</v>
      </c>
      <c r="D239" s="111">
        <v>1.2200000000000001E-2</v>
      </c>
      <c r="E239" s="111">
        <v>1.9099999999999999E-2</v>
      </c>
      <c r="F239" s="17">
        <f t="shared" si="52"/>
        <v>6.8999999999999981E-3</v>
      </c>
      <c r="G239" s="129"/>
    </row>
    <row r="240" spans="2:23" x14ac:dyDescent="0.25">
      <c r="C240" s="244" t="s">
        <v>10810</v>
      </c>
      <c r="D240" s="111"/>
      <c r="E240" s="111">
        <v>1.78E-2</v>
      </c>
      <c r="F240" s="17">
        <f t="shared" si="52"/>
        <v>1.78E-2</v>
      </c>
      <c r="G240" s="129"/>
    </row>
    <row r="241" spans="2:25" x14ac:dyDescent="0.25">
      <c r="C241" s="244"/>
      <c r="D241" s="111"/>
      <c r="E241" s="226"/>
      <c r="F241" s="131"/>
      <c r="G241" s="129"/>
    </row>
    <row r="242" spans="2:25" s="49" customFormat="1" ht="16.25" customHeight="1" x14ac:dyDescent="0.25">
      <c r="B242" s="289" t="s">
        <v>275</v>
      </c>
      <c r="C242" s="290"/>
      <c r="D242" s="290"/>
      <c r="E242" s="290"/>
      <c r="F242" s="290"/>
      <c r="M242" s="50"/>
      <c r="N242" s="50"/>
      <c r="O242" s="50"/>
    </row>
    <row r="243" spans="2:25" x14ac:dyDescent="0.25">
      <c r="B243" s="1" t="s">
        <v>196</v>
      </c>
      <c r="P243" s="4"/>
      <c r="Q243" s="4"/>
      <c r="R243" s="4"/>
      <c r="S243" s="4"/>
      <c r="T243" s="4"/>
      <c r="U243" s="4"/>
      <c r="V243" s="4"/>
      <c r="W243" s="4"/>
      <c r="X243" s="4"/>
      <c r="Y243" s="4"/>
    </row>
    <row r="244" spans="2:25" ht="16.25" customHeight="1" x14ac:dyDescent="0.25">
      <c r="C244" s="272" t="s">
        <v>10822</v>
      </c>
      <c r="D244" s="273"/>
      <c r="E244" s="274"/>
      <c r="F244" s="4"/>
      <c r="P244" s="4"/>
      <c r="Q244" s="4"/>
      <c r="R244" s="4"/>
      <c r="S244" s="4"/>
      <c r="T244" s="4"/>
      <c r="U244" s="4"/>
      <c r="V244" s="4"/>
      <c r="W244" s="4"/>
      <c r="X244" s="4"/>
      <c r="Y244" s="4"/>
    </row>
    <row r="245" spans="2:25" ht="16.25" customHeight="1" x14ac:dyDescent="0.25">
      <c r="C245" s="10" t="s">
        <v>138</v>
      </c>
      <c r="D245" s="10" t="s">
        <v>276</v>
      </c>
      <c r="E245" s="108" t="s">
        <v>277</v>
      </c>
      <c r="F245" s="4"/>
      <c r="H245" s="243" t="s">
        <v>278</v>
      </c>
      <c r="I245" s="243" t="s">
        <v>279</v>
      </c>
      <c r="J245" s="243" t="s">
        <v>276</v>
      </c>
      <c r="M245" s="317" t="s">
        <v>280</v>
      </c>
      <c r="N245" s="269"/>
      <c r="O245" s="269"/>
      <c r="P245" s="4"/>
      <c r="Q245" s="4"/>
      <c r="R245" s="4"/>
      <c r="S245" s="4"/>
      <c r="T245" s="4"/>
      <c r="U245" s="4"/>
      <c r="V245" s="4"/>
      <c r="W245" s="4"/>
      <c r="X245" s="4"/>
      <c r="Y245" s="4"/>
    </row>
    <row r="246" spans="2:25" x14ac:dyDescent="0.25">
      <c r="C246" s="16" t="s">
        <v>282</v>
      </c>
      <c r="D246" s="132">
        <v>180</v>
      </c>
      <c r="E246" s="133">
        <f t="shared" ref="E246:E265" si="57">IFERROR(VLOOKUP(C246,$I$245:$J$265,2,0),"-")</f>
        <v>150</v>
      </c>
      <c r="F246" s="4"/>
      <c r="H246" s="243" t="s">
        <v>279</v>
      </c>
      <c r="I246" s="16" t="s">
        <v>268</v>
      </c>
      <c r="J246" s="132">
        <v>-60</v>
      </c>
      <c r="M246" s="219" t="s">
        <v>138</v>
      </c>
      <c r="N246" s="219" t="s">
        <v>10823</v>
      </c>
      <c r="O246" s="219" t="s">
        <v>10824</v>
      </c>
      <c r="R246" s="4"/>
      <c r="S246" s="4"/>
      <c r="T246" s="4"/>
      <c r="U246" s="4"/>
      <c r="V246" s="4"/>
      <c r="W246" s="4"/>
      <c r="X246" s="4"/>
      <c r="Y246" s="4"/>
    </row>
    <row r="247" spans="2:25" x14ac:dyDescent="0.25">
      <c r="C247" s="16" t="s">
        <v>10815</v>
      </c>
      <c r="D247" s="132">
        <v>150</v>
      </c>
      <c r="E247" s="133">
        <f t="shared" si="57"/>
        <v>160</v>
      </c>
      <c r="F247" s="4"/>
      <c r="H247" s="243" t="s">
        <v>279</v>
      </c>
      <c r="I247" s="16" t="s">
        <v>281</v>
      </c>
      <c r="J247" s="132">
        <v>140</v>
      </c>
      <c r="M247" s="16" t="s">
        <v>289</v>
      </c>
      <c r="N247" s="220">
        <f>VLOOKUP(M247,$C$246:$E$265,2,0)</f>
        <v>-420</v>
      </c>
      <c r="O247" s="221">
        <f>VLOOKUP(M247,$C$246:$E$265,3,0)</f>
        <v>510</v>
      </c>
      <c r="R247" s="4"/>
      <c r="S247" s="4"/>
      <c r="T247" s="4"/>
      <c r="U247" s="4"/>
      <c r="V247" s="4"/>
      <c r="W247" s="4"/>
      <c r="X247" s="4"/>
      <c r="Y247" s="4"/>
    </row>
    <row r="248" spans="2:25" x14ac:dyDescent="0.25">
      <c r="C248" s="16" t="s">
        <v>283</v>
      </c>
      <c r="D248" s="132">
        <v>120</v>
      </c>
      <c r="E248" s="133">
        <f t="shared" si="57"/>
        <v>80</v>
      </c>
      <c r="F248" s="4"/>
      <c r="H248" s="243" t="s">
        <v>279</v>
      </c>
      <c r="I248" s="16" t="s">
        <v>283</v>
      </c>
      <c r="J248" s="132">
        <v>80</v>
      </c>
      <c r="M248" s="16" t="s">
        <v>288</v>
      </c>
      <c r="N248" s="220">
        <f>VLOOKUP(M248,$C$246:$E$265,2,0)</f>
        <v>-230</v>
      </c>
      <c r="O248" s="221">
        <f>VLOOKUP(M248,$C$246:$E$265,3,0)</f>
        <v>0</v>
      </c>
      <c r="R248" s="4"/>
      <c r="S248" s="4"/>
      <c r="T248" s="4"/>
      <c r="U248" s="4"/>
      <c r="V248" s="4"/>
      <c r="W248" s="4"/>
      <c r="X248" s="4"/>
      <c r="Y248" s="4"/>
    </row>
    <row r="249" spans="2:25" x14ac:dyDescent="0.25">
      <c r="C249" s="16" t="s">
        <v>281</v>
      </c>
      <c r="D249" s="132">
        <v>120</v>
      </c>
      <c r="E249" s="133">
        <f t="shared" si="57"/>
        <v>140</v>
      </c>
      <c r="F249" s="4"/>
      <c r="H249" s="243" t="s">
        <v>279</v>
      </c>
      <c r="I249" s="16" t="s">
        <v>285</v>
      </c>
      <c r="J249" s="132">
        <v>100</v>
      </c>
      <c r="M249" s="16" t="s">
        <v>268</v>
      </c>
      <c r="N249" s="220">
        <f>VLOOKUP(M249,$C$246:$E$265,2,0)</f>
        <v>-180</v>
      </c>
      <c r="O249" s="221">
        <f>VLOOKUP(M249,$C$246:$E$265,3,0)</f>
        <v>-60</v>
      </c>
      <c r="R249" s="4"/>
      <c r="S249" s="4"/>
      <c r="T249" s="4"/>
      <c r="U249" s="4"/>
      <c r="V249" s="4"/>
      <c r="W249" s="4"/>
      <c r="X249" s="4"/>
      <c r="Y249" s="4"/>
    </row>
    <row r="250" spans="2:25" x14ac:dyDescent="0.25">
      <c r="C250" s="16" t="s">
        <v>285</v>
      </c>
      <c r="D250" s="132">
        <v>100</v>
      </c>
      <c r="E250" s="133">
        <f t="shared" si="57"/>
        <v>100</v>
      </c>
      <c r="F250" s="4"/>
      <c r="H250" s="243" t="s">
        <v>279</v>
      </c>
      <c r="I250" s="16" t="s">
        <v>282</v>
      </c>
      <c r="J250" s="132">
        <v>150</v>
      </c>
      <c r="M250" s="16" t="s">
        <v>10821</v>
      </c>
      <c r="N250" s="220">
        <f>VLOOKUP(M250,$C$246:$E$265,2,0)</f>
        <v>-150</v>
      </c>
      <c r="O250" s="221">
        <f>VLOOKUP(M250,$C$246:$E$265,3,0)</f>
        <v>-130</v>
      </c>
      <c r="R250" s="4"/>
      <c r="S250" s="4"/>
      <c r="T250" s="4"/>
      <c r="U250" s="4"/>
      <c r="V250" s="4"/>
      <c r="W250" s="4"/>
      <c r="X250" s="4"/>
      <c r="Y250" s="4"/>
    </row>
    <row r="251" spans="2:25" x14ac:dyDescent="0.25">
      <c r="C251" s="16" t="s">
        <v>287</v>
      </c>
      <c r="D251" s="132">
        <v>70</v>
      </c>
      <c r="E251" s="133">
        <f t="shared" si="57"/>
        <v>110</v>
      </c>
      <c r="F251" s="4"/>
      <c r="H251" s="243" t="s">
        <v>279</v>
      </c>
      <c r="I251" s="16" t="s">
        <v>287</v>
      </c>
      <c r="J251" s="132">
        <v>110</v>
      </c>
      <c r="M251" s="16" t="s">
        <v>286</v>
      </c>
      <c r="N251" s="220">
        <f>VLOOKUP(M251,$C$246:$E$265,2,0)</f>
        <v>-120</v>
      </c>
      <c r="O251" s="221">
        <f>VLOOKUP(M251,$C$246:$E$265,3,0)</f>
        <v>-130</v>
      </c>
      <c r="R251" s="4"/>
      <c r="S251" s="4"/>
      <c r="T251" s="4"/>
      <c r="U251" s="4"/>
      <c r="V251" s="4"/>
      <c r="W251" s="4"/>
      <c r="X251" s="4"/>
      <c r="Y251" s="4"/>
    </row>
    <row r="252" spans="2:25" x14ac:dyDescent="0.25">
      <c r="C252" s="16" t="s">
        <v>291</v>
      </c>
      <c r="D252" s="132">
        <v>70</v>
      </c>
      <c r="E252" s="133">
        <f t="shared" si="57"/>
        <v>60</v>
      </c>
      <c r="F252" s="4"/>
      <c r="H252" s="243" t="s">
        <v>279</v>
      </c>
      <c r="I252" s="16" t="s">
        <v>290</v>
      </c>
      <c r="J252" s="132"/>
      <c r="P252" s="4"/>
      <c r="Q252" s="4"/>
      <c r="R252" s="4"/>
      <c r="S252" s="4"/>
      <c r="T252" s="4"/>
      <c r="U252" s="4"/>
      <c r="V252" s="4"/>
      <c r="W252" s="4"/>
      <c r="X252" s="4"/>
      <c r="Y252" s="4"/>
    </row>
    <row r="253" spans="2:25" x14ac:dyDescent="0.25">
      <c r="C253" s="16" t="s">
        <v>10816</v>
      </c>
      <c r="D253" s="132">
        <v>60</v>
      </c>
      <c r="E253" s="133" t="str">
        <f t="shared" si="57"/>
        <v>-</v>
      </c>
      <c r="F253" s="4"/>
      <c r="H253" s="243" t="s">
        <v>279</v>
      </c>
      <c r="I253" s="16" t="s">
        <v>291</v>
      </c>
      <c r="J253" s="132">
        <v>60</v>
      </c>
      <c r="P253" s="4"/>
      <c r="Q253" s="4"/>
      <c r="R253" s="4"/>
      <c r="S253" s="4"/>
      <c r="T253" s="4"/>
      <c r="U253" s="4"/>
      <c r="V253" s="4"/>
      <c r="W253" s="4"/>
      <c r="X253" s="4"/>
      <c r="Y253" s="4"/>
    </row>
    <row r="254" spans="2:25" x14ac:dyDescent="0.25">
      <c r="C254" s="16" t="s">
        <v>10817</v>
      </c>
      <c r="D254" s="132">
        <v>50</v>
      </c>
      <c r="E254" s="133" t="str">
        <f t="shared" si="57"/>
        <v>-</v>
      </c>
      <c r="F254" s="4"/>
      <c r="H254" s="243" t="s">
        <v>279</v>
      </c>
      <c r="I254" s="16" t="s">
        <v>292</v>
      </c>
      <c r="J254" s="132"/>
      <c r="M254" s="317" t="s">
        <v>293</v>
      </c>
      <c r="N254" s="269"/>
      <c r="O254" s="269"/>
      <c r="P254" s="4"/>
      <c r="Q254" s="4"/>
      <c r="R254" s="4"/>
      <c r="S254" s="4"/>
      <c r="T254" s="4"/>
      <c r="U254" s="4"/>
      <c r="V254" s="4"/>
      <c r="W254" s="4"/>
      <c r="X254" s="4"/>
      <c r="Y254" s="4"/>
    </row>
    <row r="255" spans="2:25" x14ac:dyDescent="0.25">
      <c r="C255" s="16" t="s">
        <v>10818</v>
      </c>
      <c r="D255" s="132">
        <v>30</v>
      </c>
      <c r="E255" s="133" t="str">
        <f t="shared" si="57"/>
        <v>-</v>
      </c>
      <c r="F255" s="4"/>
      <c r="H255" s="243" t="s">
        <v>279</v>
      </c>
      <c r="I255" s="16" t="s">
        <v>10815</v>
      </c>
      <c r="J255" s="132">
        <v>160</v>
      </c>
      <c r="M255" s="219" t="s">
        <v>138</v>
      </c>
      <c r="N255" s="219" t="s">
        <v>10823</v>
      </c>
      <c r="O255" s="219" t="s">
        <v>10824</v>
      </c>
      <c r="Q255" s="4"/>
      <c r="R255" s="4"/>
      <c r="S255" s="4"/>
      <c r="T255" s="4"/>
      <c r="U255" s="4"/>
      <c r="V255" s="4"/>
      <c r="W255" s="4"/>
      <c r="X255" s="4"/>
      <c r="Y255" s="4"/>
    </row>
    <row r="256" spans="2:25" x14ac:dyDescent="0.25">
      <c r="C256" s="16" t="s">
        <v>10819</v>
      </c>
      <c r="D256" s="132">
        <v>-50</v>
      </c>
      <c r="E256" s="133" t="str">
        <f t="shared" si="57"/>
        <v>-</v>
      </c>
      <c r="F256" s="4"/>
      <c r="G256" s="129"/>
      <c r="H256" s="243" t="s">
        <v>279</v>
      </c>
      <c r="I256" s="16" t="s">
        <v>269</v>
      </c>
      <c r="J256" s="132">
        <v>-130</v>
      </c>
      <c r="M256" s="16" t="s">
        <v>282</v>
      </c>
      <c r="N256" s="221">
        <f>VLOOKUP(M256,$C$246:$E$265,3,0)</f>
        <v>150</v>
      </c>
      <c r="O256" s="220">
        <f>VLOOKUP(M256,$C$246:$E$265,2,0)</f>
        <v>180</v>
      </c>
      <c r="Q256" s="4"/>
      <c r="R256" s="4"/>
      <c r="S256" s="4"/>
      <c r="T256" s="4"/>
      <c r="U256" s="4"/>
      <c r="V256" s="4"/>
      <c r="W256" s="4"/>
      <c r="X256" s="4"/>
      <c r="Y256" s="4"/>
    </row>
    <row r="257" spans="2:25" x14ac:dyDescent="0.25">
      <c r="C257" s="16" t="s">
        <v>10820</v>
      </c>
      <c r="D257" s="132">
        <v>-60</v>
      </c>
      <c r="E257" s="133" t="str">
        <f t="shared" si="57"/>
        <v>-</v>
      </c>
      <c r="F257" s="4"/>
      <c r="G257" s="129"/>
      <c r="H257" s="243" t="s">
        <v>279</v>
      </c>
      <c r="I257" s="16" t="s">
        <v>286</v>
      </c>
      <c r="J257" s="132">
        <v>-130</v>
      </c>
      <c r="M257" s="16" t="s">
        <v>10815</v>
      </c>
      <c r="N257" s="221">
        <f>VLOOKUP(M257,$C$246:$E$265,3,0)</f>
        <v>160</v>
      </c>
      <c r="O257" s="220">
        <f>VLOOKUP(M257,$C$246:$E$265,2,0)</f>
        <v>150</v>
      </c>
      <c r="Q257" s="4"/>
      <c r="R257" s="4"/>
      <c r="S257" s="4"/>
      <c r="T257" s="4"/>
      <c r="U257" s="4"/>
      <c r="V257" s="4"/>
      <c r="W257" s="4"/>
      <c r="X257" s="4"/>
      <c r="Y257" s="4"/>
    </row>
    <row r="258" spans="2:25" x14ac:dyDescent="0.25">
      <c r="C258" s="16" t="s">
        <v>294</v>
      </c>
      <c r="D258" s="132">
        <v>-70</v>
      </c>
      <c r="E258" s="133">
        <f t="shared" si="57"/>
        <v>-80</v>
      </c>
      <c r="F258" s="4"/>
      <c r="G258" s="129"/>
      <c r="H258" s="243" t="s">
        <v>279</v>
      </c>
      <c r="I258" s="16" t="s">
        <v>289</v>
      </c>
      <c r="J258" s="132">
        <v>510</v>
      </c>
      <c r="M258" s="16" t="s">
        <v>283</v>
      </c>
      <c r="N258" s="221">
        <f>VLOOKUP(M258,$C$246:$E$265,3,0)</f>
        <v>80</v>
      </c>
      <c r="O258" s="220">
        <f>VLOOKUP(M258,$C$246:$E$265,2,0)</f>
        <v>120</v>
      </c>
      <c r="Q258" s="4"/>
      <c r="R258" s="4"/>
      <c r="S258" s="4"/>
      <c r="T258" s="4"/>
      <c r="U258" s="4"/>
      <c r="V258" s="4"/>
      <c r="W258" s="4"/>
      <c r="X258" s="4"/>
      <c r="Y258" s="4"/>
    </row>
    <row r="259" spans="2:25" x14ac:dyDescent="0.25">
      <c r="C259" s="16" t="s">
        <v>284</v>
      </c>
      <c r="D259" s="132">
        <v>-90</v>
      </c>
      <c r="E259" s="133">
        <f t="shared" si="57"/>
        <v>-100</v>
      </c>
      <c r="F259" s="4"/>
      <c r="G259" s="129"/>
      <c r="H259" s="45" t="s">
        <v>279</v>
      </c>
      <c r="I259" s="16" t="s">
        <v>288</v>
      </c>
      <c r="J259" s="132"/>
      <c r="M259" s="16" t="s">
        <v>281</v>
      </c>
      <c r="N259" s="221">
        <f>VLOOKUP(M259,$C$246:$E$265,3,0)</f>
        <v>140</v>
      </c>
      <c r="O259" s="220">
        <f>VLOOKUP(M259,$C$246:$E$265,2,0)</f>
        <v>120</v>
      </c>
      <c r="Q259" s="4"/>
      <c r="R259" s="4"/>
      <c r="S259" s="4"/>
      <c r="T259" s="4"/>
      <c r="U259" s="4"/>
      <c r="V259" s="4"/>
      <c r="W259" s="4"/>
      <c r="X259" s="4"/>
      <c r="Y259" s="4"/>
    </row>
    <row r="260" spans="2:25" x14ac:dyDescent="0.25">
      <c r="C260" s="16" t="s">
        <v>297</v>
      </c>
      <c r="D260" s="132">
        <v>-110</v>
      </c>
      <c r="E260" s="133">
        <f t="shared" si="57"/>
        <v>-110</v>
      </c>
      <c r="F260" s="4"/>
      <c r="G260" s="129"/>
      <c r="H260" s="45" t="s">
        <v>279</v>
      </c>
      <c r="I260" s="16" t="s">
        <v>298</v>
      </c>
      <c r="J260" s="132">
        <v>-90</v>
      </c>
      <c r="M260" s="16" t="s">
        <v>285</v>
      </c>
      <c r="N260" s="221">
        <f>VLOOKUP(M260,$C$246:$E$265,3,0)</f>
        <v>100</v>
      </c>
      <c r="O260" s="220">
        <f>VLOOKUP(M260,$C$246:$E$265,2,0)</f>
        <v>100</v>
      </c>
      <c r="Q260" s="4"/>
      <c r="R260" s="4"/>
      <c r="S260" s="4"/>
      <c r="T260" s="4"/>
      <c r="U260" s="4"/>
      <c r="V260" s="4"/>
      <c r="W260" s="4"/>
      <c r="X260" s="4"/>
      <c r="Y260" s="4"/>
    </row>
    <row r="261" spans="2:25" x14ac:dyDescent="0.25">
      <c r="C261" s="16" t="s">
        <v>286</v>
      </c>
      <c r="D261" s="132">
        <v>-120</v>
      </c>
      <c r="E261" s="133">
        <f t="shared" si="57"/>
        <v>-130</v>
      </c>
      <c r="F261" s="4"/>
      <c r="G261" s="129"/>
      <c r="H261" s="45" t="s">
        <v>279</v>
      </c>
      <c r="I261" s="16" t="s">
        <v>296</v>
      </c>
      <c r="J261" s="132"/>
      <c r="P261" s="4"/>
      <c r="Q261" s="4"/>
      <c r="R261" s="4"/>
      <c r="S261" s="4"/>
      <c r="T261" s="4"/>
      <c r="U261" s="4"/>
      <c r="V261" s="4"/>
      <c r="W261" s="4"/>
      <c r="X261" s="4"/>
      <c r="Y261" s="4"/>
    </row>
    <row r="262" spans="2:25" x14ac:dyDescent="0.25">
      <c r="C262" s="16" t="s">
        <v>10821</v>
      </c>
      <c r="D262" s="132">
        <v>-150</v>
      </c>
      <c r="E262" s="133">
        <f t="shared" si="57"/>
        <v>-130</v>
      </c>
      <c r="F262" s="4"/>
      <c r="G262" s="129"/>
      <c r="H262" s="243" t="s">
        <v>279</v>
      </c>
      <c r="I262" s="16" t="s">
        <v>284</v>
      </c>
      <c r="J262" s="132">
        <v>-100</v>
      </c>
      <c r="P262" s="4"/>
      <c r="Q262" s="4"/>
      <c r="R262" s="4"/>
      <c r="S262" s="4"/>
      <c r="T262" s="4"/>
      <c r="U262" s="4"/>
      <c r="V262" s="4"/>
      <c r="W262" s="4"/>
      <c r="X262" s="4"/>
      <c r="Y262" s="4"/>
    </row>
    <row r="263" spans="2:25" x14ac:dyDescent="0.25">
      <c r="C263" s="16" t="s">
        <v>268</v>
      </c>
      <c r="D263" s="132">
        <v>-180</v>
      </c>
      <c r="E263" s="133">
        <f t="shared" si="57"/>
        <v>-60</v>
      </c>
      <c r="F263" s="4"/>
      <c r="G263" s="129"/>
      <c r="H263" s="243" t="s">
        <v>279</v>
      </c>
      <c r="I263" s="16" t="s">
        <v>299</v>
      </c>
      <c r="J263" s="132">
        <v>-40</v>
      </c>
      <c r="P263" s="4"/>
      <c r="Q263" s="4"/>
      <c r="R263" s="4"/>
      <c r="S263" s="4"/>
      <c r="T263" s="4"/>
      <c r="U263" s="4"/>
      <c r="V263" s="4"/>
      <c r="W263" s="4"/>
      <c r="X263" s="4"/>
      <c r="Y263" s="4"/>
    </row>
    <row r="264" spans="2:25" x14ac:dyDescent="0.25">
      <c r="C264" s="16" t="s">
        <v>288</v>
      </c>
      <c r="D264" s="132">
        <v>-230</v>
      </c>
      <c r="E264" s="133">
        <f t="shared" si="57"/>
        <v>0</v>
      </c>
      <c r="F264" s="4"/>
      <c r="G264" s="129"/>
      <c r="H264" s="243" t="s">
        <v>279</v>
      </c>
      <c r="I264" s="16" t="s">
        <v>294</v>
      </c>
      <c r="J264" s="132">
        <v>-80</v>
      </c>
    </row>
    <row r="265" spans="2:25" x14ac:dyDescent="0.25">
      <c r="C265" s="16" t="s">
        <v>289</v>
      </c>
      <c r="D265" s="132">
        <v>-420</v>
      </c>
      <c r="E265" s="133">
        <f t="shared" si="57"/>
        <v>510</v>
      </c>
      <c r="F265" s="4"/>
      <c r="G265" s="129"/>
      <c r="H265" s="243" t="s">
        <v>279</v>
      </c>
      <c r="I265" s="16" t="s">
        <v>297</v>
      </c>
      <c r="J265" s="132">
        <v>-110</v>
      </c>
    </row>
    <row r="267" spans="2:25" s="43" customFormat="1" ht="16.25" customHeight="1" x14ac:dyDescent="0.25">
      <c r="B267" s="296" t="s">
        <v>300</v>
      </c>
      <c r="C267" s="297"/>
      <c r="D267" s="297"/>
      <c r="E267" s="297"/>
      <c r="F267" s="297"/>
      <c r="M267" s="44"/>
      <c r="N267" s="44"/>
      <c r="O267" s="44"/>
    </row>
    <row r="269" spans="2:25" s="5" customFormat="1" ht="23.5" customHeight="1" x14ac:dyDescent="0.25">
      <c r="B269" s="270" t="s">
        <v>301</v>
      </c>
      <c r="C269" s="271"/>
      <c r="D269" s="271"/>
      <c r="E269" s="271"/>
      <c r="F269" s="271"/>
      <c r="N269" s="6"/>
      <c r="O269" s="6"/>
      <c r="P269" s="6"/>
    </row>
    <row r="271" spans="2:25" ht="16.25" customHeight="1" x14ac:dyDescent="0.25">
      <c r="B271" s="302" t="s">
        <v>302</v>
      </c>
      <c r="C271" s="303"/>
      <c r="D271" s="303"/>
      <c r="E271" s="303"/>
      <c r="F271" s="304"/>
      <c r="P271" s="4"/>
      <c r="Q271" s="4"/>
      <c r="R271" s="4"/>
      <c r="S271" s="4"/>
      <c r="T271" s="4"/>
      <c r="U271" s="4"/>
      <c r="V271" s="4"/>
      <c r="W271" s="4"/>
      <c r="X271" s="4"/>
      <c r="Y271" s="4"/>
    </row>
    <row r="272" spans="2:25" ht="16.25" customHeight="1" x14ac:dyDescent="0.25">
      <c r="B272" s="134" t="s">
        <v>303</v>
      </c>
      <c r="C272" s="134">
        <v>2022.09</v>
      </c>
      <c r="D272" s="134" t="s">
        <v>33</v>
      </c>
      <c r="E272" s="134">
        <v>2023.09</v>
      </c>
      <c r="F272" s="134" t="s">
        <v>33</v>
      </c>
      <c r="P272" s="4"/>
      <c r="Q272" s="4"/>
      <c r="R272" s="4"/>
      <c r="S272" s="4"/>
      <c r="T272" s="4"/>
      <c r="U272" s="4"/>
      <c r="V272" s="4"/>
      <c r="W272" s="4"/>
      <c r="X272" s="4"/>
      <c r="Y272" s="4"/>
    </row>
    <row r="273" spans="2:25" x14ac:dyDescent="0.25">
      <c r="B273" s="135" t="s">
        <v>304</v>
      </c>
      <c r="C273" s="54">
        <v>160</v>
      </c>
      <c r="D273" s="48">
        <f>C273/SUM($C$273:$C$275)</f>
        <v>0.51779935275080902</v>
      </c>
      <c r="E273" s="54">
        <v>141</v>
      </c>
      <c r="F273" s="48">
        <f>E273/SUM($E$273:$E$275)</f>
        <v>0.49300699300699302</v>
      </c>
      <c r="P273" s="4"/>
      <c r="Q273" s="305"/>
      <c r="R273" s="269"/>
      <c r="S273" s="305"/>
      <c r="T273" s="4"/>
      <c r="U273" s="4"/>
      <c r="V273" s="4"/>
      <c r="W273" s="4"/>
      <c r="X273" s="4"/>
      <c r="Y273" s="4"/>
    </row>
    <row r="274" spans="2:25" x14ac:dyDescent="0.25">
      <c r="B274" s="135" t="s">
        <v>305</v>
      </c>
      <c r="C274" s="54">
        <v>117</v>
      </c>
      <c r="D274" s="48">
        <f>C274/SUM($C$273:$C$275)</f>
        <v>0.37864077669902912</v>
      </c>
      <c r="E274" s="54">
        <v>122</v>
      </c>
      <c r="F274" s="48">
        <f>E274/SUM($E$273:$E$275)</f>
        <v>0.42657342657342656</v>
      </c>
      <c r="P274" s="4"/>
      <c r="Q274" s="269"/>
      <c r="R274" s="269"/>
      <c r="S274" s="269"/>
      <c r="T274" s="4"/>
      <c r="U274" s="4"/>
      <c r="V274" s="4"/>
      <c r="W274" s="4"/>
      <c r="X274" s="4"/>
      <c r="Y274" s="4"/>
    </row>
    <row r="275" spans="2:25" x14ac:dyDescent="0.25">
      <c r="B275" s="135" t="s">
        <v>306</v>
      </c>
      <c r="C275" s="54">
        <v>32</v>
      </c>
      <c r="D275" s="48">
        <f>C275/SUM($C$273:$C$275)</f>
        <v>0.10355987055016182</v>
      </c>
      <c r="E275" s="54">
        <v>23</v>
      </c>
      <c r="F275" s="48">
        <f>E275/SUM($E$273:$E$275)</f>
        <v>8.0419580419580416E-2</v>
      </c>
      <c r="P275" s="4"/>
      <c r="Q275" s="305"/>
      <c r="R275" s="4"/>
      <c r="S275" s="4"/>
      <c r="T275" s="4"/>
      <c r="U275" s="4"/>
      <c r="V275" s="4"/>
      <c r="W275" s="4"/>
      <c r="X275" s="4"/>
      <c r="Y275" s="4"/>
    </row>
    <row r="276" spans="2:25" x14ac:dyDescent="0.25">
      <c r="P276" s="4"/>
      <c r="Q276" s="269"/>
      <c r="R276" s="4"/>
      <c r="S276" s="4"/>
      <c r="T276" s="4"/>
      <c r="U276" s="4"/>
      <c r="V276" s="4"/>
      <c r="W276" s="4"/>
      <c r="X276" s="4"/>
      <c r="Y276" s="4"/>
    </row>
    <row r="277" spans="2:25" ht="16.25" customHeight="1" x14ac:dyDescent="0.25">
      <c r="B277" s="302" t="s">
        <v>307</v>
      </c>
      <c r="C277" s="303"/>
      <c r="D277" s="304"/>
      <c r="F277" s="302" t="s">
        <v>308</v>
      </c>
      <c r="G277" s="303"/>
      <c r="H277" s="304"/>
      <c r="P277" s="4"/>
      <c r="Q277" s="269"/>
      <c r="R277" s="4"/>
      <c r="S277" s="4"/>
      <c r="T277" s="4"/>
      <c r="U277" s="4"/>
      <c r="V277" s="4"/>
      <c r="W277" s="4"/>
      <c r="X277" s="4"/>
      <c r="Y277" s="4"/>
    </row>
    <row r="278" spans="2:25" ht="16.25" customHeight="1" x14ac:dyDescent="0.25">
      <c r="B278" s="134" t="s">
        <v>309</v>
      </c>
      <c r="C278" s="134" t="s">
        <v>307</v>
      </c>
      <c r="D278" s="134" t="s">
        <v>310</v>
      </c>
      <c r="F278" s="134" t="s">
        <v>309</v>
      </c>
      <c r="G278" s="134" t="s">
        <v>311</v>
      </c>
      <c r="H278" s="134" t="s">
        <v>312</v>
      </c>
      <c r="P278" s="4"/>
      <c r="Q278" s="269"/>
      <c r="R278" s="4"/>
      <c r="S278" s="4"/>
      <c r="T278" s="4"/>
      <c r="U278" s="4"/>
      <c r="V278" s="4"/>
      <c r="W278" s="4"/>
      <c r="X278" s="4"/>
      <c r="Y278" s="4"/>
    </row>
    <row r="279" spans="2:25" x14ac:dyDescent="0.25">
      <c r="B279" s="135">
        <v>2022.01</v>
      </c>
      <c r="C279" s="54">
        <v>60</v>
      </c>
      <c r="D279" s="54">
        <v>17</v>
      </c>
      <c r="F279" s="135">
        <v>2022.01</v>
      </c>
      <c r="G279" s="54">
        <v>14927881</v>
      </c>
      <c r="H279" s="47">
        <v>0.120720790705486</v>
      </c>
      <c r="P279" s="4"/>
      <c r="Q279" s="269"/>
      <c r="R279" s="4"/>
      <c r="S279" s="4"/>
      <c r="T279" s="4"/>
      <c r="U279" s="4"/>
      <c r="V279" s="4"/>
      <c r="W279" s="4"/>
      <c r="X279" s="4"/>
      <c r="Y279" s="4"/>
    </row>
    <row r="280" spans="2:25" x14ac:dyDescent="0.25">
      <c r="B280" s="135">
        <v>2022.02</v>
      </c>
      <c r="C280" s="54">
        <v>49</v>
      </c>
      <c r="D280" s="54">
        <v>13</v>
      </c>
      <c r="F280" s="135">
        <v>2022.02</v>
      </c>
      <c r="G280" s="54">
        <v>9544736</v>
      </c>
      <c r="H280" s="47">
        <v>0.1019911313880859</v>
      </c>
      <c r="P280" s="4"/>
      <c r="Q280" s="4"/>
      <c r="R280" s="4"/>
      <c r="S280" s="4"/>
      <c r="T280" s="4"/>
      <c r="U280" s="4"/>
      <c r="V280" s="4"/>
      <c r="W280" s="4"/>
      <c r="X280" s="4"/>
      <c r="Y280" s="4"/>
    </row>
    <row r="281" spans="2:25" x14ac:dyDescent="0.25">
      <c r="B281" s="135">
        <v>2022.03</v>
      </c>
      <c r="C281" s="54">
        <v>50</v>
      </c>
      <c r="D281" s="54">
        <v>15</v>
      </c>
      <c r="F281" s="135">
        <v>2022.03</v>
      </c>
      <c r="G281" s="54">
        <v>13748918</v>
      </c>
      <c r="H281" s="47">
        <v>9.6310149756346261E-2</v>
      </c>
      <c r="P281" s="4"/>
      <c r="Q281" s="4"/>
      <c r="R281" s="4"/>
      <c r="S281" s="4"/>
      <c r="T281" s="4"/>
      <c r="U281" s="4"/>
      <c r="V281" s="4"/>
      <c r="W281" s="4"/>
      <c r="X281" s="4"/>
      <c r="Y281" s="4"/>
    </row>
    <row r="282" spans="2:25" x14ac:dyDescent="0.25">
      <c r="B282" s="135">
        <v>2022.04</v>
      </c>
      <c r="C282" s="54">
        <v>46</v>
      </c>
      <c r="D282" s="54">
        <v>6</v>
      </c>
      <c r="F282" s="135">
        <v>2022.04</v>
      </c>
      <c r="G282" s="54">
        <v>7319528</v>
      </c>
      <c r="H282" s="47">
        <v>6.0201393720880889E-2</v>
      </c>
      <c r="P282" s="4"/>
      <c r="Q282" s="4"/>
      <c r="R282" s="4"/>
      <c r="S282" s="4"/>
      <c r="T282" s="4"/>
      <c r="U282" s="4"/>
      <c r="V282" s="4"/>
      <c r="W282" s="4"/>
      <c r="X282" s="4"/>
      <c r="Y282" s="4"/>
    </row>
    <row r="283" spans="2:25" x14ac:dyDescent="0.25">
      <c r="B283" s="135">
        <v>2022.05</v>
      </c>
      <c r="C283" s="54">
        <v>44</v>
      </c>
      <c r="D283" s="54">
        <v>16</v>
      </c>
      <c r="F283" s="135">
        <v>2022.05</v>
      </c>
      <c r="G283" s="54">
        <v>14948084</v>
      </c>
      <c r="H283" s="47">
        <v>6.9853540034659933E-2</v>
      </c>
      <c r="P283" s="4"/>
      <c r="Q283" s="4"/>
      <c r="R283" s="4"/>
      <c r="S283" s="4"/>
      <c r="T283" s="4"/>
      <c r="U283" s="4"/>
      <c r="V283" s="4"/>
      <c r="W283" s="4"/>
      <c r="X283" s="4"/>
      <c r="Y283" s="4"/>
    </row>
    <row r="284" spans="2:25" x14ac:dyDescent="0.25">
      <c r="B284" s="135">
        <v>2022.06</v>
      </c>
      <c r="C284" s="54">
        <v>45</v>
      </c>
      <c r="D284" s="54">
        <v>21</v>
      </c>
      <c r="F284" s="135">
        <v>2022.06</v>
      </c>
      <c r="G284" s="54">
        <v>26670854</v>
      </c>
      <c r="H284" s="47">
        <v>0.1092319261681024</v>
      </c>
      <c r="P284" s="4"/>
      <c r="Q284" s="4"/>
      <c r="R284" s="4"/>
      <c r="S284" s="4"/>
      <c r="T284" s="4"/>
      <c r="U284" s="4"/>
      <c r="V284" s="4"/>
      <c r="W284" s="4"/>
      <c r="X284" s="4"/>
      <c r="Y284" s="4"/>
    </row>
    <row r="285" spans="2:25" x14ac:dyDescent="0.25">
      <c r="B285" s="135">
        <v>2022.07</v>
      </c>
      <c r="C285" s="54">
        <v>50</v>
      </c>
      <c r="D285" s="54">
        <v>10</v>
      </c>
      <c r="F285" s="135">
        <v>2022.07</v>
      </c>
      <c r="G285" s="54">
        <v>7576328</v>
      </c>
      <c r="H285" s="47">
        <v>7.4599907864831366E-2</v>
      </c>
      <c r="P285" s="4"/>
      <c r="Q285" s="4"/>
      <c r="R285" s="4"/>
      <c r="S285" s="4"/>
      <c r="T285" s="4"/>
      <c r="U285" s="4"/>
      <c r="V285" s="4"/>
      <c r="W285" s="4"/>
      <c r="X285" s="4"/>
      <c r="Y285" s="4"/>
    </row>
    <row r="286" spans="2:25" x14ac:dyDescent="0.25">
      <c r="B286" s="135">
        <v>2022.08</v>
      </c>
      <c r="C286" s="54">
        <v>41</v>
      </c>
      <c r="D286" s="54">
        <v>10</v>
      </c>
      <c r="F286" s="135">
        <v>2022.08</v>
      </c>
      <c r="G286" s="54">
        <v>8523242</v>
      </c>
      <c r="H286" s="47">
        <v>6.8333594875316664E-2</v>
      </c>
      <c r="P286" s="4"/>
      <c r="Q286" s="4"/>
      <c r="R286" s="4"/>
      <c r="S286" s="4"/>
      <c r="T286" s="4"/>
      <c r="U286" s="4"/>
      <c r="V286" s="4"/>
      <c r="W286" s="4"/>
      <c r="X286" s="4"/>
      <c r="Y286" s="4"/>
    </row>
    <row r="287" spans="2:25" x14ac:dyDescent="0.25">
      <c r="B287" s="135">
        <v>2022.09</v>
      </c>
      <c r="C287" s="54">
        <v>45</v>
      </c>
      <c r="D287" s="54">
        <v>14</v>
      </c>
      <c r="F287" s="135">
        <v>2022.09</v>
      </c>
      <c r="G287" s="54">
        <v>12530176</v>
      </c>
      <c r="H287" s="47">
        <v>9.1426697373009291E-2</v>
      </c>
      <c r="P287" s="4"/>
      <c r="Q287" s="4"/>
      <c r="R287" s="4"/>
      <c r="S287" s="4"/>
      <c r="T287" s="4"/>
      <c r="U287" s="4"/>
      <c r="V287" s="4"/>
      <c r="W287" s="4"/>
      <c r="X287" s="4"/>
      <c r="Y287" s="4"/>
    </row>
    <row r="288" spans="2:25" x14ac:dyDescent="0.25">
      <c r="B288" s="135">
        <v>2022.1</v>
      </c>
      <c r="C288" s="54">
        <v>40</v>
      </c>
      <c r="D288" s="54">
        <v>16</v>
      </c>
      <c r="F288" s="135">
        <v>2022.1</v>
      </c>
      <c r="G288" s="54">
        <v>23766767</v>
      </c>
      <c r="H288" s="47">
        <v>8.8843448248440329E-2</v>
      </c>
      <c r="P288" s="4"/>
      <c r="Q288" s="4"/>
      <c r="R288" s="4"/>
      <c r="S288" s="4"/>
      <c r="T288" s="4"/>
      <c r="U288" s="4"/>
      <c r="V288" s="4"/>
      <c r="W288" s="4"/>
      <c r="X288" s="4"/>
      <c r="Y288" s="4"/>
    </row>
    <row r="289" spans="2:25" x14ac:dyDescent="0.25">
      <c r="B289" s="135">
        <v>2022.11</v>
      </c>
      <c r="C289" s="54">
        <v>43</v>
      </c>
      <c r="D289" s="54">
        <v>16</v>
      </c>
      <c r="F289" s="135">
        <v>2022.11</v>
      </c>
      <c r="G289" s="54">
        <v>28532608</v>
      </c>
      <c r="H289" s="47">
        <v>8.9724786722553088E-2</v>
      </c>
      <c r="P289" s="4"/>
      <c r="Q289" s="4"/>
      <c r="R289" s="4"/>
      <c r="S289" s="4"/>
      <c r="T289" s="4"/>
      <c r="U289" s="4"/>
      <c r="V289" s="4"/>
      <c r="W289" s="4"/>
      <c r="X289" s="4"/>
      <c r="Y289" s="4"/>
    </row>
    <row r="290" spans="2:25" x14ac:dyDescent="0.25">
      <c r="B290" s="135">
        <v>2022.12</v>
      </c>
      <c r="C290" s="54">
        <v>41</v>
      </c>
      <c r="D290" s="54">
        <v>9</v>
      </c>
      <c r="F290" s="135">
        <v>2022.12</v>
      </c>
      <c r="G290" s="54">
        <v>12880326</v>
      </c>
      <c r="H290" s="47">
        <v>7.9241755568570021E-2</v>
      </c>
      <c r="P290" s="4"/>
      <c r="Q290" s="4"/>
      <c r="R290" s="4"/>
      <c r="S290" s="4"/>
      <c r="T290" s="4"/>
      <c r="U290" s="4"/>
      <c r="V290" s="4"/>
      <c r="W290" s="4"/>
      <c r="X290" s="4"/>
      <c r="Y290" s="4"/>
    </row>
    <row r="291" spans="2:25" x14ac:dyDescent="0.25">
      <c r="B291" s="135">
        <v>2023.01</v>
      </c>
      <c r="C291" s="54">
        <v>30</v>
      </c>
      <c r="D291" s="54">
        <v>7</v>
      </c>
      <c r="F291" s="135">
        <v>2023.01</v>
      </c>
      <c r="G291" s="54">
        <v>4052255</v>
      </c>
      <c r="H291" s="47">
        <f>G291/D7</f>
        <v>4.1563992355496571E-2</v>
      </c>
      <c r="P291" s="4"/>
      <c r="Q291" s="4"/>
      <c r="R291" s="4"/>
      <c r="S291" s="4"/>
      <c r="T291" s="4"/>
      <c r="U291" s="4"/>
      <c r="V291" s="4"/>
      <c r="W291" s="4"/>
      <c r="X291" s="4"/>
      <c r="Y291" s="4"/>
    </row>
    <row r="292" spans="2:25" x14ac:dyDescent="0.25">
      <c r="B292" s="135">
        <v>2023.02</v>
      </c>
      <c r="C292" s="54">
        <v>32</v>
      </c>
      <c r="D292" s="54">
        <v>10</v>
      </c>
      <c r="F292" s="135">
        <v>2023.02</v>
      </c>
      <c r="G292" s="54">
        <v>7004197</v>
      </c>
      <c r="H292" s="47">
        <f>G292/E7</f>
        <v>5.4913652043707281E-2</v>
      </c>
    </row>
    <row r="293" spans="2:25" x14ac:dyDescent="0.25">
      <c r="B293" s="135">
        <v>2023.03</v>
      </c>
      <c r="C293" s="54">
        <v>31</v>
      </c>
      <c r="D293" s="54">
        <v>7</v>
      </c>
      <c r="F293" s="135">
        <v>2023.03</v>
      </c>
      <c r="G293" s="54">
        <v>9145116</v>
      </c>
      <c r="H293" s="47">
        <f>G293/F7</f>
        <v>5.5703504162189783E-2</v>
      </c>
    </row>
    <row r="294" spans="2:25" x14ac:dyDescent="0.25">
      <c r="B294" s="135">
        <v>2023.04</v>
      </c>
      <c r="C294" s="54">
        <v>35</v>
      </c>
      <c r="D294" s="54">
        <v>8</v>
      </c>
      <c r="F294" s="135">
        <v>2023.04</v>
      </c>
      <c r="G294" s="54">
        <v>8195919</v>
      </c>
      <c r="H294" s="47">
        <f>G294/G7</f>
        <v>5.8814545807608441E-2</v>
      </c>
    </row>
    <row r="295" spans="2:25" x14ac:dyDescent="0.25">
      <c r="B295" s="135">
        <v>2023.05</v>
      </c>
      <c r="C295" s="54">
        <v>34</v>
      </c>
      <c r="D295" s="54">
        <v>7</v>
      </c>
      <c r="F295" s="135">
        <v>2023.05</v>
      </c>
      <c r="G295" s="54">
        <v>13589224</v>
      </c>
      <c r="H295" s="47">
        <f>G295/H7</f>
        <v>6.4482046757866576E-2</v>
      </c>
      <c r="I295" s="136">
        <f t="shared" ref="I295:I302" si="58">G295/G283-1</f>
        <v>-9.0905295956324572E-2</v>
      </c>
      <c r="J295" s="137"/>
    </row>
    <row r="296" spans="2:25" x14ac:dyDescent="0.25">
      <c r="B296" s="135">
        <v>2023.06</v>
      </c>
      <c r="C296" s="54">
        <v>35</v>
      </c>
      <c r="D296" s="54">
        <v>11</v>
      </c>
      <c r="F296" s="135">
        <v>2023.06</v>
      </c>
      <c r="G296" s="54">
        <v>18763495</v>
      </c>
      <c r="H296" s="47">
        <f>G296/I7</f>
        <v>7.050019608441728E-2</v>
      </c>
      <c r="I296" s="136">
        <f t="shared" si="58"/>
        <v>-0.29647940782098692</v>
      </c>
    </row>
    <row r="297" spans="2:25" x14ac:dyDescent="0.25">
      <c r="B297" s="135">
        <v>2023.07</v>
      </c>
      <c r="C297" s="54">
        <v>34</v>
      </c>
      <c r="D297" s="54">
        <v>3</v>
      </c>
      <c r="F297" s="135">
        <v>2023.07</v>
      </c>
      <c r="G297" s="54">
        <v>5020039</v>
      </c>
      <c r="H297" s="47">
        <f>G297/J7</f>
        <v>4.7608929783946381E-2</v>
      </c>
      <c r="I297" s="136">
        <f t="shared" si="58"/>
        <v>-0.33740474277248822</v>
      </c>
      <c r="J297" s="137"/>
    </row>
    <row r="298" spans="2:25" x14ac:dyDescent="0.25">
      <c r="B298" s="135">
        <v>2023.08</v>
      </c>
      <c r="C298" s="138">
        <v>34</v>
      </c>
      <c r="D298" s="138">
        <v>6</v>
      </c>
      <c r="E298" s="137"/>
      <c r="F298" s="139">
        <v>2023.08</v>
      </c>
      <c r="G298" s="54">
        <v>7211242</v>
      </c>
      <c r="H298" s="47">
        <f>G298/K7</f>
        <v>4.9228246330396665E-2</v>
      </c>
      <c r="I298" s="136">
        <f t="shared" si="58"/>
        <v>-0.15393203665929001</v>
      </c>
      <c r="J298" s="137"/>
    </row>
    <row r="299" spans="2:25" x14ac:dyDescent="0.25">
      <c r="B299" s="135">
        <v>2023.09</v>
      </c>
      <c r="C299" s="138">
        <v>27</v>
      </c>
      <c r="D299" s="138">
        <v>14</v>
      </c>
      <c r="E299" s="137"/>
      <c r="F299" s="139">
        <v>2023.09</v>
      </c>
      <c r="G299" s="54">
        <v>5954305</v>
      </c>
      <c r="H299" s="47">
        <f>G299/L7</f>
        <v>4.2428766398708365E-2</v>
      </c>
      <c r="I299" s="136">
        <f t="shared" si="58"/>
        <v>-0.52480276414313731</v>
      </c>
      <c r="J299" s="137"/>
    </row>
    <row r="300" spans="2:25" x14ac:dyDescent="0.25">
      <c r="B300" s="210" t="s">
        <v>161</v>
      </c>
      <c r="C300" s="14">
        <v>25</v>
      </c>
      <c r="D300" s="209">
        <v>6</v>
      </c>
      <c r="F300" s="210" t="s">
        <v>161</v>
      </c>
      <c r="G300" s="209">
        <v>10927428</v>
      </c>
      <c r="H300" s="47">
        <f>G300/dat_nespresso_mkt_rk_brand!AE2</f>
        <v>7.6530906072858285E-2</v>
      </c>
      <c r="I300" s="136">
        <f t="shared" si="58"/>
        <v>-0.54022236175412497</v>
      </c>
    </row>
    <row r="301" spans="2:25" x14ac:dyDescent="0.25">
      <c r="B301" s="208">
        <v>2023.11</v>
      </c>
      <c r="C301" s="14">
        <v>25</v>
      </c>
      <c r="D301" s="209">
        <v>8</v>
      </c>
      <c r="F301" s="208">
        <v>2023.11</v>
      </c>
      <c r="G301" s="209">
        <v>11909118</v>
      </c>
      <c r="H301" s="47">
        <f>G301/dat_nespresso_mkt_rk_brand!AE2</f>
        <v>8.340623164651241E-2</v>
      </c>
      <c r="I301" s="136">
        <f t="shared" si="58"/>
        <v>-0.58261375896658307</v>
      </c>
    </row>
    <row r="302" spans="2:25" x14ac:dyDescent="0.25">
      <c r="B302" s="208">
        <v>2023.12</v>
      </c>
      <c r="C302" s="14">
        <v>23</v>
      </c>
      <c r="D302" s="209">
        <v>4</v>
      </c>
      <c r="F302" s="208">
        <v>2023.12</v>
      </c>
      <c r="G302" s="209">
        <v>6512893</v>
      </c>
      <c r="H302" s="47">
        <f>G302/dat_nespresso_mkt_rk_brand!AE2</f>
        <v>4.5613441922982806E-2</v>
      </c>
      <c r="I302" s="136">
        <f t="shared" si="58"/>
        <v>-0.4943534037880718</v>
      </c>
    </row>
    <row r="303" spans="2:25" x14ac:dyDescent="0.25">
      <c r="B303" s="140"/>
      <c r="D303" s="140"/>
      <c r="F303" s="140"/>
      <c r="G303" s="140"/>
    </row>
    <row r="304" spans="2:25" s="5" customFormat="1" ht="23.5" customHeight="1" x14ac:dyDescent="0.25">
      <c r="B304" s="270" t="s">
        <v>313</v>
      </c>
      <c r="C304" s="271"/>
      <c r="D304" s="271"/>
      <c r="E304" s="271"/>
      <c r="F304" s="271"/>
      <c r="N304" s="6"/>
      <c r="O304" s="6"/>
      <c r="P304" s="6"/>
    </row>
    <row r="305" spans="2:16" ht="16.25" customHeight="1" x14ac:dyDescent="0.25">
      <c r="B305" s="41" t="s">
        <v>157</v>
      </c>
    </row>
    <row r="306" spans="2:16" ht="16.25" customHeight="1" x14ac:dyDescent="0.25">
      <c r="B306" s="272" t="s">
        <v>10833</v>
      </c>
      <c r="C306" s="273"/>
      <c r="D306" s="273"/>
      <c r="E306" s="273"/>
      <c r="F306" s="273"/>
      <c r="G306" s="274"/>
      <c r="I306" s="299" t="s">
        <v>10834</v>
      </c>
      <c r="J306" s="273"/>
      <c r="K306" s="273"/>
      <c r="L306" s="273"/>
      <c r="M306" s="273"/>
      <c r="N306" s="274"/>
    </row>
    <row r="307" spans="2:16" ht="16.25" customHeight="1" x14ac:dyDescent="0.25">
      <c r="B307" s="10" t="s">
        <v>137</v>
      </c>
      <c r="C307" s="10" t="s">
        <v>314</v>
      </c>
      <c r="D307" s="10" t="s">
        <v>303</v>
      </c>
      <c r="E307" s="10" t="s">
        <v>315</v>
      </c>
      <c r="F307" s="10" t="s">
        <v>316</v>
      </c>
      <c r="G307" s="10" t="s">
        <v>317</v>
      </c>
      <c r="I307" s="11" t="s">
        <v>137</v>
      </c>
      <c r="J307" s="11" t="s">
        <v>314</v>
      </c>
      <c r="K307" s="11" t="s">
        <v>303</v>
      </c>
      <c r="L307" s="11" t="s">
        <v>318</v>
      </c>
      <c r="M307" s="11" t="s">
        <v>316</v>
      </c>
      <c r="N307" s="11" t="s">
        <v>317</v>
      </c>
    </row>
    <row r="308" spans="2:16" x14ac:dyDescent="0.25">
      <c r="B308" s="22">
        <v>1</v>
      </c>
      <c r="C308" s="141" t="s">
        <v>319</v>
      </c>
      <c r="D308" s="37" t="s">
        <v>320</v>
      </c>
      <c r="E308" s="38">
        <v>-0.30940000000000001</v>
      </c>
      <c r="F308" s="38">
        <v>-0.26319999999999999</v>
      </c>
      <c r="G308" s="198">
        <f t="shared" ref="G308:G317" si="59">IFERROR((E308+1)/(F308+1)-1,"-")</f>
        <v>-6.2703583061889279E-2</v>
      </c>
      <c r="I308" s="142">
        <v>1</v>
      </c>
      <c r="J308" s="141" t="s">
        <v>319</v>
      </c>
      <c r="K308" s="37" t="s">
        <v>320</v>
      </c>
      <c r="L308" s="38">
        <v>7.3700000000000002E-2</v>
      </c>
      <c r="M308" s="38">
        <v>0.16</v>
      </c>
      <c r="N308" s="23">
        <f t="shared" ref="N308:N317" si="60">IFERROR((L308+1)/(M308+1)-1,"-")</f>
        <v>-7.4396551724137727E-2</v>
      </c>
    </row>
    <row r="309" spans="2:16" x14ac:dyDescent="0.25">
      <c r="B309" s="22">
        <v>2</v>
      </c>
      <c r="C309" s="141" t="s">
        <v>321</v>
      </c>
      <c r="D309" s="37" t="s">
        <v>322</v>
      </c>
      <c r="E309" s="38">
        <v>-6.93E-2</v>
      </c>
      <c r="F309" s="38">
        <v>-4.5699999999999998E-2</v>
      </c>
      <c r="G309" s="198">
        <f t="shared" si="59"/>
        <v>-2.4730168710049294E-2</v>
      </c>
      <c r="I309" s="142">
        <v>2</v>
      </c>
      <c r="J309" s="141" t="s">
        <v>321</v>
      </c>
      <c r="K309" s="37" t="s">
        <v>322</v>
      </c>
      <c r="L309" s="38">
        <v>-0.16520000000000001</v>
      </c>
      <c r="M309" s="38">
        <v>-0.14510000000000001</v>
      </c>
      <c r="N309" s="23">
        <f t="shared" si="60"/>
        <v>-2.3511521815417047E-2</v>
      </c>
    </row>
    <row r="310" spans="2:16" x14ac:dyDescent="0.25">
      <c r="B310" s="22">
        <v>3</v>
      </c>
      <c r="C310" s="141" t="s">
        <v>327</v>
      </c>
      <c r="D310" s="37" t="s">
        <v>320</v>
      </c>
      <c r="E310" s="38" t="s">
        <v>132</v>
      </c>
      <c r="F310" s="38" t="s">
        <v>132</v>
      </c>
      <c r="G310" s="198" t="str">
        <f t="shared" si="59"/>
        <v>-</v>
      </c>
      <c r="I310" s="142">
        <v>3</v>
      </c>
      <c r="J310" s="141" t="s">
        <v>324</v>
      </c>
      <c r="K310" s="37" t="s">
        <v>320</v>
      </c>
      <c r="L310" s="38">
        <v>0.36109999999999998</v>
      </c>
      <c r="M310" s="38">
        <v>0.54049999999999998</v>
      </c>
      <c r="N310" s="23">
        <f t="shared" si="60"/>
        <v>-0.1164556962025316</v>
      </c>
    </row>
    <row r="311" spans="2:16" x14ac:dyDescent="0.25">
      <c r="B311" s="22">
        <v>4</v>
      </c>
      <c r="C311" s="141" t="s">
        <v>323</v>
      </c>
      <c r="D311" s="37" t="s">
        <v>320</v>
      </c>
      <c r="E311" s="38" t="s">
        <v>10826</v>
      </c>
      <c r="F311" s="38" t="s">
        <v>10826</v>
      </c>
      <c r="G311" s="198" t="str">
        <f t="shared" si="59"/>
        <v>-</v>
      </c>
      <c r="I311" s="142">
        <v>4</v>
      </c>
      <c r="J311" s="141" t="s">
        <v>10825</v>
      </c>
      <c r="K311" s="37" t="s">
        <v>320</v>
      </c>
      <c r="L311" s="38" t="s">
        <v>10826</v>
      </c>
      <c r="M311" s="38" t="s">
        <v>10826</v>
      </c>
      <c r="N311" s="23" t="str">
        <f t="shared" si="60"/>
        <v>-</v>
      </c>
    </row>
    <row r="312" spans="2:16" x14ac:dyDescent="0.25">
      <c r="B312" s="22">
        <v>5</v>
      </c>
      <c r="C312" s="141" t="s">
        <v>10830</v>
      </c>
      <c r="D312" s="37" t="s">
        <v>320</v>
      </c>
      <c r="E312" s="38">
        <v>-4.3099999999999999E-2</v>
      </c>
      <c r="F312" s="38">
        <v>2.12E-2</v>
      </c>
      <c r="G312" s="198">
        <f t="shared" si="59"/>
        <v>-6.2965139052095664E-2</v>
      </c>
      <c r="I312" s="142">
        <v>5</v>
      </c>
      <c r="J312" s="141" t="s">
        <v>10827</v>
      </c>
      <c r="K312" s="37" t="s">
        <v>320</v>
      </c>
      <c r="L312" s="38" t="s">
        <v>10826</v>
      </c>
      <c r="M312" s="38" t="s">
        <v>10826</v>
      </c>
      <c r="N312" s="23" t="str">
        <f t="shared" si="60"/>
        <v>-</v>
      </c>
    </row>
    <row r="313" spans="2:16" x14ac:dyDescent="0.25">
      <c r="B313" s="22">
        <v>6</v>
      </c>
      <c r="C313" s="141" t="s">
        <v>10831</v>
      </c>
      <c r="D313" s="37" t="s">
        <v>10832</v>
      </c>
      <c r="E313" s="38" t="s">
        <v>132</v>
      </c>
      <c r="F313" s="38" t="s">
        <v>132</v>
      </c>
      <c r="G313" s="198" t="str">
        <f t="shared" si="59"/>
        <v>-</v>
      </c>
      <c r="I313" s="142">
        <v>6</v>
      </c>
      <c r="J313" s="141" t="s">
        <v>327</v>
      </c>
      <c r="K313" s="37" t="s">
        <v>10828</v>
      </c>
      <c r="L313" s="38" t="s">
        <v>132</v>
      </c>
      <c r="M313" s="38" t="s">
        <v>132</v>
      </c>
      <c r="N313" s="23" t="str">
        <f t="shared" si="60"/>
        <v>-</v>
      </c>
    </row>
    <row r="314" spans="2:16" x14ac:dyDescent="0.25">
      <c r="B314" s="22">
        <v>7</v>
      </c>
      <c r="C314" s="141" t="s">
        <v>329</v>
      </c>
      <c r="D314" s="37" t="s">
        <v>322</v>
      </c>
      <c r="E314" s="38" t="s">
        <v>132</v>
      </c>
      <c r="F314" s="38" t="s">
        <v>132</v>
      </c>
      <c r="G314" s="198" t="str">
        <f t="shared" si="59"/>
        <v>-</v>
      </c>
      <c r="I314" s="142">
        <v>7</v>
      </c>
      <c r="J314" s="141" t="s">
        <v>330</v>
      </c>
      <c r="K314" s="37" t="s">
        <v>322</v>
      </c>
      <c r="L314" s="38" t="s">
        <v>132</v>
      </c>
      <c r="M314" s="38" t="s">
        <v>132</v>
      </c>
      <c r="N314" s="23" t="str">
        <f t="shared" si="60"/>
        <v>-</v>
      </c>
    </row>
    <row r="315" spans="2:16" x14ac:dyDescent="0.25">
      <c r="B315" s="22">
        <v>8</v>
      </c>
      <c r="C315" s="141" t="s">
        <v>326</v>
      </c>
      <c r="D315" s="37" t="s">
        <v>322</v>
      </c>
      <c r="E315" s="38">
        <v>-8.3199999999999996E-2</v>
      </c>
      <c r="F315" s="38">
        <v>-9.1499999999999998E-2</v>
      </c>
      <c r="G315" s="198">
        <f t="shared" si="59"/>
        <v>9.1359383599340926E-3</v>
      </c>
      <c r="I315" s="142">
        <v>8</v>
      </c>
      <c r="J315" s="141" t="s">
        <v>329</v>
      </c>
      <c r="K315" s="37" t="s">
        <v>322</v>
      </c>
      <c r="L315" s="38" t="s">
        <v>132</v>
      </c>
      <c r="M315" s="38" t="s">
        <v>132</v>
      </c>
      <c r="N315" s="23" t="str">
        <f t="shared" si="60"/>
        <v>-</v>
      </c>
    </row>
    <row r="316" spans="2:16" x14ac:dyDescent="0.25">
      <c r="B316" s="22">
        <v>9</v>
      </c>
      <c r="C316" s="141" t="s">
        <v>10829</v>
      </c>
      <c r="D316" s="37" t="s">
        <v>10828</v>
      </c>
      <c r="E316" s="38">
        <v>38.929900000000004</v>
      </c>
      <c r="F316" s="38">
        <v>64.25</v>
      </c>
      <c r="G316" s="198">
        <f t="shared" si="59"/>
        <v>-0.38804750957854406</v>
      </c>
      <c r="I316" s="142">
        <v>9</v>
      </c>
      <c r="J316" s="141" t="s">
        <v>10829</v>
      </c>
      <c r="K316" s="37" t="s">
        <v>320</v>
      </c>
      <c r="L316" s="38" t="s">
        <v>10826</v>
      </c>
      <c r="M316" s="38" t="s">
        <v>10826</v>
      </c>
      <c r="N316" s="23" t="str">
        <f t="shared" si="60"/>
        <v>-</v>
      </c>
    </row>
    <row r="317" spans="2:16" x14ac:dyDescent="0.25">
      <c r="B317" s="22">
        <v>10</v>
      </c>
      <c r="C317" s="141" t="s">
        <v>325</v>
      </c>
      <c r="D317" s="37" t="s">
        <v>320</v>
      </c>
      <c r="E317" s="38">
        <v>-0.14230000000000001</v>
      </c>
      <c r="F317" s="38">
        <v>-0.1867</v>
      </c>
      <c r="G317" s="198">
        <f t="shared" si="59"/>
        <v>5.4592401327923312E-2</v>
      </c>
      <c r="I317" s="142">
        <v>10</v>
      </c>
      <c r="J317" s="141" t="s">
        <v>328</v>
      </c>
      <c r="K317" s="37" t="s">
        <v>320</v>
      </c>
      <c r="L317" s="38">
        <v>-0.33689999999999998</v>
      </c>
      <c r="M317" s="38">
        <v>-0.23680000000000001</v>
      </c>
      <c r="N317" s="23">
        <f t="shared" si="60"/>
        <v>-0.13115828092243187</v>
      </c>
    </row>
    <row r="318" spans="2:16" x14ac:dyDescent="0.25">
      <c r="B318" s="2" t="s">
        <v>196</v>
      </c>
      <c r="C318" s="144"/>
      <c r="E318" s="117"/>
      <c r="F318" s="117"/>
      <c r="G318" s="38"/>
    </row>
    <row r="320" spans="2:16" s="5" customFormat="1" ht="23.5" customHeight="1" x14ac:dyDescent="0.25">
      <c r="B320" s="270" t="s">
        <v>331</v>
      </c>
      <c r="C320" s="271"/>
      <c r="D320" s="271"/>
      <c r="E320" s="271"/>
      <c r="F320" s="271"/>
      <c r="N320" s="6"/>
      <c r="O320" s="6"/>
      <c r="P320" s="6"/>
    </row>
    <row r="322" spans="2:24" ht="16.25" customHeight="1" x14ac:dyDescent="0.25">
      <c r="B322" s="300" t="s">
        <v>10837</v>
      </c>
      <c r="C322" s="301"/>
      <c r="D322" s="301"/>
      <c r="E322" s="301"/>
      <c r="F322" s="301"/>
      <c r="G322" s="301"/>
      <c r="H322" s="301"/>
      <c r="I322" s="301"/>
      <c r="J322" s="301"/>
      <c r="K322" s="301"/>
      <c r="Q322" s="299" t="s">
        <v>10854</v>
      </c>
      <c r="R322" s="273"/>
      <c r="S322" s="273"/>
      <c r="T322" s="273"/>
      <c r="U322" s="273"/>
      <c r="V322" s="274"/>
    </row>
    <row r="323" spans="2:24" ht="16.25" customHeight="1" x14ac:dyDescent="0.25">
      <c r="B323" s="10" t="s">
        <v>137</v>
      </c>
      <c r="C323" s="10" t="s">
        <v>332</v>
      </c>
      <c r="D323" s="10" t="s">
        <v>333</v>
      </c>
      <c r="E323" s="10" t="s">
        <v>334</v>
      </c>
      <c r="F323" s="10" t="s">
        <v>335</v>
      </c>
      <c r="G323" s="10" t="s">
        <v>22</v>
      </c>
      <c r="H323" s="10" t="s">
        <v>336</v>
      </c>
      <c r="I323" s="10" t="s">
        <v>337</v>
      </c>
      <c r="J323" s="10" t="s">
        <v>338</v>
      </c>
      <c r="K323" s="10" t="s">
        <v>339</v>
      </c>
      <c r="L323" s="10" t="s">
        <v>340</v>
      </c>
      <c r="N323" s="10" t="s">
        <v>341</v>
      </c>
      <c r="O323" s="4"/>
      <c r="R323" s="11" t="s">
        <v>137</v>
      </c>
      <c r="S323" s="11" t="s">
        <v>332</v>
      </c>
      <c r="T323" s="11" t="s">
        <v>333</v>
      </c>
      <c r="U323" s="11" t="s">
        <v>334</v>
      </c>
      <c r="V323" s="11" t="s">
        <v>335</v>
      </c>
      <c r="W323" s="11" t="s">
        <v>22</v>
      </c>
      <c r="X323" s="11" t="s">
        <v>336</v>
      </c>
    </row>
    <row r="324" spans="2:24" ht="31.25" customHeight="1" x14ac:dyDescent="0.25">
      <c r="B324" s="22">
        <v>1</v>
      </c>
      <c r="C324" s="143" t="str">
        <f>IFERROR(VLOOKUP("咖啡机-"&amp;B324,dat_nespresso_shop_ct_rk_item!$C:$T,5,0),"")</f>
        <v>NESPRESSO 进口全自动家用小型雀巢胶囊咖啡机组合含胶囊咖啡50颗</v>
      </c>
      <c r="D324" s="237"/>
      <c r="E324" s="197" t="str">
        <f>IFERROR(VLOOKUP("咖啡机-"&amp;B324,dat_nespresso_shop_ct_rk_item!$C:$T,18,0),"")</f>
        <v>Essenza Mini+温和淡雅5条组合</v>
      </c>
      <c r="F324" s="16">
        <f>IFERROR(VLOOKUP("咖啡机-"&amp;B324,dat_nespresso_shop_ct_rk_item!$C:$T,8,0),"")</f>
        <v>1156627</v>
      </c>
      <c r="G324" s="16">
        <f>IFERROR(VLOOKUP("咖啡机-"&amp;B324,dat_nespresso_shop_ct_rk_item!$C:$T,14,0),"")</f>
        <v>1132</v>
      </c>
      <c r="H324" s="196">
        <f t="shared" ref="H324:H333" si="61">F324/$R$87</f>
        <v>7.5865655725414455E-2</v>
      </c>
      <c r="I324" s="37">
        <f>IFERROR(VLOOKUP("咖啡机-"&amp;B324,dat_nespresso_shop_ct_rk_item!$C:$T,10,0),"")</f>
        <v>-0.63794802045751742</v>
      </c>
      <c r="J324" s="196">
        <f t="shared" ref="J324:J333" si="62">H324-N324/$AF$87</f>
        <v>-8.2822306076347135E-2</v>
      </c>
      <c r="K324" s="16">
        <f>IFERROR(VLOOKUP("咖啡机-"&amp;B324,dat_nespresso_shop_ct_rk_item!$C:$T,7,0),"")</f>
        <v>1</v>
      </c>
      <c r="L324" s="38">
        <f>IFERROR(VLOOKUP("咖啡机-"&amp;B324,dat_nespresso_shop_ct_rk_item!$C:$T,16,0),"")</f>
        <v>0.21616873362949379</v>
      </c>
      <c r="N324" s="145">
        <f>IFERROR(VLOOKUP("咖啡机-"&amp;B324,dat_nespresso_shop_ct_rk_item!$C:$T,9,0),"")</f>
        <v>3194644</v>
      </c>
      <c r="O324" s="4"/>
      <c r="R324" s="142">
        <v>1</v>
      </c>
      <c r="S324" s="189" t="str">
        <f>IFERROR(VLOOKUP("咖啡机-"&amp;R324,dat_nespresso_shop_ct_rk_item!$E:$T,3,0),"")</f>
        <v>NESPRESSO 进口全自动家用小型雀巢胶囊咖啡机组合含胶囊咖啡50颗</v>
      </c>
      <c r="T324" s="238"/>
      <c r="U324" s="175" t="str">
        <f>IFERROR(VLOOKUP("咖啡机-"&amp;R324,dat_nespresso_shop_ct_rk_item!$E:$T,16,0),"")</f>
        <v>Essenza Mini+温和淡雅5条组合</v>
      </c>
      <c r="V324" s="16">
        <f>IFERROR(VLOOKUP("咖啡机-"&amp;B324,dat_nespresso_shop_ct_rk_item!$E:$T,7,0),"")</f>
        <v>3194644</v>
      </c>
      <c r="W324" s="16">
        <f>IFERROR(VLOOKUP("咖啡机-"&amp;B324,dat_nespresso_shop_ct_rk_item!$E:$T,13,0),"")</f>
        <v>931</v>
      </c>
      <c r="X324" s="196">
        <f t="shared" ref="X324:X333" si="63">V324/$AF$87</f>
        <v>0.15868796180176159</v>
      </c>
    </row>
    <row r="325" spans="2:24" ht="31.25" customHeight="1" x14ac:dyDescent="0.25">
      <c r="B325" s="22">
        <v>2</v>
      </c>
      <c r="C325" s="143" t="str">
        <f>IFERROR(VLOOKUP("咖啡机-"&amp;B325,dat_nespresso_shop_ct_rk_item!$C:$T,5,0),"")</f>
        <v>NESPRESSO Essenza Mini 进口家用商用小型雀巢胶囊咖啡机</v>
      </c>
      <c r="D325" s="237"/>
      <c r="E325" s="197" t="s">
        <v>1340</v>
      </c>
      <c r="F325" s="16">
        <f>IFERROR(VLOOKUP("咖啡机-"&amp;B325,dat_nespresso_shop_ct_rk_item!$C:$T,8,0),"")</f>
        <v>434946</v>
      </c>
      <c r="G325" s="16">
        <f>IFERROR(VLOOKUP("咖啡机-"&amp;B325,dat_nespresso_shop_ct_rk_item!$C:$T,14,0),"")</f>
        <v>937</v>
      </c>
      <c r="H325" s="196">
        <f t="shared" si="61"/>
        <v>2.8529044795898864E-2</v>
      </c>
      <c r="I325" s="37">
        <f>IFERROR(VLOOKUP("咖啡机-"&amp;B325,dat_nespresso_shop_ct_rk_item!$C:$T,10,0),"")</f>
        <v>-0.43473918129822342</v>
      </c>
      <c r="J325" s="196">
        <f t="shared" si="62"/>
        <v>-9.6924406303281196E-3</v>
      </c>
      <c r="K325" s="16">
        <f>IFERROR(VLOOKUP("咖啡机-"&amp;B325,dat_nespresso_shop_ct_rk_item!$C:$T,7,0),"")</f>
        <v>2</v>
      </c>
      <c r="L325" s="38">
        <f>IFERROR(VLOOKUP("咖啡机-"&amp;B325,dat_nespresso_shop_ct_rk_item!$C:$T,16,0),"")</f>
        <v>0.1512316242956441</v>
      </c>
      <c r="N325" s="145">
        <f>IFERROR(VLOOKUP("咖啡机-"&amp;B325,dat_nespresso_shop_ct_rk_item!$C:$T,9,0),"")</f>
        <v>769460</v>
      </c>
      <c r="O325" s="4"/>
      <c r="R325" s="142">
        <v>2</v>
      </c>
      <c r="S325" s="189" t="str">
        <f>IFERROR(VLOOKUP("咖啡机-"&amp;R325,dat_nespresso_shop_ct_rk_item!$E:$T,3,0),"")</f>
        <v>NESPRESSO Essenza Mini 进口家用商用小型雀巢胶囊咖啡机</v>
      </c>
      <c r="T325" s="238"/>
      <c r="U325" s="175" t="str">
        <f>IFERROR(VLOOKUP("咖啡机-"&amp;R325,dat_nespresso_shop_ct_rk_item!$E:$T,16,0),"")</f>
        <v>Inissia套装</v>
      </c>
      <c r="V325" s="16">
        <f>IFERROR(VLOOKUP("咖啡机-"&amp;B325,dat_nespresso_shop_ct_rk_item!$E:$T,7,0),"")</f>
        <v>769460</v>
      </c>
      <c r="W325" s="16">
        <f>IFERROR(VLOOKUP("咖啡机-"&amp;B325,dat_nespresso_shop_ct_rk_item!$E:$T,13,0),"")</f>
        <v>814</v>
      </c>
      <c r="X325" s="196">
        <f t="shared" si="63"/>
        <v>3.8221485426226984E-2</v>
      </c>
    </row>
    <row r="326" spans="2:24" ht="31.25" customHeight="1" x14ac:dyDescent="0.25">
      <c r="B326" s="22">
        <v>3</v>
      </c>
      <c r="C326" s="143" t="str">
        <f>IFERROR(VLOOKUP("咖啡机-"&amp;B326,dat_nespresso_shop_ct_rk_item!$C:$T,5,0),"")</f>
        <v>NESPRESSO Inissia 全自动雀巢家用进口咖啡机 含黑咖啡胶囊50颗</v>
      </c>
      <c r="D326" s="237"/>
      <c r="E326" s="197" t="s">
        <v>1303</v>
      </c>
      <c r="F326" s="16">
        <f>IFERROR(VLOOKUP("咖啡机-"&amp;B326,dat_nespresso_shop_ct_rk_item!$C:$T,8,0),"")</f>
        <v>419360</v>
      </c>
      <c r="G326" s="16">
        <f>IFERROR(VLOOKUP("咖啡机-"&amp;B326,dat_nespresso_shop_ct_rk_item!$C:$T,14,0),"")</f>
        <v>1171</v>
      </c>
      <c r="H326" s="196">
        <f t="shared" si="61"/>
        <v>2.750672549145905E-2</v>
      </c>
      <c r="I326" s="37">
        <f>IFERROR(VLOOKUP("咖啡机-"&amp;B326,dat_nespresso_shop_ct_rk_item!$C:$T,10,0),"")</f>
        <v>-0.35334498923927882</v>
      </c>
      <c r="J326" s="196">
        <f t="shared" si="62"/>
        <v>-4.7066460279262118E-3</v>
      </c>
      <c r="K326" s="16">
        <f>IFERROR(VLOOKUP("咖啡机-"&amp;B326,dat_nespresso_shop_ct_rk_item!$C:$T,7,0),"")</f>
        <v>3</v>
      </c>
      <c r="L326" s="38">
        <f>IFERROR(VLOOKUP("咖啡机-"&amp;B326,dat_nespresso_shop_ct_rk_item!$C:$T,16,0),"")</f>
        <v>0.29150372260870289</v>
      </c>
      <c r="N326" s="145">
        <f>IFERROR(VLOOKUP("咖啡机-"&amp;B326,dat_nespresso_shop_ct_rk_item!$C:$T,9,0),"")</f>
        <v>648507</v>
      </c>
      <c r="O326" s="4"/>
      <c r="R326" s="142">
        <v>3</v>
      </c>
      <c r="S326" s="189" t="str">
        <f>IFERROR(VLOOKUP("咖啡机-"&amp;R326,dat_nespresso_shop_ct_rk_item!$E:$T,3,0),"")</f>
        <v>NESPRESSO Inissia 全自动雀巢家用进口咖啡机 含黑咖啡胶囊50颗</v>
      </c>
      <c r="T326" s="238"/>
      <c r="U326" s="175" t="str">
        <f>IFERROR(VLOOKUP("咖啡机-"&amp;R326,dat_nespresso_shop_ct_rk_item!$E:$T,16,0),"")</f>
        <v>Creatista Plus J520</v>
      </c>
      <c r="V326" s="16">
        <f>IFERROR(VLOOKUP("咖啡机-"&amp;B326,dat_nespresso_shop_ct_rk_item!$E:$T,7,0),"")</f>
        <v>648507</v>
      </c>
      <c r="W326" s="16">
        <f>IFERROR(VLOOKUP("咖啡机-"&amp;B326,dat_nespresso_shop_ct_rk_item!$E:$T,13,0),"")</f>
        <v>907</v>
      </c>
      <c r="X326" s="196">
        <f t="shared" si="63"/>
        <v>3.2213371519385262E-2</v>
      </c>
    </row>
    <row r="327" spans="2:24" ht="31.25" customHeight="1" x14ac:dyDescent="0.25">
      <c r="B327" s="22">
        <v>4</v>
      </c>
      <c r="C327" s="143" t="str">
        <f>IFERROR(VLOOKUP("咖啡机-"&amp;B327,dat_nespresso_shop_ct_rk_item!$C:$T,5,0),"")</f>
        <v>NESPRESSO  Pixie进口家用小型雀巢胶囊咖啡机 含黑咖啡胶囊50颗</v>
      </c>
      <c r="D327" s="237"/>
      <c r="E327" s="197" t="str">
        <f>IFERROR(VLOOKUP("咖啡机-"&amp;B327,dat_nespresso_shop_ct_rk_item!$C:$T,18,0),"")</f>
        <v>Pixie+MO</v>
      </c>
      <c r="F327" s="16">
        <f>IFERROR(VLOOKUP("咖啡机-"&amp;B327,dat_nespresso_shop_ct_rk_item!$C:$T,8,0),"")</f>
        <v>273554</v>
      </c>
      <c r="G327" s="16">
        <f>IFERROR(VLOOKUP("咖啡机-"&amp;B327,dat_nespresso_shop_ct_rk_item!$C:$T,14,0),"")</f>
        <v>1537</v>
      </c>
      <c r="H327" s="196">
        <f t="shared" si="61"/>
        <v>1.7942995958342686E-2</v>
      </c>
      <c r="I327" s="37">
        <f>IFERROR(VLOOKUP("咖啡机-"&amp;B327,dat_nespresso_shop_ct_rk_item!$C:$T,10,0),"")</f>
        <v>0.92899258072291091</v>
      </c>
      <c r="J327" s="196">
        <f t="shared" si="62"/>
        <v>1.0898750264915996E-2</v>
      </c>
      <c r="K327" s="16">
        <f>IFERROR(VLOOKUP("咖啡机-"&amp;B327,dat_nespresso_shop_ct_rk_item!$C:$T,7,0),"")</f>
        <v>15</v>
      </c>
      <c r="L327" s="38">
        <f>IFERROR(VLOOKUP("咖啡机-"&amp;B327,dat_nespresso_shop_ct_rk_item!$C:$T,16,0),"")</f>
        <v>0.1053777709760501</v>
      </c>
      <c r="N327" s="145">
        <f>IFERROR(VLOOKUP("咖啡机-"&amp;B327,dat_nespresso_shop_ct_rk_item!$C:$T,9,0),"")</f>
        <v>141812</v>
      </c>
      <c r="O327" s="4"/>
      <c r="R327" s="142">
        <v>4</v>
      </c>
      <c r="S327" s="189" t="str">
        <f>IFERROR(VLOOKUP("咖啡机-"&amp;R327,dat_nespresso_shop_ct_rk_item!$E:$T,3,0),"")</f>
        <v>NESPRESSO Citiz 小型家用商用智能全自动意式雀巢胶囊咖啡机</v>
      </c>
      <c r="T327" s="238"/>
      <c r="U327" s="175" t="str">
        <f>IFERROR(VLOOKUP("咖啡机-"&amp;R327,dat_nespresso_shop_ct_rk_item!$E:$T,16,0),"")</f>
        <v>Creatista pro</v>
      </c>
      <c r="V327" s="16">
        <f>IFERROR(VLOOKUP("咖啡机-"&amp;B327,dat_nespresso_shop_ct_rk_item!$E:$T,7,0),"")</f>
        <v>533512</v>
      </c>
      <c r="W327" s="16">
        <f>IFERROR(VLOOKUP("咖啡机-"&amp;B327,dat_nespresso_shop_ct_rk_item!$E:$T,13,0),"")</f>
        <v>1899</v>
      </c>
      <c r="X327" s="196">
        <f t="shared" si="63"/>
        <v>2.6501210111919023E-2</v>
      </c>
    </row>
    <row r="328" spans="2:24" ht="31.25" customHeight="1" x14ac:dyDescent="0.25">
      <c r="B328" s="22">
        <v>5</v>
      </c>
      <c r="C328" s="143" t="str">
        <f>IFERROR(VLOOKUP("咖啡机-"&amp;B328,dat_nespresso_shop_ct_rk_item!$C:$T,5,0),"")</f>
        <v>1月 新品胶囊咖啡 测试链接 请勿下单！测试 付款后不发货！</v>
      </c>
      <c r="D328" s="237"/>
      <c r="E328" s="197"/>
      <c r="F328" s="16">
        <f>IFERROR(VLOOKUP("咖啡机-"&amp;B328,dat_nespresso_shop_ct_rk_item!$C:$T,8,0),"")</f>
        <v>235129</v>
      </c>
      <c r="G328" s="16">
        <f>IFERROR(VLOOKUP("咖啡机-"&amp;B328,dat_nespresso_shop_ct_rk_item!$C:$T,14,0),"")</f>
        <v>117565</v>
      </c>
      <c r="H328" s="196">
        <f t="shared" si="61"/>
        <v>1.5422617460132761E-2</v>
      </c>
      <c r="I328" s="37">
        <f>IFERROR(VLOOKUP("咖啡机-"&amp;B328,dat_nespresso_shop_ct_rk_item!$C:$T,10,0),"")</f>
        <v>0</v>
      </c>
      <c r="J328" s="196">
        <f t="shared" si="62"/>
        <v>1.5422617460132761E-2</v>
      </c>
      <c r="K328" s="16">
        <f>IFERROR(VLOOKUP("咖啡机-"&amp;B328,dat_nespresso_shop_ct_rk_item!$C:$T,7,0),"")</f>
        <v>0</v>
      </c>
      <c r="L328" s="38">
        <f>IFERROR(VLOOKUP("咖啡机-"&amp;B328,dat_nespresso_shop_ct_rk_item!$C:$T,16,0),"")</f>
        <v>0</v>
      </c>
      <c r="N328" s="145">
        <f>IFERROR(VLOOKUP("咖啡机-"&amp;B328,dat_nespresso_shop_ct_rk_item!$C:$T,9,0),"")</f>
        <v>0</v>
      </c>
      <c r="O328" s="4"/>
      <c r="R328" s="142">
        <v>5</v>
      </c>
      <c r="S328" s="189" t="str">
        <f>IFERROR(VLOOKUP("咖啡机-"&amp;R328,dat_nespresso_shop_ct_rk_item!$E:$T,3,0),"")</f>
        <v>NESPRESSO Lattissima家用雀巢咖啡机奶泡一体含黑咖啡胶囊100颗</v>
      </c>
      <c r="T328" s="238"/>
      <c r="U328" s="175" t="str">
        <f>IFERROR(VLOOKUP("咖啡机-"&amp;R328,dat_nespresso_shop_ct_rk_item!$E:$T,16,0),"")</f>
        <v>Lattissima One套装</v>
      </c>
      <c r="V328" s="16">
        <f>IFERROR(VLOOKUP("咖啡机-"&amp;B328,dat_nespresso_shop_ct_rk_item!$E:$T,7,0),"")</f>
        <v>387837</v>
      </c>
      <c r="W328" s="16">
        <f>IFERROR(VLOOKUP("咖啡机-"&amp;B328,dat_nespresso_shop_ct_rk_item!$E:$T,13,0),"")</f>
        <v>2603</v>
      </c>
      <c r="X328" s="196">
        <f t="shared" si="63"/>
        <v>1.9265077123244347E-2</v>
      </c>
    </row>
    <row r="329" spans="2:24" ht="31.25" customHeight="1" x14ac:dyDescent="0.25">
      <c r="B329" s="22">
        <v>6</v>
      </c>
      <c r="C329" s="143" t="str">
        <f>IFERROR(VLOOKUP("咖啡机-"&amp;B329,dat_nespresso_shop_ct_rk_item!$C:$T,5,0),"")</f>
        <v>NESPRESSO Inissia全自动家用小型办公意式咖啡机 雀巢胶囊咖啡机</v>
      </c>
      <c r="D329" s="237"/>
      <c r="E329" s="197" t="s">
        <v>1347</v>
      </c>
      <c r="F329" s="16">
        <f>IFERROR(VLOOKUP("咖啡机-"&amp;B329,dat_nespresso_shop_ct_rk_item!$C:$T,8,0),"")</f>
        <v>184176</v>
      </c>
      <c r="G329" s="16">
        <f>IFERROR(VLOOKUP("咖啡机-"&amp;B329,dat_nespresso_shop_ct_rk_item!$C:$T,14,0),"")</f>
        <v>1077</v>
      </c>
      <c r="H329" s="196">
        <f t="shared" si="61"/>
        <v>1.2080500462883828E-2</v>
      </c>
      <c r="I329" s="37">
        <f>IFERROR(VLOOKUP("咖啡机-"&amp;B329,dat_nespresso_shop_ct_rk_item!$C:$T,10,0),"")</f>
        <v>-0.32271529034596158</v>
      </c>
      <c r="J329" s="196">
        <f t="shared" si="62"/>
        <v>-1.4272623791224924E-3</v>
      </c>
      <c r="K329" s="16">
        <f>IFERROR(VLOOKUP("咖啡机-"&amp;B329,dat_nespresso_shop_ct_rk_item!$C:$T,7,0),"")</f>
        <v>7</v>
      </c>
      <c r="L329" s="38">
        <f>IFERROR(VLOOKUP("咖啡机-"&amp;B329,dat_nespresso_shop_ct_rk_item!$C:$T,16,0),"")</f>
        <v>0.41794108804763591</v>
      </c>
      <c r="N329" s="145">
        <f>IFERROR(VLOOKUP("咖啡机-"&amp;B329,dat_nespresso_shop_ct_rk_item!$C:$T,9,0),"")</f>
        <v>271933</v>
      </c>
      <c r="O329" s="4"/>
      <c r="R329" s="142">
        <v>6</v>
      </c>
      <c r="S329" s="189" t="str">
        <f>IFERROR(VLOOKUP("咖啡机-"&amp;R329,dat_nespresso_shop_ct_rk_item!$E:$T,3,0),"")</f>
        <v>NESPRESSO Creatista Plus J520 奶泡一体家用商用雀巢胶囊咖啡机</v>
      </c>
      <c r="T329" s="238"/>
      <c r="U329" s="175" t="str">
        <f>IFERROR(VLOOKUP("咖啡机-"&amp;R329,dat_nespresso_shop_ct_rk_item!$E:$T,16,0),"")</f>
        <v>Creatista Plus J520</v>
      </c>
      <c r="V329" s="16">
        <f>IFERROR(VLOOKUP("咖啡机-"&amp;B329,dat_nespresso_shop_ct_rk_item!$E:$T,7,0),"")</f>
        <v>360607</v>
      </c>
      <c r="W329" s="16">
        <f>IFERROR(VLOOKUP("咖啡机-"&amp;B329,dat_nespresso_shop_ct_rk_item!$E:$T,13,0),"")</f>
        <v>4145</v>
      </c>
      <c r="X329" s="196">
        <f t="shared" si="63"/>
        <v>1.7912477835229167E-2</v>
      </c>
    </row>
    <row r="330" spans="2:24" ht="31.25" customHeight="1" x14ac:dyDescent="0.25">
      <c r="B330" s="22">
        <v>7</v>
      </c>
      <c r="C330" s="143" t="str">
        <f>IFERROR(VLOOKUP("咖啡机-"&amp;B330,dat_nespresso_shop_ct_rk_item!$C:$T,5,0),"")</f>
        <v>NESPRESSO Vertuo Pop全自动家用商用进口咖啡机 雀巢胶囊咖啡机</v>
      </c>
      <c r="D330" s="237"/>
      <c r="E330" s="197" t="s">
        <v>10835</v>
      </c>
      <c r="F330" s="16">
        <f>IFERROR(VLOOKUP("咖啡机-"&amp;B330,dat_nespresso_shop_ct_rk_item!$C:$T,8,0),"")</f>
        <v>171815</v>
      </c>
      <c r="G330" s="16">
        <f>IFERROR(VLOOKUP("咖啡机-"&amp;B330,dat_nespresso_shop_ct_rk_item!$C:$T,14,0),"")</f>
        <v>1219</v>
      </c>
      <c r="H330" s="196">
        <f t="shared" si="61"/>
        <v>1.1269715853479198E-2</v>
      </c>
      <c r="I330" s="37">
        <f>IFERROR(VLOOKUP("咖啡机-"&amp;B330,dat_nespresso_shop_ct_rk_item!$C:$T,10,0),"")</f>
        <v>0</v>
      </c>
      <c r="J330" s="196">
        <f t="shared" si="62"/>
        <v>1.1269715853479198E-2</v>
      </c>
      <c r="K330" s="16">
        <f>IFERROR(VLOOKUP("咖啡机-"&amp;B330,dat_nespresso_shop_ct_rk_item!$C:$T,7,0),"")</f>
        <v>0</v>
      </c>
      <c r="L330" s="38">
        <f>IFERROR(VLOOKUP("咖啡机-"&amp;B330,dat_nespresso_shop_ct_rk_item!$C:$T,16,0),"")</f>
        <v>0</v>
      </c>
      <c r="N330" s="145">
        <f>IFERROR(VLOOKUP("咖啡机-"&amp;B330,dat_nespresso_shop_ct_rk_item!$C:$T,9,0),"")</f>
        <v>0</v>
      </c>
      <c r="O330" s="4"/>
      <c r="R330" s="142">
        <v>7</v>
      </c>
      <c r="S330" s="189" t="str">
        <f>IFERROR(VLOOKUP("咖啡机-"&amp;R330,dat_nespresso_shop_ct_rk_item!$E:$T,3,0),"")</f>
        <v>NESPRESSO Inissia全自动家用小型办公意式咖啡机 雀巢胶囊咖啡机</v>
      </c>
      <c r="T330" s="238"/>
      <c r="U330" s="175" t="str">
        <f>IFERROR(VLOOKUP("咖啡机-"&amp;R330,dat_nespresso_shop_ct_rk_item!$E:$T,16,0),"")</f>
        <v>Citiz+温和淡雅5条</v>
      </c>
      <c r="V330" s="16">
        <f>IFERROR(VLOOKUP("咖啡机-"&amp;B330,dat_nespresso_shop_ct_rk_item!$E:$T,7,0),"")</f>
        <v>271933</v>
      </c>
      <c r="W330" s="16">
        <f>IFERROR(VLOOKUP("咖啡机-"&amp;B330,dat_nespresso_shop_ct_rk_item!$E:$T,13,0),"")</f>
        <v>760</v>
      </c>
      <c r="X330" s="196">
        <f t="shared" si="63"/>
        <v>1.350776284200632E-2</v>
      </c>
    </row>
    <row r="331" spans="2:24" ht="31.25" customHeight="1" x14ac:dyDescent="0.25">
      <c r="B331" s="22">
        <v>8</v>
      </c>
      <c r="C331" s="143" t="str">
        <f>IFERROR(VLOOKUP("咖啡机-"&amp;B331,dat_nespresso_shop_ct_rk_item!$C:$T,5,0),"")</f>
        <v>NESPRESSO Lattissima One 进口全自动家用商用雀巢胶囊咖啡机</v>
      </c>
      <c r="D331" s="237"/>
      <c r="E331" s="197" t="s">
        <v>1353</v>
      </c>
      <c r="F331" s="16">
        <f>IFERROR(VLOOKUP("咖啡机-"&amp;B331,dat_nespresso_shop_ct_rk_item!$C:$T,8,0),"")</f>
        <v>152942</v>
      </c>
      <c r="G331" s="16">
        <f>IFERROR(VLOOKUP("咖啡机-"&amp;B331,dat_nespresso_shop_ct_rk_item!$C:$T,14,0),"")</f>
        <v>3399</v>
      </c>
      <c r="H331" s="196">
        <f t="shared" si="61"/>
        <v>1.0031795140487243E-2</v>
      </c>
      <c r="I331" s="37">
        <f>IFERROR(VLOOKUP("咖啡机-"&amp;B331,dat_nespresso_shop_ct_rk_item!$C:$T,10,0),"")</f>
        <v>-0.39975691510360661</v>
      </c>
      <c r="J331" s="196">
        <f t="shared" si="62"/>
        <v>-2.6249179915828272E-3</v>
      </c>
      <c r="K331" s="16">
        <f>IFERROR(VLOOKUP("咖啡机-"&amp;B331,dat_nespresso_shop_ct_rk_item!$C:$T,7,0),"")</f>
        <v>8</v>
      </c>
      <c r="L331" s="38">
        <f>IFERROR(VLOOKUP("咖啡机-"&amp;B331,dat_nespresso_shop_ct_rk_item!$C:$T,16,0),"")</f>
        <v>0.32053478677206548</v>
      </c>
      <c r="N331" s="145">
        <f>IFERROR(VLOOKUP("咖啡机-"&amp;B331,dat_nespresso_shop_ct_rk_item!$C:$T,9,0),"")</f>
        <v>254800</v>
      </c>
      <c r="O331" s="4"/>
      <c r="R331" s="142">
        <v>8</v>
      </c>
      <c r="S331" s="189" t="str">
        <f>IFERROR(VLOOKUP("咖啡机-"&amp;R331,dat_nespresso_shop_ct_rk_item!$E:$T,3,0),"")</f>
        <v>NESPRESSO Lattissima One 进口全自动家用商用雀巢胶囊咖啡机</v>
      </c>
      <c r="T331" s="238"/>
      <c r="U331" s="175" t="str">
        <f>IFERROR(VLOOKUP("咖啡机-"&amp;R331,dat_nespresso_shop_ct_rk_item!$E:$T,16,0),"")</f>
        <v>Essenza mini</v>
      </c>
      <c r="V331" s="16">
        <f>IFERROR(VLOOKUP("咖啡机-"&amp;B331,dat_nespresso_shop_ct_rk_item!$E:$T,7,0),"")</f>
        <v>254800</v>
      </c>
      <c r="W331" s="16">
        <f>IFERROR(VLOOKUP("咖啡机-"&amp;B331,dat_nespresso_shop_ct_rk_item!$E:$T,13,0),"")</f>
        <v>2574</v>
      </c>
      <c r="X331" s="196">
        <f t="shared" si="63"/>
        <v>1.265671313207007E-2</v>
      </c>
    </row>
    <row r="332" spans="2:24" ht="31.25" customHeight="1" x14ac:dyDescent="0.25">
      <c r="B332" s="22">
        <v>9</v>
      </c>
      <c r="C332" s="143" t="str">
        <f>IFERROR(VLOOKUP("咖啡机-"&amp;B332,dat_nespresso_shop_ct_rk_item!$C:$T,5,0),"")</f>
        <v>NESPRESSO Vertuo Plus全自动家用商用进口咖啡机 雀巢胶囊咖啡机</v>
      </c>
      <c r="D332" s="237"/>
      <c r="E332" s="197" t="s">
        <v>10836</v>
      </c>
      <c r="F332" s="16">
        <f>IFERROR(VLOOKUP("咖啡机-"&amp;B332,dat_nespresso_shop_ct_rk_item!$C:$T,8,0),"")</f>
        <v>139850</v>
      </c>
      <c r="G332" s="16">
        <f>IFERROR(VLOOKUP("咖啡机-"&amp;B332,dat_nespresso_shop_ct_rk_item!$C:$T,14,0),"")</f>
        <v>1665</v>
      </c>
      <c r="H332" s="196">
        <f t="shared" si="61"/>
        <v>9.173062666874638E-3</v>
      </c>
      <c r="I332" s="37">
        <f>IFERROR(VLOOKUP("咖啡机-"&amp;B332,dat_nespresso_shop_ct_rk_item!$C:$T,10,0),"")</f>
        <v>-0.36263452296828652</v>
      </c>
      <c r="J332" s="196">
        <f t="shared" si="62"/>
        <v>-1.7261655070880087E-3</v>
      </c>
      <c r="K332" s="16">
        <f>IFERROR(VLOOKUP("咖啡机-"&amp;B332,dat_nespresso_shop_ct_rk_item!$C:$T,7,0),"")</f>
        <v>11</v>
      </c>
      <c r="L332" s="38">
        <f>IFERROR(VLOOKUP("咖啡机-"&amp;B332,dat_nespresso_shop_ct_rk_item!$C:$T,16,0),"")</f>
        <v>2.43373738009682E-2</v>
      </c>
      <c r="N332" s="145">
        <f>IFERROR(VLOOKUP("咖啡机-"&amp;B332,dat_nespresso_shop_ct_rk_item!$C:$T,9,0),"")</f>
        <v>219419</v>
      </c>
      <c r="O332" s="4"/>
      <c r="R332" s="142">
        <v>9</v>
      </c>
      <c r="S332" s="189" t="str">
        <f>IFERROR(VLOOKUP("咖啡机-"&amp;R332,dat_nespresso_shop_ct_rk_item!$E:$T,3,0),"")</f>
        <v>NESPRESSO Pixie 进口小型家用商用智能全自动意式雀巢胶囊咖啡机</v>
      </c>
      <c r="T332" s="238"/>
      <c r="U332" s="175" t="str">
        <f>IFERROR(VLOOKUP("咖啡机-"&amp;R332,dat_nespresso_shop_ct_rk_item!$E:$T,16,0),"")</f>
        <v>Vertuo Plus+MO</v>
      </c>
      <c r="V332" s="16">
        <f>IFERROR(VLOOKUP("咖啡机-"&amp;B332,dat_nespresso_shop_ct_rk_item!$E:$T,7,0),"")</f>
        <v>245943</v>
      </c>
      <c r="W332" s="16">
        <f>IFERROR(VLOOKUP("咖啡机-"&amp;B332,dat_nespresso_shop_ct_rk_item!$E:$T,13,0),"")</f>
        <v>1171</v>
      </c>
      <c r="X332" s="196">
        <f t="shared" si="63"/>
        <v>1.2216758233283788E-2</v>
      </c>
    </row>
    <row r="333" spans="2:24" ht="31.25" customHeight="1" x14ac:dyDescent="0.25">
      <c r="B333" s="22">
        <v>10</v>
      </c>
      <c r="C333" s="143" t="str">
        <f>IFERROR(VLOOKUP("咖啡机-"&amp;B333,dat_nespresso_shop_ct_rk_item!$C:$T,5,0),"")</f>
        <v>NESPRESSO Citiz 家用商用小型雀巢胶囊咖啡机 含黑咖啡胶囊50颗</v>
      </c>
      <c r="D333" s="237"/>
      <c r="E333" s="197" t="s">
        <v>1329</v>
      </c>
      <c r="F333" s="16">
        <f>IFERROR(VLOOKUP("咖啡机-"&amp;B333,dat_nespresso_shop_ct_rk_item!$C:$T,8,0),"")</f>
        <v>128164</v>
      </c>
      <c r="G333" s="16">
        <f>IFERROR(VLOOKUP("咖啡机-"&amp;B333,dat_nespresso_shop_ct_rk_item!$C:$T,14,0),"")</f>
        <v>2034</v>
      </c>
      <c r="H333" s="196">
        <f t="shared" si="61"/>
        <v>8.4065527610820232E-3</v>
      </c>
      <c r="I333" s="37">
        <f>IFERROR(VLOOKUP("咖啡机-"&amp;B333,dat_nespresso_shop_ct_rk_item!$C:$T,10,0),"")</f>
        <v>0</v>
      </c>
      <c r="J333" s="196">
        <f t="shared" si="62"/>
        <v>8.4065527610820232E-3</v>
      </c>
      <c r="K333" s="16">
        <f>IFERROR(VLOOKUP("咖啡机-"&amp;B333,dat_nespresso_shop_ct_rk_item!$C:$T,7,0),"")</f>
        <v>0</v>
      </c>
      <c r="L333" s="38">
        <f>IFERROR(VLOOKUP("咖啡机-"&amp;B333,dat_nespresso_shop_ct_rk_item!$C:$T,16,0),"")</f>
        <v>0</v>
      </c>
      <c r="N333" s="145">
        <f>IFERROR(VLOOKUP("咖啡机-"&amp;B333,dat_nespresso_shop_ct_rk_item!$C:$T,9,0),"")</f>
        <v>0</v>
      </c>
      <c r="O333" s="39"/>
      <c r="R333" s="142">
        <v>10</v>
      </c>
      <c r="S333" s="189" t="str">
        <f>IFERROR(VLOOKUP("咖啡机-"&amp;R333,dat_nespresso_shop_ct_rk_item!$E:$T,3,0),"")</f>
        <v>NESPRESSO J620 家用商用奶泡一体胶囊咖啡机含黑咖啡胶囊100颗</v>
      </c>
      <c r="T333" s="238"/>
      <c r="U333" s="175" t="str">
        <f>IFERROR(VLOOKUP("咖啡机-"&amp;R333,dat_nespresso_shop_ct_rk_item!$E:$T,16,0),"")</f>
        <v>Pixie C61</v>
      </c>
      <c r="V333" s="16">
        <f>IFERROR(VLOOKUP("咖啡机-"&amp;B333,dat_nespresso_shop_ct_rk_item!$E:$T,7,0),"")</f>
        <v>221710</v>
      </c>
      <c r="W333" s="16">
        <f>IFERROR(VLOOKUP("咖啡机-"&amp;B333,dat_nespresso_shop_ct_rk_item!$E:$T,13,0),"")</f>
        <v>5408</v>
      </c>
      <c r="X333" s="196">
        <f t="shared" si="63"/>
        <v>1.1013029311268662E-2</v>
      </c>
    </row>
    <row r="334" spans="2:24" x14ac:dyDescent="0.25">
      <c r="E334" s="1" t="s">
        <v>342</v>
      </c>
      <c r="F334" s="16">
        <f>SUM(F324:F328)</f>
        <v>2519616</v>
      </c>
      <c r="H334" s="146">
        <f>SUM(H324:H328)</f>
        <v>0.16526703943124785</v>
      </c>
      <c r="U334" s="1" t="s">
        <v>342</v>
      </c>
      <c r="V334" s="16">
        <f>SUM(V324:V328)</f>
        <v>5533960</v>
      </c>
      <c r="W334" s="146"/>
      <c r="X334" s="146">
        <f>SUM(X324:X328)</f>
        <v>0.27488910598253719</v>
      </c>
    </row>
    <row r="335" spans="2:24" x14ac:dyDescent="0.25">
      <c r="F335" s="107"/>
      <c r="G335" s="146"/>
      <c r="U335" s="107"/>
      <c r="V335" s="146"/>
    </row>
    <row r="336" spans="2:24" x14ac:dyDescent="0.25">
      <c r="F336" s="107"/>
      <c r="G336" s="146"/>
      <c r="U336" s="107"/>
      <c r="V336" s="146"/>
    </row>
    <row r="337" spans="2:16" s="43" customFormat="1" ht="16.25" customHeight="1" x14ac:dyDescent="0.25">
      <c r="B337" s="296" t="s">
        <v>343</v>
      </c>
      <c r="C337" s="297"/>
      <c r="D337" s="297"/>
      <c r="E337" s="297"/>
      <c r="F337" s="297"/>
      <c r="M337" s="44"/>
      <c r="N337" s="44"/>
      <c r="O337" s="44"/>
    </row>
    <row r="339" spans="2:16" s="5" customFormat="1" ht="23.5" customHeight="1" x14ac:dyDescent="0.25">
      <c r="B339" s="270" t="s">
        <v>344</v>
      </c>
      <c r="C339" s="271"/>
      <c r="D339" s="271"/>
      <c r="E339" s="271"/>
      <c r="F339" s="271"/>
      <c r="N339" s="6"/>
      <c r="O339" s="6"/>
      <c r="P339" s="6"/>
    </row>
    <row r="341" spans="2:16" s="147" customFormat="1" ht="16.25" customHeight="1" x14ac:dyDescent="0.25">
      <c r="B341" s="134" t="s">
        <v>47</v>
      </c>
      <c r="C341" s="134" t="s">
        <v>48</v>
      </c>
      <c r="D341" s="134" t="s">
        <v>49</v>
      </c>
      <c r="E341" s="134" t="s">
        <v>50</v>
      </c>
      <c r="F341" s="134" t="s">
        <v>52</v>
      </c>
      <c r="G341" s="134" t="s">
        <v>51</v>
      </c>
      <c r="H341" s="134" t="s">
        <v>53</v>
      </c>
      <c r="I341" s="134" t="s">
        <v>54</v>
      </c>
      <c r="J341" s="134" t="s">
        <v>55</v>
      </c>
      <c r="L341" s="134" t="s">
        <v>56</v>
      </c>
      <c r="M341" s="134" t="s">
        <v>57</v>
      </c>
      <c r="N341" s="134" t="s">
        <v>345</v>
      </c>
    </row>
    <row r="342" spans="2:16" x14ac:dyDescent="0.25">
      <c r="B342" s="298" t="s">
        <v>59</v>
      </c>
      <c r="C342" s="298" t="s">
        <v>60</v>
      </c>
      <c r="D342" s="241" t="s">
        <v>61</v>
      </c>
      <c r="E342" s="148">
        <f>VLOOKUP("咖啡机"&amp;"-"&amp;$B$342&amp;"-"&amp;$C$342&amp;"-"&amp;$D342,dat_nespresso_shop_ct_chl!$G:$K,2,0)</f>
        <v>72416</v>
      </c>
      <c r="F342" s="149">
        <f>VLOOKUP("咖啡机"&amp;"-"&amp;$B$342&amp;"-"&amp;$C$342&amp;"-"&amp;$D342,dat_nespresso_shop_ct_chl!$G:$K,4,0)</f>
        <v>1.8117543084401239E-2</v>
      </c>
      <c r="G342" s="148">
        <f>VLOOKUP("咖啡机"&amp;"-"&amp;$B$342&amp;"-"&amp;$C$342&amp;"-"&amp;$D342,dat_nespresso_shop_ct_chl!$G:$K,3,0)</f>
        <v>109748</v>
      </c>
      <c r="H342" s="149">
        <f>VLOOKUP("咖啡机"&amp;"-"&amp;$B$342&amp;"-"&amp;$C$342&amp;"-"&amp;$D342,dat_nespresso_shop_ct_chl!$G:$K,5,0)</f>
        <v>5.0205926303896198E-3</v>
      </c>
      <c r="I342" s="150">
        <f t="shared" ref="I342:I347" si="64">IFERROR(E342*F342,"-")</f>
        <v>1312.0000000000002</v>
      </c>
      <c r="J342" s="150">
        <f t="shared" ref="J342:J347" si="65">IFERROR(G342*H342,"-")</f>
        <v>551</v>
      </c>
      <c r="L342" s="82">
        <f t="shared" ref="L342:L347" si="66">IFERROR(J342/I342-1,"-")</f>
        <v>-0.58003048780487809</v>
      </c>
      <c r="M342" s="82">
        <f t="shared" ref="M342:M347" si="67">IFERROR(G342/E342-1,"-")</f>
        <v>0.51552143172779497</v>
      </c>
      <c r="N342" s="82">
        <f t="shared" ref="N342:N347" si="68">IFERROR(H342-F342,"-")</f>
        <v>-1.309695045401162E-2</v>
      </c>
    </row>
    <row r="343" spans="2:16" x14ac:dyDescent="0.25">
      <c r="B343" s="281"/>
      <c r="C343" s="281"/>
      <c r="D343" s="241" t="s">
        <v>62</v>
      </c>
      <c r="E343" s="148">
        <f>VLOOKUP("咖啡机"&amp;"-"&amp;$B$342&amp;"-"&amp;$C$342&amp;"-"&amp;$D343,dat_nespresso_shop_ct_chl!$G:$K,2,0)</f>
        <v>242355</v>
      </c>
      <c r="F343" s="23">
        <f>VLOOKUP("咖啡机"&amp;"-"&amp;$B$342&amp;"-"&amp;$C$342&amp;"-"&amp;$D343,dat_nespresso_shop_ct_chl!$G:$K,4,0)</f>
        <v>6.6844092343875717E-4</v>
      </c>
      <c r="G343" s="16">
        <f>VLOOKUP("咖啡机"&amp;"-"&amp;$B$342&amp;"-"&amp;$C$342&amp;"-"&amp;$D343,dat_nespresso_shop_ct_chl!$G:$K,3,0)</f>
        <v>63964</v>
      </c>
      <c r="H343" s="23">
        <f>VLOOKUP("咖啡机"&amp;"-"&amp;$B$342&amp;"-"&amp;$C$342&amp;"-"&amp;$D343,dat_nespresso_shop_ct_chl!$G:$K,5,0)</f>
        <v>4.6901382027390398E-5</v>
      </c>
      <c r="I343" s="19">
        <f t="shared" si="64"/>
        <v>162</v>
      </c>
      <c r="J343" s="19">
        <f t="shared" si="65"/>
        <v>2.9999999999999996</v>
      </c>
      <c r="L343" s="82">
        <f t="shared" si="66"/>
        <v>-0.98148148148148151</v>
      </c>
      <c r="M343" s="17">
        <f t="shared" si="67"/>
        <v>-0.73607311588372437</v>
      </c>
      <c r="N343" s="17">
        <f t="shared" si="68"/>
        <v>-6.2153954141136675E-4</v>
      </c>
    </row>
    <row r="344" spans="2:16" x14ac:dyDescent="0.25">
      <c r="B344" s="281"/>
      <c r="C344" s="283"/>
      <c r="D344" s="241" t="s">
        <v>10838</v>
      </c>
      <c r="E344" s="148">
        <f>VLOOKUP("咖啡机"&amp;"-"&amp;$B$342&amp;"-"&amp;$C$342&amp;"-"&amp;$D344,dat_nespresso_shop_ct_chl!$G:$K,2,0)</f>
        <v>63858</v>
      </c>
      <c r="F344" s="23">
        <f>VLOOKUP("咖啡机"&amp;"-"&amp;$B$342&amp;"-"&amp;$C$342&amp;"-"&amp;$D344,dat_nespresso_shop_ct_chl!$G:$K,4,0)</f>
        <v>1.268439349807385E-2</v>
      </c>
      <c r="G344" s="16">
        <f>VLOOKUP("咖啡机"&amp;"-"&amp;$B$342&amp;"-"&amp;$C$342&amp;"-"&amp;$D344,dat_nespresso_shop_ct_chl!$G:$K,3,0)</f>
        <v>51382</v>
      </c>
      <c r="H344" s="23">
        <f>VLOOKUP("咖啡机"&amp;"-"&amp;$B$342&amp;"-"&amp;$C$342&amp;"-"&amp;$D344,dat_nespresso_shop_ct_chl!$G:$K,5,0)</f>
        <v>1.06846755673193E-2</v>
      </c>
      <c r="I344" s="19">
        <f t="shared" si="64"/>
        <v>809.99999999999989</v>
      </c>
      <c r="J344" s="19">
        <f t="shared" si="65"/>
        <v>549.00000000000034</v>
      </c>
      <c r="L344" s="82">
        <f t="shared" si="66"/>
        <v>-0.32222222222222174</v>
      </c>
      <c r="M344" s="17">
        <f t="shared" si="67"/>
        <v>-0.195370979360456</v>
      </c>
      <c r="N344" s="17">
        <f t="shared" si="68"/>
        <v>-1.9997179307545496E-3</v>
      </c>
    </row>
    <row r="345" spans="2:16" x14ac:dyDescent="0.25">
      <c r="B345" s="281"/>
      <c r="C345" s="241" t="s">
        <v>72</v>
      </c>
      <c r="D345" s="241" t="s">
        <v>10839</v>
      </c>
      <c r="E345" s="16">
        <f>VLOOKUP("咖啡机"&amp;"-"&amp;$B$342&amp;"-"&amp;$C345&amp;"-"&amp;$D345,dat_nespresso_shop_ct_chl!$G:$K,2,0)</f>
        <v>8369</v>
      </c>
      <c r="F345" s="23">
        <f>VLOOKUP("咖啡机"&amp;"-"&amp;$B$342&amp;"-"&amp;$C345&amp;"-"&amp;$D345,dat_nespresso_shop_ct_chl!$G:$K,4,0)</f>
        <v>5.7354522643087588E-2</v>
      </c>
      <c r="G345" s="16">
        <f>VLOOKUP("咖啡机"&amp;"-"&amp;$B$342&amp;"-"&amp;$C345&amp;"-"&amp;$D345,dat_nespresso_shop_ct_chl!$G:$K,3,0)</f>
        <v>7838</v>
      </c>
      <c r="H345" s="23">
        <f>VLOOKUP("咖啡机"&amp;"-"&amp;$B$342&amp;"-"&amp;$C345&amp;"-"&amp;$D345,dat_nespresso_shop_ct_chl!$G:$K,5,0)</f>
        <v>1.543761163562133E-2</v>
      </c>
      <c r="I345" s="19">
        <f t="shared" si="64"/>
        <v>480</v>
      </c>
      <c r="J345" s="19">
        <f t="shared" si="65"/>
        <v>120.99999999999999</v>
      </c>
      <c r="L345" s="82">
        <f t="shared" si="66"/>
        <v>-0.74791666666666667</v>
      </c>
      <c r="M345" s="17">
        <f t="shared" si="67"/>
        <v>-6.344844067391564E-2</v>
      </c>
      <c r="N345" s="17">
        <f t="shared" si="68"/>
        <v>-4.1916911007466258E-2</v>
      </c>
    </row>
    <row r="346" spans="2:16" x14ac:dyDescent="0.25">
      <c r="B346" s="281"/>
      <c r="C346" s="25" t="s">
        <v>10840</v>
      </c>
      <c r="D346" s="241" t="s">
        <v>10841</v>
      </c>
      <c r="E346" s="16">
        <f>VLOOKUP("咖啡机"&amp;"-"&amp;$B$342&amp;"-"&amp;$C346&amp;"-"&amp;$D346,dat_nespresso_shop_ct_chl!$G:$K,2,0)</f>
        <v>12796</v>
      </c>
      <c r="F346" s="23">
        <f>VLOOKUP("咖啡机"&amp;"-"&amp;$B$342&amp;"-"&amp;$C346&amp;"-"&amp;$D346,dat_nespresso_shop_ct_chl!$G:$K,4,0)</f>
        <v>2.8211941231634889E-2</v>
      </c>
      <c r="G346" s="16">
        <f>VLOOKUP("咖啡机"&amp;"-"&amp;$B$342&amp;"-"&amp;$C346&amp;"-"&amp;$D346,dat_nespresso_shop_ct_chl!$G:$K,3,0)</f>
        <v>8518</v>
      </c>
      <c r="H346" s="23">
        <f>VLOOKUP("咖啡机"&amp;"-"&amp;$B$342&amp;"-"&amp;$C346&amp;"-"&amp;$D346,dat_nespresso_shop_ct_chl!$G:$K,5,0)</f>
        <v>2.5945057525240671E-2</v>
      </c>
      <c r="I346" s="19">
        <f t="shared" si="64"/>
        <v>361.00000000000006</v>
      </c>
      <c r="J346" s="19">
        <f t="shared" si="65"/>
        <v>221.00000000000003</v>
      </c>
      <c r="L346" s="82">
        <f t="shared" si="66"/>
        <v>-0.38781163434903054</v>
      </c>
      <c r="M346" s="17">
        <f t="shared" si="67"/>
        <v>-0.33432322600812758</v>
      </c>
      <c r="N346" s="17">
        <f t="shared" si="68"/>
        <v>-2.2668837063942182E-3</v>
      </c>
    </row>
    <row r="347" spans="2:16" x14ac:dyDescent="0.25">
      <c r="B347" s="283"/>
      <c r="C347" s="25" t="s">
        <v>68</v>
      </c>
      <c r="D347" s="241" t="s">
        <v>10842</v>
      </c>
      <c r="E347" s="16">
        <f>VLOOKUP("咖啡机"&amp;"-"&amp;$B$342&amp;"-"&amp;$C347&amp;"-"&amp;$D347,dat_nespresso_shop_ct_chl!$G:$K,2,0)</f>
        <v>1</v>
      </c>
      <c r="F347" s="23">
        <f>VLOOKUP("咖啡机"&amp;"-"&amp;$B$342&amp;"-"&amp;$C347&amp;"-"&amp;$D347,dat_nespresso_shop_ct_chl!$G:$K,4,0)</f>
        <v>0</v>
      </c>
      <c r="G347" s="16">
        <f>VLOOKUP("咖啡机"&amp;"-"&amp;$B$342&amp;"-"&amp;$C347&amp;"-"&amp;$D347,dat_nespresso_shop_ct_chl!$G:$K,3,0)</f>
        <v>3676</v>
      </c>
      <c r="H347" s="23">
        <f>VLOOKUP("咖啡机"&amp;"-"&amp;$B$342&amp;"-"&amp;$C347&amp;"-"&amp;$D347,dat_nespresso_shop_ct_chl!$G:$K,5,0)</f>
        <v>0</v>
      </c>
      <c r="I347" s="19">
        <f t="shared" si="64"/>
        <v>0</v>
      </c>
      <c r="J347" s="19">
        <f t="shared" si="65"/>
        <v>0</v>
      </c>
      <c r="L347" s="82" t="str">
        <f t="shared" si="66"/>
        <v>-</v>
      </c>
      <c r="M347" s="17">
        <f t="shared" si="67"/>
        <v>3675</v>
      </c>
      <c r="N347" s="17">
        <f t="shared" si="68"/>
        <v>0</v>
      </c>
    </row>
    <row r="348" spans="2:16" x14ac:dyDescent="0.25">
      <c r="L348" s="117"/>
      <c r="M348" s="117"/>
      <c r="N348" s="117"/>
    </row>
    <row r="349" spans="2:16" ht="16.25" customHeight="1" x14ac:dyDescent="0.25">
      <c r="B349" s="134" t="s">
        <v>47</v>
      </c>
      <c r="C349" s="134" t="s">
        <v>48</v>
      </c>
      <c r="D349" s="134" t="s">
        <v>49</v>
      </c>
      <c r="E349" s="134" t="s">
        <v>50</v>
      </c>
      <c r="F349" s="134" t="s">
        <v>52</v>
      </c>
      <c r="G349" s="134" t="s">
        <v>51</v>
      </c>
      <c r="H349" s="134" t="s">
        <v>53</v>
      </c>
      <c r="I349" s="134" t="s">
        <v>54</v>
      </c>
      <c r="J349" s="134" t="s">
        <v>55</v>
      </c>
      <c r="L349" s="151" t="s">
        <v>56</v>
      </c>
      <c r="M349" s="151" t="s">
        <v>57</v>
      </c>
      <c r="N349" s="151" t="s">
        <v>58</v>
      </c>
    </row>
    <row r="350" spans="2:16" x14ac:dyDescent="0.25">
      <c r="B350" s="298" t="s">
        <v>76</v>
      </c>
      <c r="C350" s="241" t="s">
        <v>80</v>
      </c>
      <c r="D350" s="241" t="s">
        <v>78</v>
      </c>
      <c r="E350" s="16">
        <f>VLOOKUP("咖啡机"&amp;"-"&amp;$B$350&amp;"-"&amp;$C350&amp;"-"&amp;$D350,dat_nespresso_shop_ct_chl!$G:$K,2,0)</f>
        <v>51757</v>
      </c>
      <c r="F350" s="23">
        <f>VLOOKUP("咖啡机"&amp;"-"&amp;$B$350&amp;"-"&amp;$C350&amp;"-"&amp;$D350,dat_nespresso_shop_ct_chl!$G:$K,4,0)</f>
        <v>2.131112699731437E-2</v>
      </c>
      <c r="G350" s="16">
        <f>VLOOKUP("咖啡机"&amp;"-"&amp;$B$350&amp;"-"&amp;$C350&amp;"-"&amp;$D350,dat_nespresso_shop_ct_chl!$G:$K,3,0)</f>
        <v>54185</v>
      </c>
      <c r="H350" s="23">
        <f>VLOOKUP("咖啡机"&amp;"-"&amp;$B$350&amp;"-"&amp;$C350&amp;"-"&amp;$D350,dat_nespresso_shop_ct_chl!$G:$K,5,0)</f>
        <v>1.546553474208729E-2</v>
      </c>
      <c r="I350" s="150">
        <f t="shared" ref="I350:I356" si="69">IFERROR(E350*F350,"-")</f>
        <v>1102.9999999999998</v>
      </c>
      <c r="J350" s="150">
        <f t="shared" ref="J350:J356" si="70">IFERROR(G350*H350,"-")</f>
        <v>837.99999999999989</v>
      </c>
      <c r="L350" s="82">
        <f t="shared" ref="L350:L356" si="71">IFERROR(J350/I350-1,"-")</f>
        <v>-0.24025385312783309</v>
      </c>
      <c r="M350" s="82">
        <f t="shared" ref="M350:M356" si="72">IFERROR(G350/E350-1,"-")</f>
        <v>4.691152887532124E-2</v>
      </c>
      <c r="N350" s="82">
        <f t="shared" ref="N350:N356" si="73">IFERROR(H350-F350,"-")</f>
        <v>-5.8455922552270792E-3</v>
      </c>
    </row>
    <row r="351" spans="2:16" x14ac:dyDescent="0.25">
      <c r="B351" s="281"/>
      <c r="C351" s="241" t="s">
        <v>81</v>
      </c>
      <c r="D351" s="241" t="s">
        <v>78</v>
      </c>
      <c r="E351" s="16">
        <f>VLOOKUP("咖啡机"&amp;"-"&amp;$B$350&amp;"-"&amp;$C351&amp;"-"&amp;$D351,dat_nespresso_shop_ct_chl!$G:$K,2,0)</f>
        <v>39603</v>
      </c>
      <c r="F351" s="23">
        <f>VLOOKUP("咖啡机"&amp;"-"&amp;$B$350&amp;"-"&amp;$C351&amp;"-"&amp;$D351,dat_nespresso_shop_ct_chl!$G:$K,4,0)</f>
        <v>9.9992424816301804E-3</v>
      </c>
      <c r="G351" s="16">
        <f>VLOOKUP("咖啡机"&amp;"-"&amp;$B$350&amp;"-"&amp;$C351&amp;"-"&amp;$D351,dat_nespresso_shop_ct_chl!$G:$K,3,0)</f>
        <v>5394</v>
      </c>
      <c r="H351" s="23">
        <f>VLOOKUP("咖啡机"&amp;"-"&amp;$B$350&amp;"-"&amp;$C351&amp;"-"&amp;$D351,dat_nespresso_shop_ct_chl!$G:$K,5,0)</f>
        <v>2.9477196885428249E-2</v>
      </c>
      <c r="I351" s="19">
        <f t="shared" si="69"/>
        <v>396.00000000000006</v>
      </c>
      <c r="J351" s="19">
        <f t="shared" si="70"/>
        <v>158.99999999999997</v>
      </c>
      <c r="L351" s="82">
        <f t="shared" si="71"/>
        <v>-0.59848484848484862</v>
      </c>
      <c r="M351" s="17">
        <f t="shared" si="72"/>
        <v>-0.86379819710627981</v>
      </c>
      <c r="N351" s="17">
        <f t="shared" si="73"/>
        <v>1.947795440379807E-2</v>
      </c>
    </row>
    <row r="352" spans="2:16" x14ac:dyDescent="0.25">
      <c r="B352" s="281"/>
      <c r="C352" s="241" t="s">
        <v>10843</v>
      </c>
      <c r="D352" s="241" t="s">
        <v>78</v>
      </c>
      <c r="E352" s="16">
        <f>VLOOKUP("咖啡机"&amp;"-"&amp;$B$350&amp;"-"&amp;$C352&amp;"-"&amp;$D352,dat_nespresso_shop_ct_chl!$G:$K,2,0)</f>
        <v>7204</v>
      </c>
      <c r="F352" s="23">
        <f>VLOOKUP("咖啡机"&amp;"-"&amp;$B$350&amp;"-"&amp;$C352&amp;"-"&amp;$D352,dat_nespresso_shop_ct_chl!$G:$K,4,0)</f>
        <v>2.1793448084397558E-2</v>
      </c>
      <c r="G352" s="16">
        <f>VLOOKUP("咖啡机"&amp;"-"&amp;$B$350&amp;"-"&amp;$C352&amp;"-"&amp;$D352,dat_nespresso_shop_ct_chl!$G:$K,3,0)</f>
        <v>3440</v>
      </c>
      <c r="H352" s="23">
        <f>VLOOKUP("咖啡机"&amp;"-"&amp;$B$350&amp;"-"&amp;$C352&amp;"-"&amp;$D352,dat_nespresso_shop_ct_chl!$G:$K,5,0)</f>
        <v>1.424418604651163E-2</v>
      </c>
      <c r="I352" s="19">
        <f t="shared" si="69"/>
        <v>157</v>
      </c>
      <c r="J352" s="19">
        <f t="shared" si="70"/>
        <v>49.000000000000007</v>
      </c>
      <c r="L352" s="82">
        <f t="shared" si="71"/>
        <v>-0.68789808917197448</v>
      </c>
      <c r="M352" s="17">
        <f t="shared" si="72"/>
        <v>-0.52248750694058854</v>
      </c>
      <c r="N352" s="17">
        <f t="shared" si="73"/>
        <v>-7.5492620378859281E-3</v>
      </c>
    </row>
    <row r="353" spans="2:16" x14ac:dyDescent="0.25">
      <c r="B353" s="281"/>
      <c r="C353" s="241" t="s">
        <v>10844</v>
      </c>
      <c r="D353" s="241" t="s">
        <v>78</v>
      </c>
      <c r="E353" s="16">
        <f>VLOOKUP("咖啡机"&amp;"-"&amp;$B$350&amp;"-"&amp;$C353&amp;"-"&amp;$D353,dat_nespresso_shop_ct_chl!$G:$K,2,0)</f>
        <v>5802</v>
      </c>
      <c r="F353" s="23">
        <f>VLOOKUP("咖啡机"&amp;"-"&amp;$B$350&amp;"-"&amp;$C353&amp;"-"&amp;$D353,dat_nespresso_shop_ct_chl!$G:$K,4,0)</f>
        <v>1.4994829369183039E-2</v>
      </c>
      <c r="G353" s="16">
        <f>VLOOKUP("咖啡机"&amp;"-"&amp;$B$350&amp;"-"&amp;$C353&amp;"-"&amp;$D353,dat_nespresso_shop_ct_chl!$G:$K,3,0)</f>
        <v>1488</v>
      </c>
      <c r="H353" s="23">
        <f>VLOOKUP("咖啡机"&amp;"-"&amp;$B$350&amp;"-"&amp;$C353&amp;"-"&amp;$D353,dat_nespresso_shop_ct_chl!$G:$K,5,0)</f>
        <v>2.3521505376344089E-2</v>
      </c>
      <c r="I353" s="19">
        <f t="shared" si="69"/>
        <v>87</v>
      </c>
      <c r="J353" s="19">
        <f t="shared" si="70"/>
        <v>35.000000000000007</v>
      </c>
      <c r="L353" s="82">
        <f t="shared" si="71"/>
        <v>-0.59770114942528729</v>
      </c>
      <c r="M353" s="17">
        <f t="shared" si="72"/>
        <v>-0.74353671147880041</v>
      </c>
      <c r="N353" s="17">
        <f t="shared" si="73"/>
        <v>8.5266760071610499E-3</v>
      </c>
    </row>
    <row r="354" spans="2:16" x14ac:dyDescent="0.25">
      <c r="B354" s="281"/>
      <c r="C354" s="241" t="s">
        <v>10845</v>
      </c>
      <c r="D354" s="241" t="s">
        <v>78</v>
      </c>
      <c r="E354" s="16">
        <f>VLOOKUP("咖啡机"&amp;"-"&amp;$B$350&amp;"-"&amp;$C354&amp;"-"&amp;$D354,dat_nespresso_shop_ct_chl!$G:$K,2,0)</f>
        <v>2504</v>
      </c>
      <c r="F354" s="23">
        <f>VLOOKUP("咖啡机"&amp;"-"&amp;$B$350&amp;"-"&amp;$C354&amp;"-"&amp;$D354,dat_nespresso_shop_ct_chl!$G:$K,4,0)</f>
        <v>2.9952076677316291E-2</v>
      </c>
      <c r="G354" s="16">
        <f>VLOOKUP("咖啡机"&amp;"-"&amp;$B$350&amp;"-"&amp;$C354&amp;"-"&amp;$D354,dat_nespresso_shop_ct_chl!$G:$K,3,0)</f>
        <v>1483</v>
      </c>
      <c r="H354" s="23">
        <f>VLOOKUP("咖啡机"&amp;"-"&amp;$B$350&amp;"-"&amp;$C354&amp;"-"&amp;$D354,dat_nespresso_shop_ct_chl!$G:$K,5,0)</f>
        <v>2.7646662171274441E-2</v>
      </c>
      <c r="I354" s="19">
        <f t="shared" si="69"/>
        <v>74.999999999999986</v>
      </c>
      <c r="J354" s="19">
        <f t="shared" si="70"/>
        <v>41</v>
      </c>
      <c r="L354" s="82">
        <f t="shared" si="71"/>
        <v>-0.45333333333333325</v>
      </c>
      <c r="M354" s="17">
        <f t="shared" si="72"/>
        <v>-0.40774760383386577</v>
      </c>
      <c r="N354" s="17">
        <f t="shared" si="73"/>
        <v>-2.3054145060418495E-3</v>
      </c>
    </row>
    <row r="355" spans="2:16" x14ac:dyDescent="0.25">
      <c r="B355" s="281"/>
      <c r="C355" s="241" t="s">
        <v>10846</v>
      </c>
      <c r="D355" s="241" t="s">
        <v>78</v>
      </c>
      <c r="E355" s="16">
        <f>VLOOKUP("咖啡机"&amp;"-"&amp;$B$350&amp;"-"&amp;$C355&amp;"-"&amp;$D355,dat_nespresso_shop_ct_chl!$G:$K,2,0)</f>
        <v>2134</v>
      </c>
      <c r="F355" s="23">
        <f>VLOOKUP("咖啡机"&amp;"-"&amp;$B$350&amp;"-"&amp;$C355&amp;"-"&amp;$D355,dat_nespresso_shop_ct_chl!$G:$K,4,0)</f>
        <v>6.2324273664479853E-2</v>
      </c>
      <c r="G355" s="16">
        <f>VLOOKUP("咖啡机"&amp;"-"&amp;$B$350&amp;"-"&amp;$C355&amp;"-"&amp;$D355,dat_nespresso_shop_ct_chl!$G:$K,3,0)</f>
        <v>184</v>
      </c>
      <c r="H355" s="23">
        <f>VLOOKUP("咖啡机"&amp;"-"&amp;$B$350&amp;"-"&amp;$C355&amp;"-"&amp;$D355,dat_nespresso_shop_ct_chl!$G:$K,5,0)</f>
        <v>4.3478260869565223E-2</v>
      </c>
      <c r="I355" s="19">
        <f t="shared" si="69"/>
        <v>133</v>
      </c>
      <c r="J355" s="19">
        <f t="shared" si="70"/>
        <v>8.0000000000000018</v>
      </c>
      <c r="L355" s="82">
        <f t="shared" si="71"/>
        <v>-0.93984962406015038</v>
      </c>
      <c r="M355" s="17">
        <f t="shared" si="72"/>
        <v>-0.91377694470477977</v>
      </c>
      <c r="N355" s="17">
        <f t="shared" si="73"/>
        <v>-1.8846012794914629E-2</v>
      </c>
    </row>
    <row r="356" spans="2:16" x14ac:dyDescent="0.25">
      <c r="B356" s="283"/>
      <c r="C356" s="241" t="s">
        <v>10847</v>
      </c>
      <c r="D356" s="241" t="s">
        <v>78</v>
      </c>
      <c r="E356" s="16">
        <f>VLOOKUP("咖啡机"&amp;"-"&amp;$B$350&amp;"-"&amp;$C356&amp;"-"&amp;$D356,dat_nespresso_shop_ct_chl!$G:$K,2,0)</f>
        <v>81</v>
      </c>
      <c r="F356" s="23">
        <f>VLOOKUP("咖啡机"&amp;"-"&amp;$B$350&amp;"-"&amp;$C356&amp;"-"&amp;$D356,dat_nespresso_shop_ct_chl!$G:$K,4,0)</f>
        <v>0</v>
      </c>
      <c r="G356" s="16">
        <f>VLOOKUP("咖啡机"&amp;"-"&amp;$B$350&amp;"-"&amp;$C356&amp;"-"&amp;$D356,dat_nespresso_shop_ct_chl!$G:$K,3,0)</f>
        <v>42</v>
      </c>
      <c r="H356" s="23">
        <f>VLOOKUP("咖啡机"&amp;"-"&amp;$B$350&amp;"-"&amp;$C356&amp;"-"&amp;$D356,dat_nespresso_shop_ct_chl!$G:$K,5,0)</f>
        <v>0</v>
      </c>
      <c r="I356" s="19">
        <f t="shared" si="69"/>
        <v>0</v>
      </c>
      <c r="J356" s="19">
        <f t="shared" si="70"/>
        <v>0</v>
      </c>
      <c r="L356" s="82" t="str">
        <f t="shared" si="71"/>
        <v>-</v>
      </c>
      <c r="M356" s="17">
        <f t="shared" si="72"/>
        <v>-0.48148148148148151</v>
      </c>
      <c r="N356" s="17">
        <f t="shared" si="73"/>
        <v>0</v>
      </c>
    </row>
    <row r="359" spans="2:16" s="5" customFormat="1" ht="23.5" customHeight="1" x14ac:dyDescent="0.25">
      <c r="B359" s="270" t="s">
        <v>347</v>
      </c>
      <c r="C359" s="271"/>
      <c r="D359" s="271"/>
      <c r="E359" s="271"/>
      <c r="F359" s="271"/>
      <c r="N359" s="6"/>
      <c r="O359" s="6"/>
      <c r="P359" s="6"/>
    </row>
    <row r="361" spans="2:16" ht="16.25" customHeight="1" x14ac:dyDescent="0.25">
      <c r="D361" s="20"/>
      <c r="E361" s="10" t="s">
        <v>146</v>
      </c>
      <c r="F361" s="10" t="s">
        <v>148</v>
      </c>
      <c r="G361" s="10" t="s">
        <v>348</v>
      </c>
      <c r="H361" s="10" t="s">
        <v>260</v>
      </c>
      <c r="I361" s="10" t="s">
        <v>151</v>
      </c>
      <c r="J361" s="10" t="s">
        <v>349</v>
      </c>
      <c r="K361" s="10" t="s">
        <v>149</v>
      </c>
    </row>
    <row r="362" spans="2:16" x14ac:dyDescent="0.25">
      <c r="C362" s="295" t="s">
        <v>350</v>
      </c>
      <c r="D362" s="279"/>
      <c r="E362" s="14">
        <f>IFERROR(VLOOKUP("咖啡机"&amp;"-"&amp;E361,dat_nespresso_compet!$D:$J,7,0),"")</f>
        <v>875775</v>
      </c>
      <c r="F362" s="14">
        <f>IFERROR(VLOOKUP("咖啡机"&amp;"-"&amp;F361,dat_nespresso_compet!$D:$J,7,0),"")</f>
        <v>425839</v>
      </c>
      <c r="G362" s="14">
        <f>IFERROR(VLOOKUP("咖啡机"&amp;"-"&amp;G361,dat_nespresso_compet!$D:$J,7,0),"")</f>
        <v>801081</v>
      </c>
      <c r="H362" s="14">
        <f>IFERROR(VLOOKUP("咖啡机"&amp;"-"&amp;H361,dat_nespresso_compet!$D:$J,7,0),"")</f>
        <v>286637</v>
      </c>
      <c r="I362" s="14">
        <f>IFERROR(VLOOKUP("咖啡机"&amp;"-"&amp;I361,dat_nespresso_compet!$D:$J,7,0),"")</f>
        <v>225572</v>
      </c>
      <c r="J362" s="14">
        <f>IFERROR(VLOOKUP("咖啡机"&amp;"-"&amp;J361,dat_nespresso_compet!$D:$J,7,0),"")</f>
        <v>38589</v>
      </c>
      <c r="K362" s="14">
        <f>IFERROR(VLOOKUP("咖啡机"&amp;"-"&amp;K361,dat_nespresso_compet!$D:$J,7,0),"")</f>
        <v>168916</v>
      </c>
    </row>
    <row r="363" spans="2:16" x14ac:dyDescent="0.25">
      <c r="D363" s="20"/>
      <c r="E363" s="20"/>
      <c r="F363" s="20"/>
      <c r="G363" s="20"/>
      <c r="H363" s="20"/>
      <c r="I363" s="20"/>
      <c r="J363" s="20"/>
      <c r="K363" s="20"/>
    </row>
    <row r="364" spans="2:16" x14ac:dyDescent="0.25">
      <c r="C364" s="287" t="s">
        <v>351</v>
      </c>
      <c r="D364" s="22" t="s">
        <v>59</v>
      </c>
      <c r="E364" s="152">
        <f>IFERROR(VLOOKUP("咖啡机"&amp;"-"&amp;E$361&amp;"-"&amp;$D364&amp;"-汇总"&amp;"-汇总",dat_nespresso_compet_chl!$H:$N,2,0),"")</f>
        <v>0.67197921154130547</v>
      </c>
      <c r="F364" s="152">
        <f>IFERROR(VLOOKUP("咖啡机"&amp;"-"&amp;F$361&amp;"-"&amp;$D364&amp;"-汇总"&amp;"-汇总",dat_nespresso_compet_chl!$H:$N,2,0),"")</f>
        <v>0.65064323766837007</v>
      </c>
      <c r="G364" s="152">
        <f>IFERROR(VLOOKUP("咖啡机"&amp;"-"&amp;G$361&amp;"-"&amp;$D364&amp;"-汇总"&amp;"-汇总",dat_nespresso_compet_chl!$H:$N,2,0),"")</f>
        <v>0.77662548940693488</v>
      </c>
      <c r="H364" s="152">
        <f>IFERROR(VLOOKUP("咖啡机"&amp;"-"&amp;H$361&amp;"-"&amp;$D364&amp;"-汇总"&amp;"-汇总",dat_nespresso_compet_chl!$H:$N,2,0),"")</f>
        <v>0.64362092648730584</v>
      </c>
      <c r="I364" s="152">
        <f>IFERROR(VLOOKUP("咖啡机"&amp;"-"&amp;I$361&amp;"-"&amp;$D364&amp;"-汇总"&amp;"-汇总",dat_nespresso_compet_chl!$H:$N,2,0),"")</f>
        <v>0.53269911063730901</v>
      </c>
      <c r="J364" s="152">
        <f>IFERROR(VLOOKUP("咖啡机"&amp;"-"&amp;J$361&amp;"-"&amp;$D364&amp;"-汇总"&amp;"-汇总",dat_nespresso_compet_chl!$H:$N,2,0),"")</f>
        <v>0.50068405394253945</v>
      </c>
      <c r="K364" s="152">
        <f>IFERROR(VLOOKUP("咖啡机"&amp;"-"&amp;K$361&amp;"-"&amp;$D364&amp;"-汇总"&amp;"-汇总",dat_nespresso_compet_chl!$H:$N,2,0),"")</f>
        <v>0.66057574942590558</v>
      </c>
    </row>
    <row r="365" spans="2:16" x14ac:dyDescent="0.25">
      <c r="C365" s="283"/>
      <c r="D365" s="22" t="s">
        <v>76</v>
      </c>
      <c r="E365" s="152">
        <f>IFERROR(VLOOKUP("咖啡机"&amp;"-"&amp;E$361&amp;"-"&amp;$D365&amp;"-汇总"&amp;"-汇总",dat_nespresso_compet_chl!$H:$N,2,0),"")</f>
        <v>0.32802078845869448</v>
      </c>
      <c r="F365" s="152">
        <f>IFERROR(VLOOKUP("咖啡机"&amp;"-"&amp;F$361&amp;"-"&amp;$D365&amp;"-汇总"&amp;"-汇总",dat_nespresso_compet_chl!$H:$N,2,0),"")</f>
        <v>0.34935676233162988</v>
      </c>
      <c r="G365" s="152">
        <f>IFERROR(VLOOKUP("咖啡机"&amp;"-"&amp;G$361&amp;"-"&amp;$D365&amp;"-汇总"&amp;"-汇总",dat_nespresso_compet_chl!$H:$N,2,0),"")</f>
        <v>0.2233745105930651</v>
      </c>
      <c r="H365" s="152">
        <f>IFERROR(VLOOKUP("咖啡机"&amp;"-"&amp;H$361&amp;"-"&amp;$D365&amp;"-汇总"&amp;"-汇总",dat_nespresso_compet_chl!$H:$N,2,0),"")</f>
        <v>0.35637907351269421</v>
      </c>
      <c r="I365" s="152">
        <f>IFERROR(VLOOKUP("咖啡机"&amp;"-"&amp;I$361&amp;"-"&amp;$D365&amp;"-汇总"&amp;"-汇总",dat_nespresso_compet_chl!$H:$N,2,0),"")</f>
        <v>0.46730088936269099</v>
      </c>
      <c r="J365" s="152">
        <f>IFERROR(VLOOKUP("咖啡机"&amp;"-"&amp;J$361&amp;"-"&amp;$D365&amp;"-汇总"&amp;"-汇总",dat_nespresso_compet_chl!$H:$N,2,0),"")</f>
        <v>0.49931594605746049</v>
      </c>
      <c r="K365" s="152">
        <f>IFERROR(VLOOKUP("咖啡机"&amp;"-"&amp;K$361&amp;"-"&amp;$D365&amp;"-汇总"&amp;"-汇总",dat_nespresso_compet_chl!$H:$N,2,0),"")</f>
        <v>0.33942425057409442</v>
      </c>
    </row>
    <row r="366" spans="2:16" x14ac:dyDescent="0.25">
      <c r="C366" s="287" t="s">
        <v>108</v>
      </c>
      <c r="D366" s="22" t="s">
        <v>59</v>
      </c>
      <c r="E366" s="153">
        <f>IFERROR(VLOOKUP("咖啡机"&amp;"-"&amp;E$361&amp;"-"&amp;$D366&amp;"-汇总"&amp;"-汇总",dat_nespresso_compet_chl!$H:$N,6,0),"")</f>
        <v>731571</v>
      </c>
      <c r="F366" s="153">
        <f>IFERROR(VLOOKUP("咖啡机"&amp;"-"&amp;F$361&amp;"-"&amp;$D366&amp;"-汇总"&amp;"-汇总",dat_nespresso_compet_chl!$H:$N,6,0),"")</f>
        <v>335620</v>
      </c>
      <c r="G366" s="153">
        <f>IFERROR(VLOOKUP("咖啡机"&amp;"-"&amp;G$361&amp;"-"&amp;$D366&amp;"-汇总"&amp;"-汇总",dat_nespresso_compet_chl!$H:$N,6,0),"")</f>
        <v>731349</v>
      </c>
      <c r="H366" s="153">
        <f>IFERROR(VLOOKUP("咖啡机"&amp;"-"&amp;H$361&amp;"-"&amp;$D366&amp;"-汇总"&amp;"-汇总",dat_nespresso_compet_chl!$H:$N,6,0),"")</f>
        <v>217410</v>
      </c>
      <c r="I366" s="153">
        <f>IFERROR(VLOOKUP("咖啡机"&amp;"-"&amp;I$361&amp;"-"&amp;$D366&amp;"-汇总"&amp;"-汇总",dat_nespresso_compet_chl!$H:$N,6,0),"")</f>
        <v>144411</v>
      </c>
      <c r="J366" s="153">
        <f>IFERROR(VLOOKUP("咖啡机"&amp;"-"&amp;J$361&amp;"-"&amp;$D366&amp;"-汇总"&amp;"-汇总",dat_nespresso_compet_chl!$H:$N,6,0),"")</f>
        <v>23056</v>
      </c>
      <c r="K366" s="153">
        <f>IFERROR(VLOOKUP("咖啡机"&amp;"-"&amp;K$361&amp;"-"&amp;$D366&amp;"-汇总"&amp;"-汇总",dat_nespresso_compet_chl!$H:$N,6,0),"")</f>
        <v>127721</v>
      </c>
    </row>
    <row r="367" spans="2:16" x14ac:dyDescent="0.25">
      <c r="C367" s="283"/>
      <c r="D367" s="22" t="s">
        <v>76</v>
      </c>
      <c r="E367" s="153">
        <f>IFERROR(VLOOKUP("咖啡机"&amp;"-"&amp;E$361&amp;"-"&amp;$D367&amp;"-汇总"&amp;"-汇总",dat_nespresso_compet_chl!$H:$N,6,0),"")</f>
        <v>357110</v>
      </c>
      <c r="F367" s="153">
        <f>IFERROR(VLOOKUP("咖啡机"&amp;"-"&amp;F$361&amp;"-"&amp;$D367&amp;"-汇总"&amp;"-汇总",dat_nespresso_compet_chl!$H:$N,6,0),"")</f>
        <v>180208</v>
      </c>
      <c r="G367" s="153">
        <f>IFERROR(VLOOKUP("咖啡机"&amp;"-"&amp;G$361&amp;"-"&amp;$D367&amp;"-汇总"&amp;"-汇总",dat_nespresso_compet_chl!$H:$N,6,0),"")</f>
        <v>210352</v>
      </c>
      <c r="H367" s="153">
        <f>IFERROR(VLOOKUP("咖啡机"&amp;"-"&amp;H$361&amp;"-"&amp;$D367&amp;"-汇总"&amp;"-汇总",dat_nespresso_compet_chl!$H:$N,6,0),"")</f>
        <v>120382</v>
      </c>
      <c r="I367" s="153">
        <f>IFERROR(VLOOKUP("咖啡机"&amp;"-"&amp;I$361&amp;"-"&amp;$D367&amp;"-汇总"&amp;"-汇总",dat_nespresso_compet_chl!$H:$N,6,0),"")</f>
        <v>126682</v>
      </c>
      <c r="J367" s="153">
        <f>IFERROR(VLOOKUP("咖啡机"&amp;"-"&amp;J$361&amp;"-"&amp;$D367&amp;"-汇总"&amp;"-汇总",dat_nespresso_compet_chl!$H:$N,6,0),"")</f>
        <v>22993</v>
      </c>
      <c r="K367" s="153">
        <f>IFERROR(VLOOKUP("咖啡机"&amp;"-"&amp;K$361&amp;"-"&amp;$D367&amp;"-汇总"&amp;"-汇总",dat_nespresso_compet_chl!$H:$N,6,0),"")</f>
        <v>65627</v>
      </c>
    </row>
    <row r="368" spans="2:16" x14ac:dyDescent="0.25">
      <c r="C368" s="287" t="s">
        <v>21</v>
      </c>
      <c r="D368" s="22" t="s">
        <v>59</v>
      </c>
      <c r="E368" s="130">
        <f>IFERROR(VLOOKUP("咖啡机"&amp;"-"&amp;E$361&amp;"-"&amp;$D368&amp;"-汇总"&amp;"-汇总",dat_nespresso_compet_chl!$H:$N,7,0),"")</f>
        <v>2.7000000000000001E-3</v>
      </c>
      <c r="F368" s="130">
        <f>IFERROR(VLOOKUP("咖啡机"&amp;"-"&amp;F$361&amp;"-"&amp;$D368&amp;"-汇总"&amp;"-汇总",dat_nespresso_compet_chl!$H:$N,7,0),"")</f>
        <v>1.6000000000000001E-3</v>
      </c>
      <c r="G368" s="130">
        <f>IFERROR(VLOOKUP("咖啡机"&amp;"-"&amp;G$361&amp;"-"&amp;$D368&amp;"-汇总"&amp;"-汇总",dat_nespresso_compet_chl!$H:$N,7,0),"")</f>
        <v>2E-3</v>
      </c>
      <c r="H368" s="130">
        <f>IFERROR(VLOOKUP("咖啡机"&amp;"-"&amp;H$361&amp;"-"&amp;$D368&amp;"-汇总"&amp;"-汇总",dat_nespresso_compet_chl!$H:$N,7,0),"")</f>
        <v>5.8999999999999999E-3</v>
      </c>
      <c r="I368" s="130">
        <f>IFERROR(VLOOKUP("咖啡机"&amp;"-"&amp;I$361&amp;"-"&amp;$D368&amp;"-汇总"&amp;"-汇总",dat_nespresso_compet_chl!$H:$N,7,0),"")</f>
        <v>8.8999999999999999E-3</v>
      </c>
      <c r="J368" s="130">
        <f>IFERROR(VLOOKUP("咖啡机"&amp;"-"&amp;J$361&amp;"-"&amp;$D368&amp;"-汇总"&amp;"-汇总",dat_nespresso_compet_chl!$H:$N,7,0),"")</f>
        <v>1.2200000000000001E-2</v>
      </c>
      <c r="K368" s="130">
        <f>IFERROR(VLOOKUP("咖啡机"&amp;"-"&amp;K$361&amp;"-"&amp;$D368&amp;"-汇总"&amp;"-汇总",dat_nespresso_compet_chl!$H:$N,7,0),"")</f>
        <v>2.3999999999999998E-3</v>
      </c>
    </row>
    <row r="369" spans="2:16" x14ac:dyDescent="0.25">
      <c r="C369" s="283"/>
      <c r="D369" s="22" t="s">
        <v>76</v>
      </c>
      <c r="E369" s="130">
        <f>IFERROR(VLOOKUP("咖啡机"&amp;"-"&amp;E$361&amp;"-"&amp;$D369&amp;"-汇总"&amp;"-汇总",dat_nespresso_compet_chl!$H:$N,7,0),"")</f>
        <v>1.1599999999999999E-2</v>
      </c>
      <c r="F369" s="130">
        <f>IFERROR(VLOOKUP("咖啡机"&amp;"-"&amp;F$361&amp;"-"&amp;$D369&amp;"-汇总"&amp;"-汇总",dat_nespresso_compet_chl!$H:$N,7,0),"")</f>
        <v>9.7999999999999997E-3</v>
      </c>
      <c r="G369" s="130">
        <f>IFERROR(VLOOKUP("咖啡机"&amp;"-"&amp;G$361&amp;"-"&amp;$D369&amp;"-汇总"&amp;"-汇总",dat_nespresso_compet_chl!$H:$N,7,0),"")</f>
        <v>1.26E-2</v>
      </c>
      <c r="H369" s="130">
        <f>IFERROR(VLOOKUP("咖啡机"&amp;"-"&amp;H$361&amp;"-"&amp;$D369&amp;"-汇总"&amp;"-汇总",dat_nespresso_compet_chl!$H:$N,7,0),"")</f>
        <v>2.06E-2</v>
      </c>
      <c r="I369" s="130">
        <f>IFERROR(VLOOKUP("咖啡机"&amp;"-"&amp;I$361&amp;"-"&amp;$D369&amp;"-汇总"&amp;"-汇总",dat_nespresso_compet_chl!$H:$N,7,0),"")</f>
        <v>2.24E-2</v>
      </c>
      <c r="J369" s="130">
        <f>IFERROR(VLOOKUP("咖啡机"&amp;"-"&amp;J$361&amp;"-"&amp;$D369&amp;"-汇总"&amp;"-汇总",dat_nespresso_compet_chl!$H:$N,7,0),"")</f>
        <v>2.0299999999999999E-2</v>
      </c>
      <c r="K369" s="130">
        <f>IFERROR(VLOOKUP("咖啡机"&amp;"-"&amp;K$361&amp;"-"&amp;$D369&amp;"-汇总"&amp;"-汇总",dat_nespresso_compet_chl!$H:$N,7,0),"")</f>
        <v>1.2200000000000001E-2</v>
      </c>
    </row>
    <row r="370" spans="2:16" x14ac:dyDescent="0.25">
      <c r="B370" s="1" t="s">
        <v>76</v>
      </c>
      <c r="D370" s="4"/>
      <c r="K370" s="4"/>
      <c r="L370" s="4"/>
      <c r="M370" s="4"/>
      <c r="N370" s="4"/>
    </row>
    <row r="371" spans="2:16" s="147" customFormat="1" ht="16.25" customHeight="1" x14ac:dyDescent="0.25">
      <c r="C371" s="4"/>
      <c r="D371" s="22" t="s">
        <v>48</v>
      </c>
      <c r="E371" s="291" t="s">
        <v>351</v>
      </c>
      <c r="F371" s="292"/>
      <c r="G371" s="292"/>
      <c r="H371" s="292"/>
      <c r="I371" s="292"/>
      <c r="J371" s="292"/>
      <c r="K371" s="292"/>
      <c r="L371" s="4"/>
      <c r="M371" s="4"/>
      <c r="N371" s="4"/>
      <c r="O371" s="1"/>
      <c r="P371" s="1"/>
    </row>
    <row r="372" spans="2:16" x14ac:dyDescent="0.25">
      <c r="C372" s="287" t="s">
        <v>76</v>
      </c>
      <c r="D372" s="22" t="str">
        <f t="shared" ref="D372:D378" si="74">C350</f>
        <v>手淘搜索</v>
      </c>
      <c r="E372" s="152">
        <f>IFERROR(VLOOKUP("咖啡机"&amp;"-"&amp;E$361&amp;"-"&amp;$C$372&amp;"-"&amp;$D372&amp;"-汇总",dat_nespresso_compet_chl!$H:$N,4,0),"")</f>
        <v>0.23122847301951779</v>
      </c>
      <c r="F372" s="152">
        <f>IFERROR(VLOOKUP("咖啡机"&amp;"-"&amp;F$361&amp;"-"&amp;$C$372&amp;"-"&amp;$D372&amp;"-汇总",dat_nespresso_compet_chl!$H:$N,4,0),"")</f>
        <v>0.26165320074580478</v>
      </c>
      <c r="G372" s="152">
        <f>IFERROR(VLOOKUP("咖啡机"&amp;"-"&amp;G$361&amp;"-"&amp;$C$372&amp;"-"&amp;$D372&amp;"-汇总",dat_nespresso_compet_chl!$H:$N,4,0),"")</f>
        <v>0.20034038183616029</v>
      </c>
      <c r="H372" s="152">
        <f>IFERROR(VLOOKUP("咖啡机"&amp;"-"&amp;H$361&amp;"-"&amp;$C$372&amp;"-"&amp;$D372&amp;"-汇总",dat_nespresso_compet_chl!$H:$N,4,0),"")</f>
        <v>0.45009220647605119</v>
      </c>
      <c r="I372" s="152">
        <f>IFERROR(VLOOKUP("咖啡机"&amp;"-"&amp;I$361&amp;"-"&amp;$C$372&amp;"-"&amp;$D372&amp;"-汇总",dat_nespresso_compet_chl!$H:$N,4,0),"")</f>
        <v>0.4658672897491356</v>
      </c>
      <c r="J372" s="152">
        <f>IFERROR(VLOOKUP("咖啡机"&amp;"-"&amp;J$361&amp;"-"&amp;$C$372&amp;"-"&amp;$D372&amp;"-汇总",dat_nespresso_compet_chl!$H:$N,4,0),"")</f>
        <v>0.5816117948940982</v>
      </c>
      <c r="K372" s="152">
        <f>IFERROR(VLOOKUP("咖啡机"&amp;"-"&amp;K$361&amp;"-"&amp;$C$372&amp;"-"&amp;$D372&amp;"-汇总",dat_nespresso_compet_chl!$H:$N,4,0),"")</f>
        <v>0.45365474576012921</v>
      </c>
      <c r="L372" s="4"/>
      <c r="M372" s="4"/>
      <c r="N372" s="4"/>
    </row>
    <row r="373" spans="2:16" x14ac:dyDescent="0.25">
      <c r="C373" s="281"/>
      <c r="D373" s="22" t="str">
        <f t="shared" si="74"/>
        <v>手淘推荐</v>
      </c>
      <c r="E373" s="152">
        <f>IFERROR(VLOOKUP("咖啡机"&amp;"-"&amp;E$361&amp;"-"&amp;$C$372&amp;"-"&amp;$D373&amp;"-汇总",dat_nespresso_compet_chl!$H:$N,4,0),"")</f>
        <v>6.3918680518607718E-2</v>
      </c>
      <c r="F373" s="152">
        <f>IFERROR(VLOOKUP("咖啡机"&amp;"-"&amp;F$361&amp;"-"&amp;$C$372&amp;"-"&amp;$D373&amp;"-汇总",dat_nespresso_compet_chl!$H:$N,4,0),"")</f>
        <v>0.1935152712421202</v>
      </c>
      <c r="G373" s="152">
        <f>IFERROR(VLOOKUP("咖啡机"&amp;"-"&amp;G$361&amp;"-"&amp;$C$372&amp;"-"&amp;$D373&amp;"-汇总",dat_nespresso_compet_chl!$H:$N,4,0),"")</f>
        <v>7.626739940670875E-2</v>
      </c>
      <c r="H373" s="152">
        <f>IFERROR(VLOOKUP("咖啡机"&amp;"-"&amp;H$361&amp;"-"&amp;$C$372&amp;"-"&amp;$D373&amp;"-汇总",dat_nespresso_compet_chl!$H:$N,4,0),"")</f>
        <v>4.4799056337326178E-2</v>
      </c>
      <c r="I373" s="152">
        <f>IFERROR(VLOOKUP("咖啡机"&amp;"-"&amp;I$361&amp;"-"&amp;$C$372&amp;"-"&amp;$D373&amp;"-汇总",dat_nespresso_compet_chl!$H:$N,4,0),"")</f>
        <v>0.1105760881577493</v>
      </c>
      <c r="J373" s="152">
        <f>IFERROR(VLOOKUP("咖啡机"&amp;"-"&amp;J$361&amp;"-"&amp;$C$372&amp;"-"&amp;$D373&amp;"-汇总",dat_nespresso_compet_chl!$H:$N,4,0),"")</f>
        <v>6.7194363501935375E-2</v>
      </c>
      <c r="K373" s="152">
        <f>IFERROR(VLOOKUP("咖啡机"&amp;"-"&amp;K$361&amp;"-"&amp;$C$372&amp;"-"&amp;$D373&amp;"-汇总",dat_nespresso_compet_chl!$H:$N,4,0),"")</f>
        <v>0.25631218858091942</v>
      </c>
      <c r="L373" s="4"/>
      <c r="M373" s="4"/>
      <c r="N373" s="4"/>
    </row>
    <row r="374" spans="2:16" x14ac:dyDescent="0.25">
      <c r="C374" s="281"/>
      <c r="D374" s="22" t="str">
        <f t="shared" si="74"/>
        <v>天猫榜单</v>
      </c>
      <c r="E374" s="152">
        <f>IFERROR(VLOOKUP("咖啡机"&amp;"-"&amp;E$361&amp;"-"&amp;$C$372&amp;"-"&amp;$D374&amp;"-汇总",dat_nespresso_compet_chl!$H:$N,4,0),"")</f>
        <v>4.2379098877096691E-2</v>
      </c>
      <c r="F374" s="152">
        <f>IFERROR(VLOOKUP("咖啡机"&amp;"-"&amp;F$361&amp;"-"&amp;$C$372&amp;"-"&amp;$D374&amp;"-汇总",dat_nespresso_compet_chl!$H:$N,4,0),"")</f>
        <v>6.0402423865755117E-2</v>
      </c>
      <c r="G374" s="152">
        <f>IFERROR(VLOOKUP("咖啡机"&amp;"-"&amp;G$361&amp;"-"&amp;$C$372&amp;"-"&amp;$D374&amp;"-汇总",dat_nespresso_compet_chl!$H:$N,4,0),"")</f>
        <v>3.3424925838594348E-2</v>
      </c>
      <c r="H374" s="152">
        <f>IFERROR(VLOOKUP("咖啡机"&amp;"-"&amp;H$361&amp;"-"&amp;$C$372&amp;"-"&amp;$D374&amp;"-汇总",dat_nespresso_compet_chl!$H:$N,4,0),"")</f>
        <v>2.856739379641475E-2</v>
      </c>
      <c r="I374" s="152">
        <f>IFERROR(VLOOKUP("咖啡机"&amp;"-"&amp;I$361&amp;"-"&amp;$C$372&amp;"-"&amp;$D374&amp;"-汇总",dat_nespresso_compet_chl!$H:$N,4,0),"")</f>
        <v>6.8407508564752681E-2</v>
      </c>
      <c r="J374" s="152">
        <f>IFERROR(VLOOKUP("咖啡机"&amp;"-"&amp;J$361&amp;"-"&amp;$C$372&amp;"-"&amp;$D374&amp;"-汇总",dat_nespresso_compet_chl!$H:$N,4,0),"")</f>
        <v>3.5967468359935632E-2</v>
      </c>
      <c r="K374" s="152">
        <f>IFERROR(VLOOKUP("咖啡机"&amp;"-"&amp;K$361&amp;"-"&amp;$C$372&amp;"-"&amp;$D374&amp;"-汇总",dat_nespresso_compet_chl!$H:$N,4,0),"")</f>
        <v>4.6703338564919927E-2</v>
      </c>
      <c r="L374" s="4"/>
      <c r="M374" s="4"/>
      <c r="N374" s="4"/>
    </row>
    <row r="375" spans="2:16" x14ac:dyDescent="0.25">
      <c r="C375" s="281"/>
      <c r="D375" s="22" t="str">
        <f t="shared" si="74"/>
        <v>手淘其他店铺</v>
      </c>
      <c r="E375" s="152">
        <f>IFERROR(VLOOKUP("咖啡机"&amp;"-"&amp;E$361&amp;"-"&amp;$C$372&amp;"-"&amp;$D375&amp;"-汇总",dat_nespresso_compet_chl!$H:$N,4,0),"")</f>
        <v>2.115034583181653E-2</v>
      </c>
      <c r="F375" s="152">
        <f>IFERROR(VLOOKUP("咖啡机"&amp;"-"&amp;F$361&amp;"-"&amp;$C$372&amp;"-"&amp;$D375&amp;"-汇总",dat_nespresso_compet_chl!$H:$N,4,0),"")</f>
        <v>2.0642812749711449E-2</v>
      </c>
      <c r="G375" s="152">
        <f>IFERROR(VLOOKUP("咖啡机"&amp;"-"&amp;G$361&amp;"-"&amp;$C$372&amp;"-"&amp;$D375&amp;"-汇总",dat_nespresso_compet_chl!$H:$N,4,0),"")</f>
        <v>2.8880162774777521E-2</v>
      </c>
      <c r="H375" s="152">
        <f>IFERROR(VLOOKUP("咖啡机"&amp;"-"&amp;H$361&amp;"-"&amp;$C$372&amp;"-"&amp;$D375&amp;"-汇总",dat_nespresso_compet_chl!$H:$N,4,0),"")</f>
        <v>1.235234503497201E-2</v>
      </c>
      <c r="I375" s="152">
        <f>IFERROR(VLOOKUP("咖啡机"&amp;"-"&amp;I$361&amp;"-"&amp;$C$372&amp;"-"&amp;$D375&amp;"-汇总",dat_nespresso_compet_chl!$H:$N,4,0),"")</f>
        <v>2.7912410602927009E-2</v>
      </c>
      <c r="J375" s="152">
        <f>IFERROR(VLOOKUP("咖啡机"&amp;"-"&amp;J$361&amp;"-"&amp;$C$372&amp;"-"&amp;$D375&amp;"-汇总",dat_nespresso_compet_chl!$H:$N,4,0),"")</f>
        <v>2.2702561649197581E-2</v>
      </c>
      <c r="K375" s="152">
        <f>IFERROR(VLOOKUP("咖啡机"&amp;"-"&amp;K$361&amp;"-"&amp;$C$372&amp;"-"&amp;$D375&amp;"-汇总",dat_nespresso_compet_chl!$H:$N,4,0),"")</f>
        <v>1.487192771267923E-2</v>
      </c>
      <c r="L375" s="4"/>
      <c r="M375" s="4"/>
      <c r="N375" s="4"/>
    </row>
    <row r="376" spans="2:16" x14ac:dyDescent="0.25">
      <c r="C376" s="281"/>
      <c r="D376" s="22" t="str">
        <f t="shared" si="74"/>
        <v>手机天猫</v>
      </c>
      <c r="E376" s="152">
        <f>IFERROR(VLOOKUP("咖啡机"&amp;"-"&amp;E$361&amp;"-"&amp;$C$372&amp;"-"&amp;$D376&amp;"-汇总",dat_nespresso_compet_chl!$H:$N,4,0),"")</f>
        <v>9.9717173980006166E-3</v>
      </c>
      <c r="F376" s="152">
        <f>IFERROR(VLOOKUP("咖啡机"&amp;"-"&amp;F$361&amp;"-"&amp;$C$372&amp;"-"&amp;$D376&amp;"-汇总",dat_nespresso_compet_chl!$H:$N,4,0),"")</f>
        <v>6.7588564325668119E-3</v>
      </c>
      <c r="G376" s="152">
        <f>IFERROR(VLOOKUP("咖啡机"&amp;"-"&amp;G$361&amp;"-"&amp;$C$372&amp;"-"&amp;$D376&amp;"-汇总",dat_nespresso_compet_chl!$H:$N,4,0),"")</f>
        <v>6.3274891610253289E-3</v>
      </c>
      <c r="H376" s="152">
        <f>IFERROR(VLOOKUP("咖啡机"&amp;"-"&amp;H$361&amp;"-"&amp;$C$372&amp;"-"&amp;$D376&amp;"-汇总",dat_nespresso_compet_chl!$H:$N,4,0),"")</f>
        <v>1.2310810586300279E-2</v>
      </c>
      <c r="I376" s="152">
        <f>IFERROR(VLOOKUP("咖啡机"&amp;"-"&amp;I$361&amp;"-"&amp;$C$372&amp;"-"&amp;$D376&amp;"-汇总",dat_nespresso_compet_chl!$H:$N,4,0),"")</f>
        <v>9.2988743467895991E-3</v>
      </c>
      <c r="J376" s="152">
        <f>IFERROR(VLOOKUP("咖啡机"&amp;"-"&amp;J$361&amp;"-"&amp;$C$372&amp;"-"&amp;$D376&amp;"-汇总",dat_nespresso_compet_chl!$H:$N,4,0),"")</f>
        <v>1.126429782977428E-2</v>
      </c>
      <c r="K376" s="152">
        <f>IFERROR(VLOOKUP("咖啡机"&amp;"-"&amp;K$361&amp;"-"&amp;$C$372&amp;"-"&amp;$D376&amp;"-汇总",dat_nespresso_compet_chl!$H:$N,4,0),"")</f>
        <v>2.0250811403842928E-2</v>
      </c>
      <c r="L376" s="4"/>
      <c r="M376" s="4"/>
      <c r="N376" s="4"/>
    </row>
    <row r="377" spans="2:16" x14ac:dyDescent="0.25">
      <c r="C377" s="281"/>
      <c r="D377" s="22" t="str">
        <f t="shared" si="74"/>
        <v>大促会场</v>
      </c>
      <c r="E377" s="152">
        <f>IFERROR(VLOOKUP("咖啡机"&amp;"-"&amp;E$361&amp;"-"&amp;$C$372&amp;"-"&amp;$D377&amp;"-汇总",dat_nespresso_compet_chl!$H:$N,4,0),"")</f>
        <v>3.3211055417098371E-3</v>
      </c>
      <c r="F377" s="152">
        <f>IFERROR(VLOOKUP("咖啡机"&amp;"-"&amp;F$361&amp;"-"&amp;$C$372&amp;"-"&amp;$D377&amp;"-汇总",dat_nespresso_compet_chl!$H:$N,4,0),"")</f>
        <v>6.4924975583769869E-3</v>
      </c>
      <c r="G377" s="152">
        <f>IFERROR(VLOOKUP("咖啡机"&amp;"-"&amp;G$361&amp;"-"&amp;$C$372&amp;"-"&amp;$D377&amp;"-汇总",dat_nespresso_compet_chl!$H:$N,4,0),"")</f>
        <v>1.445196622803681E-3</v>
      </c>
      <c r="H377" s="152">
        <f>IFERROR(VLOOKUP("咖啡机"&amp;"-"&amp;H$361&amp;"-"&amp;$C$372&amp;"-"&amp;$D377&amp;"-汇总",dat_nespresso_compet_chl!$H:$N,4,0),"")</f>
        <v>1.528467711119603E-3</v>
      </c>
      <c r="I377" s="152">
        <f>IFERROR(VLOOKUP("咖啡机"&amp;"-"&amp;I$361&amp;"-"&amp;$C$372&amp;"-"&amp;$D377&amp;"-汇总",dat_nespresso_compet_chl!$H:$N,4,0),"")</f>
        <v>2.218152539429437E-3</v>
      </c>
      <c r="J377" s="152">
        <f>IFERROR(VLOOKUP("咖啡机"&amp;"-"&amp;J$361&amp;"-"&amp;$C$372&amp;"-"&amp;$D377&amp;"-汇总",dat_nespresso_compet_chl!$H:$N,4,0),"")</f>
        <v>1.296046622885226E-2</v>
      </c>
      <c r="K377" s="152">
        <f>IFERROR(VLOOKUP("咖啡机"&amp;"-"&amp;K$361&amp;"-"&amp;$C$372&amp;"-"&amp;$D377&amp;"-汇总",dat_nespresso_compet_chl!$H:$N,4,0),"")</f>
        <v>4.1751108537644568E-3</v>
      </c>
      <c r="L377" s="4"/>
      <c r="M377" s="4"/>
      <c r="N377" s="4"/>
    </row>
    <row r="378" spans="2:16" x14ac:dyDescent="0.25">
      <c r="C378" s="283"/>
      <c r="D378" s="22" t="str">
        <f t="shared" si="74"/>
        <v>淘宝特价版</v>
      </c>
      <c r="E378" s="152">
        <f>IFERROR(VLOOKUP("咖啡机"&amp;"-"&amp;E$361&amp;"-"&amp;$C$372&amp;"-"&amp;$D378&amp;"-汇总",dat_nespresso_compet_chl!$H:$N,4,0),"")</f>
        <v>2.520231861331242E-4</v>
      </c>
      <c r="F378" s="152">
        <f>IFERROR(VLOOKUP("咖啡机"&amp;"-"&amp;F$361&amp;"-"&amp;$C$372&amp;"-"&amp;$D378&amp;"-汇总",dat_nespresso_compet_chl!$H:$N,4,0),"")</f>
        <v>1.5537600994406471E-4</v>
      </c>
      <c r="G378" s="152">
        <f>IFERROR(VLOOKUP("咖啡机"&amp;"-"&amp;G$361&amp;"-"&amp;$C$372&amp;"-"&amp;$D378&amp;"-汇总",dat_nespresso_compet_chl!$H:$N,4,0),"")</f>
        <v>2.5671255799802239E-4</v>
      </c>
      <c r="H378" s="152">
        <f>IFERROR(VLOOKUP("咖啡机"&amp;"-"&amp;H$361&amp;"-"&amp;$C$372&amp;"-"&amp;$D378&amp;"-汇总",dat_nespresso_compet_chl!$H:$N,4,0),"")</f>
        <v>3.4058247910817232E-4</v>
      </c>
      <c r="I378" s="152">
        <f>IFERROR(VLOOKUP("咖啡机"&amp;"-"&amp;I$361&amp;"-"&amp;$C$372&amp;"-"&amp;$D378&amp;"-汇总",dat_nespresso_compet_chl!$H:$N,4,0),"")</f>
        <v>2.2891965709414121E-4</v>
      </c>
      <c r="J378" s="152">
        <f>IFERROR(VLOOKUP("咖啡机"&amp;"-"&amp;J$361&amp;"-"&amp;$C$372&amp;"-"&amp;$D378&amp;"-汇总",dat_nespresso_compet_chl!$H:$N,4,0),"")</f>
        <v>4.7840647153481501E-4</v>
      </c>
      <c r="K378" s="152">
        <f>IFERROR(VLOOKUP("咖啡机"&amp;"-"&amp;K$361&amp;"-"&amp;$C$372&amp;"-"&amp;$D378&amp;"-汇总",dat_nespresso_compet_chl!$H:$N,4,0),"")</f>
        <v>7.4664391180459262E-4</v>
      </c>
      <c r="L378" s="4"/>
      <c r="M378" s="4"/>
      <c r="N378" s="4"/>
    </row>
    <row r="379" spans="2:16" x14ac:dyDescent="0.25">
      <c r="C379" s="4"/>
      <c r="D379" s="22"/>
      <c r="E379" s="291" t="s">
        <v>108</v>
      </c>
      <c r="F379" s="269"/>
      <c r="G379" s="269"/>
      <c r="H379" s="269"/>
      <c r="I379" s="269"/>
      <c r="J379" s="269"/>
      <c r="K379" s="269"/>
      <c r="L379" s="4"/>
      <c r="M379" s="4"/>
      <c r="N379" s="4"/>
    </row>
    <row r="380" spans="2:16" x14ac:dyDescent="0.25">
      <c r="C380" s="287" t="s">
        <v>76</v>
      </c>
      <c r="D380" s="22" t="str">
        <f t="shared" ref="D380:D386" si="75">C350</f>
        <v>手淘搜索</v>
      </c>
      <c r="E380" s="153">
        <f>IFERROR(VLOOKUP("咖啡机"&amp;"-"&amp;E$361&amp;"-"&amp;$C$372&amp;"-"&amp;$D380&amp;"-汇总",dat_nespresso_compet_chl!$H:$N,6,0),"")</f>
        <v>82574</v>
      </c>
      <c r="F380" s="153">
        <f>IFERROR(VLOOKUP("咖啡机"&amp;"-"&amp;F$361&amp;"-"&amp;$C$372&amp;"-"&amp;$D380&amp;"-汇总",dat_nespresso_compet_chl!$H:$N,6,0),"")</f>
        <v>47152</v>
      </c>
      <c r="G380" s="153">
        <f>IFERROR(VLOOKUP("咖啡机"&amp;"-"&amp;G$361&amp;"-"&amp;$C$372&amp;"-"&amp;$D380&amp;"-汇总",dat_nespresso_compet_chl!$H:$N,6,0),"")</f>
        <v>42142</v>
      </c>
      <c r="H380" s="153">
        <f>IFERROR(VLOOKUP("咖啡机"&amp;"-"&amp;H$361&amp;"-"&amp;$C$372&amp;"-"&amp;$D380&amp;"-汇总",dat_nespresso_compet_chl!$H:$N,6,0),"")</f>
        <v>54183</v>
      </c>
      <c r="I380" s="153">
        <f>IFERROR(VLOOKUP("咖啡机"&amp;"-"&amp;I$361&amp;"-"&amp;$C$372&amp;"-"&amp;$D380&amp;"-汇总",dat_nespresso_compet_chl!$H:$N,6,0),"")</f>
        <v>59017</v>
      </c>
      <c r="J380" s="153">
        <f>IFERROR(VLOOKUP("咖啡机"&amp;"-"&amp;J$361&amp;"-"&amp;$C$372&amp;"-"&amp;$D380&amp;"-汇总",dat_nespresso_compet_chl!$H:$N,6,0),"")</f>
        <v>13373</v>
      </c>
      <c r="K380" s="153">
        <f>IFERROR(VLOOKUP("咖啡机"&amp;"-"&amp;K$361&amp;"-"&amp;$C$372&amp;"-"&amp;$D380&amp;"-汇总",dat_nespresso_compet_chl!$H:$N,6,0),"")</f>
        <v>29772</v>
      </c>
      <c r="L380" s="4"/>
      <c r="M380" s="4"/>
      <c r="N380" s="4"/>
    </row>
    <row r="381" spans="2:16" x14ac:dyDescent="0.25">
      <c r="C381" s="281"/>
      <c r="D381" s="22" t="str">
        <f t="shared" si="75"/>
        <v>手淘推荐</v>
      </c>
      <c r="E381" s="153">
        <f>IFERROR(VLOOKUP("咖啡机"&amp;"-"&amp;E$361&amp;"-"&amp;$C$372&amp;"-"&amp;$D381&amp;"-汇总",dat_nespresso_compet_chl!$H:$N,6,0),"")</f>
        <v>22826</v>
      </c>
      <c r="F381" s="153">
        <f>IFERROR(VLOOKUP("咖啡机"&amp;"-"&amp;F$361&amp;"-"&amp;$C$372&amp;"-"&amp;$D381&amp;"-汇总",dat_nespresso_compet_chl!$H:$N,6,0),"")</f>
        <v>34873</v>
      </c>
      <c r="G381" s="153">
        <f>IFERROR(VLOOKUP("咖啡机"&amp;"-"&amp;G$361&amp;"-"&amp;$C$372&amp;"-"&amp;$D381&amp;"-汇总",dat_nespresso_compet_chl!$H:$N,6,0),"")</f>
        <v>16043</v>
      </c>
      <c r="H381" s="153">
        <f>IFERROR(VLOOKUP("咖啡机"&amp;"-"&amp;H$361&amp;"-"&amp;$C$372&amp;"-"&amp;$D381&amp;"-汇总",dat_nespresso_compet_chl!$H:$N,6,0),"")</f>
        <v>5393</v>
      </c>
      <c r="I381" s="153">
        <f>IFERROR(VLOOKUP("咖啡机"&amp;"-"&amp;I$361&amp;"-"&amp;$C$372&amp;"-"&amp;$D381&amp;"-汇总",dat_nespresso_compet_chl!$H:$N,6,0),"")</f>
        <v>14008</v>
      </c>
      <c r="J381" s="153">
        <f>IFERROR(VLOOKUP("咖啡机"&amp;"-"&amp;J$361&amp;"-"&amp;$C$372&amp;"-"&amp;$D381&amp;"-汇总",dat_nespresso_compet_chl!$H:$N,6,0),"")</f>
        <v>1545</v>
      </c>
      <c r="K381" s="153">
        <f>IFERROR(VLOOKUP("咖啡机"&amp;"-"&amp;K$361&amp;"-"&amp;$C$372&amp;"-"&amp;$D381&amp;"-汇总",dat_nespresso_compet_chl!$H:$N,6,0),"")</f>
        <v>16821</v>
      </c>
      <c r="L381" s="4"/>
      <c r="M381" s="4"/>
      <c r="N381" s="4"/>
    </row>
    <row r="382" spans="2:16" x14ac:dyDescent="0.25">
      <c r="C382" s="281"/>
      <c r="D382" s="22" t="str">
        <f t="shared" si="75"/>
        <v>天猫榜单</v>
      </c>
      <c r="E382" s="153">
        <f>IFERROR(VLOOKUP("咖啡机"&amp;"-"&amp;E$361&amp;"-"&amp;$C$372&amp;"-"&amp;$D382&amp;"-汇总",dat_nespresso_compet_chl!$H:$N,6,0),"")</f>
        <v>15134</v>
      </c>
      <c r="F382" s="153">
        <f>IFERROR(VLOOKUP("咖啡机"&amp;"-"&amp;F$361&amp;"-"&amp;$C$372&amp;"-"&amp;$D382&amp;"-汇总",dat_nespresso_compet_chl!$H:$N,6,0),"")</f>
        <v>10885</v>
      </c>
      <c r="G382" s="153">
        <f>IFERROR(VLOOKUP("咖啡机"&amp;"-"&amp;G$361&amp;"-"&amp;$C$372&amp;"-"&amp;$D382&amp;"-汇总",dat_nespresso_compet_chl!$H:$N,6,0),"")</f>
        <v>7031</v>
      </c>
      <c r="H382" s="153">
        <f>IFERROR(VLOOKUP("咖啡机"&amp;"-"&amp;H$361&amp;"-"&amp;$C$372&amp;"-"&amp;$D382&amp;"-汇总",dat_nespresso_compet_chl!$H:$N,6,0),"")</f>
        <v>3439</v>
      </c>
      <c r="I382" s="153">
        <f>IFERROR(VLOOKUP("咖啡机"&amp;"-"&amp;I$361&amp;"-"&amp;$C$372&amp;"-"&amp;$D382&amp;"-汇总",dat_nespresso_compet_chl!$H:$N,6,0),"")</f>
        <v>8666</v>
      </c>
      <c r="J382" s="153">
        <f>IFERROR(VLOOKUP("咖啡机"&amp;"-"&amp;J$361&amp;"-"&amp;$C$372&amp;"-"&amp;$D382&amp;"-汇总",dat_nespresso_compet_chl!$H:$N,6,0),"")</f>
        <v>827</v>
      </c>
      <c r="K382" s="153">
        <f>IFERROR(VLOOKUP("咖啡机"&amp;"-"&amp;K$361&amp;"-"&amp;$C$372&amp;"-"&amp;$D382&amp;"-汇总",dat_nespresso_compet_chl!$H:$N,6,0),"")</f>
        <v>3065</v>
      </c>
      <c r="L382" s="4"/>
      <c r="M382" s="4"/>
      <c r="N382" s="4"/>
    </row>
    <row r="383" spans="2:16" x14ac:dyDescent="0.25">
      <c r="C383" s="281"/>
      <c r="D383" s="22" t="str">
        <f t="shared" si="75"/>
        <v>手淘其他店铺</v>
      </c>
      <c r="E383" s="153">
        <f>IFERROR(VLOOKUP("咖啡机"&amp;"-"&amp;E$361&amp;"-"&amp;$C$372&amp;"-"&amp;$D383&amp;"-汇总",dat_nespresso_compet_chl!$H:$N,6,0),"")</f>
        <v>7553</v>
      </c>
      <c r="F383" s="153">
        <f>IFERROR(VLOOKUP("咖啡机"&amp;"-"&amp;F$361&amp;"-"&amp;$C$372&amp;"-"&amp;$D383&amp;"-汇总",dat_nespresso_compet_chl!$H:$N,6,0),"")</f>
        <v>3720</v>
      </c>
      <c r="G383" s="153">
        <f>IFERROR(VLOOKUP("咖啡机"&amp;"-"&amp;G$361&amp;"-"&amp;$C$372&amp;"-"&amp;$D383&amp;"-汇总",dat_nespresso_compet_chl!$H:$N,6,0),"")</f>
        <v>6075</v>
      </c>
      <c r="H383" s="153">
        <f>IFERROR(VLOOKUP("咖啡机"&amp;"-"&amp;H$361&amp;"-"&amp;$C$372&amp;"-"&amp;$D383&amp;"-汇总",dat_nespresso_compet_chl!$H:$N,6,0),"")</f>
        <v>1487</v>
      </c>
      <c r="I383" s="153">
        <f>IFERROR(VLOOKUP("咖啡机"&amp;"-"&amp;I$361&amp;"-"&amp;$C$372&amp;"-"&amp;$D383&amp;"-汇总",dat_nespresso_compet_chl!$H:$N,6,0),"")</f>
        <v>3536</v>
      </c>
      <c r="J383" s="153">
        <f>IFERROR(VLOOKUP("咖啡机"&amp;"-"&amp;J$361&amp;"-"&amp;$C$372&amp;"-"&amp;$D383&amp;"-汇总",dat_nespresso_compet_chl!$H:$N,6,0),"")</f>
        <v>522</v>
      </c>
      <c r="K383" s="153">
        <f>IFERROR(VLOOKUP("咖啡机"&amp;"-"&amp;K$361&amp;"-"&amp;$C$372&amp;"-"&amp;$D383&amp;"-汇总",dat_nespresso_compet_chl!$H:$N,6,0),"")</f>
        <v>976</v>
      </c>
      <c r="L383" s="4"/>
      <c r="M383" s="4"/>
      <c r="N383" s="4"/>
    </row>
    <row r="384" spans="2:16" x14ac:dyDescent="0.25">
      <c r="C384" s="281"/>
      <c r="D384" s="22" t="str">
        <f t="shared" si="75"/>
        <v>手机天猫</v>
      </c>
      <c r="E384" s="153">
        <f>IFERROR(VLOOKUP("咖啡机"&amp;"-"&amp;E$361&amp;"-"&amp;$C$372&amp;"-"&amp;$D384&amp;"-汇总",dat_nespresso_compet_chl!$H:$N,6,0),"")</f>
        <v>3561</v>
      </c>
      <c r="F384" s="153">
        <f>IFERROR(VLOOKUP("咖啡机"&amp;"-"&amp;F$361&amp;"-"&amp;$C$372&amp;"-"&amp;$D384&amp;"-汇总",dat_nespresso_compet_chl!$H:$N,6,0),"")</f>
        <v>1218</v>
      </c>
      <c r="G384" s="153">
        <f>IFERROR(VLOOKUP("咖啡机"&amp;"-"&amp;G$361&amp;"-"&amp;$C$372&amp;"-"&amp;$D384&amp;"-汇总",dat_nespresso_compet_chl!$H:$N,6,0),"")</f>
        <v>1331</v>
      </c>
      <c r="H384" s="153">
        <f>IFERROR(VLOOKUP("咖啡机"&amp;"-"&amp;H$361&amp;"-"&amp;$C$372&amp;"-"&amp;$D384&amp;"-汇总",dat_nespresso_compet_chl!$H:$N,6,0),"")</f>
        <v>1482</v>
      </c>
      <c r="I384" s="153">
        <f>IFERROR(VLOOKUP("咖啡机"&amp;"-"&amp;I$361&amp;"-"&amp;$C$372&amp;"-"&amp;$D384&amp;"-汇总",dat_nespresso_compet_chl!$H:$N,6,0),"")</f>
        <v>1178</v>
      </c>
      <c r="J384" s="153">
        <f>IFERROR(VLOOKUP("咖啡机"&amp;"-"&amp;J$361&amp;"-"&amp;$C$372&amp;"-"&amp;$D384&amp;"-汇总",dat_nespresso_compet_chl!$H:$N,6,0),"")</f>
        <v>259</v>
      </c>
      <c r="K384" s="153">
        <f>IFERROR(VLOOKUP("咖啡机"&amp;"-"&amp;K$361&amp;"-"&amp;$C$372&amp;"-"&amp;$D384&amp;"-汇总",dat_nespresso_compet_chl!$H:$N,6,0),"")</f>
        <v>1329</v>
      </c>
      <c r="L384" s="4"/>
      <c r="M384" s="4"/>
      <c r="N384" s="4"/>
    </row>
    <row r="385" spans="2:16" x14ac:dyDescent="0.25">
      <c r="C385" s="281"/>
      <c r="D385" s="22" t="str">
        <f t="shared" si="75"/>
        <v>大促会场</v>
      </c>
      <c r="E385" s="153">
        <f>IFERROR(VLOOKUP("咖啡机"&amp;"-"&amp;E$361&amp;"-"&amp;$C$372&amp;"-"&amp;$D385&amp;"-汇总",dat_nespresso_compet_chl!$H:$N,6,0),"")</f>
        <v>1186</v>
      </c>
      <c r="F385" s="153">
        <f>IFERROR(VLOOKUP("咖啡机"&amp;"-"&amp;F$361&amp;"-"&amp;$C$372&amp;"-"&amp;$D385&amp;"-汇总",dat_nespresso_compet_chl!$H:$N,6,0),"")</f>
        <v>1170</v>
      </c>
      <c r="G385" s="153">
        <f>IFERROR(VLOOKUP("咖啡机"&amp;"-"&amp;G$361&amp;"-"&amp;$C$372&amp;"-"&amp;$D385&amp;"-汇总",dat_nespresso_compet_chl!$H:$N,6,0),"")</f>
        <v>304</v>
      </c>
      <c r="H385" s="153">
        <f>IFERROR(VLOOKUP("咖啡机"&amp;"-"&amp;H$361&amp;"-"&amp;$C$372&amp;"-"&amp;$D385&amp;"-汇总",dat_nespresso_compet_chl!$H:$N,6,0),"")</f>
        <v>184</v>
      </c>
      <c r="I385" s="153">
        <f>IFERROR(VLOOKUP("咖啡机"&amp;"-"&amp;I$361&amp;"-"&amp;$C$372&amp;"-"&amp;$D385&amp;"-汇总",dat_nespresso_compet_chl!$H:$N,6,0),"")</f>
        <v>281</v>
      </c>
      <c r="J385" s="153">
        <f>IFERROR(VLOOKUP("咖啡机"&amp;"-"&amp;J$361&amp;"-"&amp;$C$372&amp;"-"&amp;$D385&amp;"-汇总",dat_nespresso_compet_chl!$H:$N,6,0),"")</f>
        <v>298</v>
      </c>
      <c r="K385" s="153">
        <f>IFERROR(VLOOKUP("咖啡机"&amp;"-"&amp;K$361&amp;"-"&amp;$C$372&amp;"-"&amp;$D385&amp;"-汇总",dat_nespresso_compet_chl!$H:$N,6,0),"")</f>
        <v>274</v>
      </c>
      <c r="L385" s="4"/>
      <c r="M385" s="4"/>
      <c r="N385" s="4"/>
    </row>
    <row r="386" spans="2:16" x14ac:dyDescent="0.25">
      <c r="C386" s="283"/>
      <c r="D386" s="22" t="str">
        <f t="shared" si="75"/>
        <v>淘宝特价版</v>
      </c>
      <c r="E386" s="153">
        <f>IFERROR(VLOOKUP("咖啡机"&amp;"-"&amp;E$361&amp;"-"&amp;$C$372&amp;"-"&amp;$D386&amp;"-汇总",dat_nespresso_compet_chl!$H:$N,6,0),"")</f>
        <v>90</v>
      </c>
      <c r="F386" s="153">
        <f>IFERROR(VLOOKUP("咖啡机"&amp;"-"&amp;F$361&amp;"-"&amp;$C$372&amp;"-"&amp;$D386&amp;"-汇总",dat_nespresso_compet_chl!$H:$N,6,0),"")</f>
        <v>28</v>
      </c>
      <c r="G386" s="153">
        <f>IFERROR(VLOOKUP("咖啡机"&amp;"-"&amp;G$361&amp;"-"&amp;$C$372&amp;"-"&amp;$D386&amp;"-汇总",dat_nespresso_compet_chl!$H:$N,6,0),"")</f>
        <v>54</v>
      </c>
      <c r="H386" s="153">
        <f>IFERROR(VLOOKUP("咖啡机"&amp;"-"&amp;H$361&amp;"-"&amp;$C$372&amp;"-"&amp;$D386&amp;"-汇总",dat_nespresso_compet_chl!$H:$N,6,0),"")</f>
        <v>41</v>
      </c>
      <c r="I386" s="153">
        <f>IFERROR(VLOOKUP("咖啡机"&amp;"-"&amp;I$361&amp;"-"&amp;$C$372&amp;"-"&amp;$D386&amp;"-汇总",dat_nespresso_compet_chl!$H:$N,6,0),"")</f>
        <v>29</v>
      </c>
      <c r="J386" s="153">
        <f>IFERROR(VLOOKUP("咖啡机"&amp;"-"&amp;J$361&amp;"-"&amp;$C$372&amp;"-"&amp;$D386&amp;"-汇总",dat_nespresso_compet_chl!$H:$N,6,0),"")</f>
        <v>11</v>
      </c>
      <c r="K386" s="153">
        <f>IFERROR(VLOOKUP("咖啡机"&amp;"-"&amp;K$361&amp;"-"&amp;$C$372&amp;"-"&amp;$D386&amp;"-汇总",dat_nespresso_compet_chl!$H:$N,6,0),"")</f>
        <v>49</v>
      </c>
      <c r="L386" s="4"/>
      <c r="M386" s="4"/>
      <c r="N386" s="4"/>
    </row>
    <row r="387" spans="2:16" x14ac:dyDescent="0.25">
      <c r="C387" s="4"/>
      <c r="D387" s="22"/>
      <c r="E387" s="291" t="s">
        <v>21</v>
      </c>
      <c r="F387" s="269"/>
      <c r="G387" s="269"/>
      <c r="H387" s="269"/>
      <c r="I387" s="269"/>
      <c r="J387" s="269"/>
      <c r="K387" s="269"/>
      <c r="L387" s="4"/>
      <c r="M387" s="4"/>
      <c r="N387" s="4"/>
    </row>
    <row r="388" spans="2:16" x14ac:dyDescent="0.25">
      <c r="C388" s="287" t="s">
        <v>76</v>
      </c>
      <c r="D388" s="22" t="str">
        <f t="shared" ref="D388:D394" si="76">C350</f>
        <v>手淘搜索</v>
      </c>
      <c r="E388" s="130">
        <f>IFERROR(VLOOKUP("咖啡机"&amp;"-"&amp;E$361&amp;"-"&amp;$C$372&amp;"-"&amp;$D388&amp;"-汇总",dat_nespresso_compet_chl!$H:$N,7,0),"")</f>
        <v>1.06E-2</v>
      </c>
      <c r="F388" s="130">
        <f>IFERROR(VLOOKUP("咖啡机"&amp;"-"&amp;F$361&amp;"-"&amp;$C$372&amp;"-"&amp;$D388&amp;"-汇总",dat_nespresso_compet_chl!$H:$N,7,0),"")</f>
        <v>9.1000000000000004E-3</v>
      </c>
      <c r="G388" s="130">
        <f>IFERROR(VLOOKUP("咖啡机"&amp;"-"&amp;G$361&amp;"-"&amp;$C$372&amp;"-"&amp;$D388&amp;"-汇总",dat_nespresso_compet_chl!$H:$N,7,0),"")</f>
        <v>1.3100000000000001E-2</v>
      </c>
      <c r="H388" s="130">
        <f>IFERROR(VLOOKUP("咖啡机"&amp;"-"&amp;H$361&amp;"-"&amp;$C$372&amp;"-"&amp;$D388&amp;"-汇总",dat_nespresso_compet_chl!$H:$N,7,0),"")</f>
        <v>1.54E-2</v>
      </c>
      <c r="I388" s="130">
        <f>IFERROR(VLOOKUP("咖啡机"&amp;"-"&amp;I$361&amp;"-"&amp;$C$372&amp;"-"&amp;$D388&amp;"-汇总",dat_nespresso_compet_chl!$H:$N,7,0),"")</f>
        <v>1.5800000000000002E-2</v>
      </c>
      <c r="J388" s="130">
        <f>IFERROR(VLOOKUP("咖啡机"&amp;"-"&amp;J$361&amp;"-"&amp;$C$372&amp;"-"&amp;$D388&amp;"-汇总",dat_nespresso_compet_chl!$H:$N,7,0),"")</f>
        <v>1.1900000000000001E-2</v>
      </c>
      <c r="K388" s="130">
        <f>IFERROR(VLOOKUP("咖啡机"&amp;"-"&amp;K$361&amp;"-"&amp;$C$372&amp;"-"&amp;$D388&amp;"-汇总",dat_nespresso_compet_chl!$H:$N,7,0),"")</f>
        <v>1.0200000000000001E-2</v>
      </c>
      <c r="L388" s="4"/>
      <c r="M388" s="4"/>
      <c r="N388" s="4"/>
    </row>
    <row r="389" spans="2:16" x14ac:dyDescent="0.25">
      <c r="C389" s="281"/>
      <c r="D389" s="22" t="str">
        <f t="shared" si="76"/>
        <v>手淘推荐</v>
      </c>
      <c r="E389" s="130">
        <f>IFERROR(VLOOKUP("咖啡机"&amp;"-"&amp;E$361&amp;"-"&amp;$C$372&amp;"-"&amp;$D389&amp;"-汇总",dat_nespresso_compet_chl!$H:$N,7,0),"")</f>
        <v>1.4E-2</v>
      </c>
      <c r="F389" s="130">
        <f>IFERROR(VLOOKUP("咖啡机"&amp;"-"&amp;F$361&amp;"-"&amp;$C$372&amp;"-"&amp;$D389&amp;"-汇总",dat_nespresso_compet_chl!$H:$N,7,0),"")</f>
        <v>4.4000000000000003E-3</v>
      </c>
      <c r="G389" s="130">
        <f>IFERROR(VLOOKUP("咖啡机"&amp;"-"&amp;G$361&amp;"-"&amp;$C$372&amp;"-"&amp;$D389&amp;"-汇总",dat_nespresso_compet_chl!$H:$N,7,0),"")</f>
        <v>1.55E-2</v>
      </c>
      <c r="H389" s="130">
        <f>IFERROR(VLOOKUP("咖啡机"&amp;"-"&amp;H$361&amp;"-"&amp;$C$372&amp;"-"&amp;$D389&amp;"-汇总",dat_nespresso_compet_chl!$H:$N,7,0),"")</f>
        <v>2.9499999999999998E-2</v>
      </c>
      <c r="I389" s="130">
        <f>IFERROR(VLOOKUP("咖啡机"&amp;"-"&amp;I$361&amp;"-"&amp;$C$372&amp;"-"&amp;$D389&amp;"-汇总",dat_nespresso_compet_chl!$H:$N,7,0),"")</f>
        <v>1.4500000000000001E-2</v>
      </c>
      <c r="J389" s="130">
        <f>IFERROR(VLOOKUP("咖啡机"&amp;"-"&amp;J$361&amp;"-"&amp;$C$372&amp;"-"&amp;$D389&amp;"-汇总",dat_nespresso_compet_chl!$H:$N,7,0),"")</f>
        <v>2.7799999999999998E-2</v>
      </c>
      <c r="K389" s="130">
        <f>IFERROR(VLOOKUP("咖啡机"&amp;"-"&amp;K$361&amp;"-"&amp;$C$372&amp;"-"&amp;$D389&amp;"-汇总",dat_nespresso_compet_chl!$H:$N,7,0),"")</f>
        <v>3.8E-3</v>
      </c>
      <c r="L389" s="4"/>
      <c r="M389" s="4"/>
      <c r="N389" s="4"/>
    </row>
    <row r="390" spans="2:16" x14ac:dyDescent="0.25">
      <c r="C390" s="281"/>
      <c r="D390" s="22" t="str">
        <f t="shared" si="76"/>
        <v>天猫榜单</v>
      </c>
      <c r="E390" s="130">
        <f>IFERROR(VLOOKUP("咖啡机"&amp;"-"&amp;E$361&amp;"-"&amp;$C$372&amp;"-"&amp;$D390&amp;"-汇总",dat_nespresso_compet_chl!$H:$N,7,0),"")</f>
        <v>8.9999999999999993E-3</v>
      </c>
      <c r="F390" s="130">
        <f>IFERROR(VLOOKUP("咖啡机"&amp;"-"&amp;F$361&amp;"-"&amp;$C$372&amp;"-"&amp;$D390&amp;"-汇总",dat_nespresso_compet_chl!$H:$N,7,0),"")</f>
        <v>5.7000000000000002E-3</v>
      </c>
      <c r="G390" s="130">
        <f>IFERROR(VLOOKUP("咖啡机"&amp;"-"&amp;G$361&amp;"-"&amp;$C$372&amp;"-"&amp;$D390&amp;"-汇总",dat_nespresso_compet_chl!$H:$N,7,0),"")</f>
        <v>1.6199999999999999E-2</v>
      </c>
      <c r="H390" s="130">
        <f>IFERROR(VLOOKUP("咖啡机"&amp;"-"&amp;H$361&amp;"-"&amp;$C$372&amp;"-"&amp;$D390&amp;"-汇总",dat_nespresso_compet_chl!$H:$N,7,0),"")</f>
        <v>1.4200000000000001E-2</v>
      </c>
      <c r="I390" s="130">
        <f>IFERROR(VLOOKUP("咖啡机"&amp;"-"&amp;I$361&amp;"-"&amp;$C$372&amp;"-"&amp;$D390&amp;"-汇总",dat_nespresso_compet_chl!$H:$N,7,0),"")</f>
        <v>1.38E-2</v>
      </c>
      <c r="J390" s="130">
        <f>IFERROR(VLOOKUP("咖啡机"&amp;"-"&amp;J$361&amp;"-"&amp;$C$372&amp;"-"&amp;$D390&amp;"-汇总",dat_nespresso_compet_chl!$H:$N,7,0),"")</f>
        <v>1.8100000000000002E-2</v>
      </c>
      <c r="K390" s="130">
        <f>IFERROR(VLOOKUP("咖啡机"&amp;"-"&amp;K$361&amp;"-"&amp;$C$372&amp;"-"&amp;$D390&amp;"-汇总",dat_nespresso_compet_chl!$H:$N,7,0),"")</f>
        <v>5.8999999999999999E-3</v>
      </c>
      <c r="L390" s="4"/>
      <c r="M390" s="4"/>
      <c r="N390" s="4"/>
    </row>
    <row r="391" spans="2:16" x14ac:dyDescent="0.25">
      <c r="C391" s="281"/>
      <c r="D391" s="22" t="str">
        <f t="shared" si="76"/>
        <v>手淘其他店铺</v>
      </c>
      <c r="E391" s="130">
        <f>IFERROR(VLOOKUP("咖啡机"&amp;"-"&amp;E$361&amp;"-"&amp;$C$372&amp;"-"&amp;$D391&amp;"-汇总",dat_nespresso_compet_chl!$H:$N,7,0),"")</f>
        <v>9.9000000000000008E-3</v>
      </c>
      <c r="F391" s="130">
        <f>IFERROR(VLOOKUP("咖啡机"&amp;"-"&amp;F$361&amp;"-"&amp;$C$372&amp;"-"&amp;$D391&amp;"-汇总",dat_nespresso_compet_chl!$H:$N,7,0),"")</f>
        <v>5.4000000000000003E-3</v>
      </c>
      <c r="G391" s="130">
        <f>IFERROR(VLOOKUP("咖啡机"&amp;"-"&amp;G$361&amp;"-"&amp;$C$372&amp;"-"&amp;$D391&amp;"-汇总",dat_nespresso_compet_chl!$H:$N,7,0),"")</f>
        <v>1.15E-2</v>
      </c>
      <c r="H391" s="130">
        <f>IFERROR(VLOOKUP("咖啡机"&amp;"-"&amp;H$361&amp;"-"&amp;$C$372&amp;"-"&amp;$D391&amp;"-汇总",dat_nespresso_compet_chl!$H:$N,7,0),"")</f>
        <v>2.35E-2</v>
      </c>
      <c r="I391" s="130">
        <f>IFERROR(VLOOKUP("咖啡机"&amp;"-"&amp;I$361&amp;"-"&amp;$C$372&amp;"-"&amp;$D391&amp;"-汇总",dat_nespresso_compet_chl!$H:$N,7,0),"")</f>
        <v>1.38E-2</v>
      </c>
      <c r="J391" s="130">
        <f>IFERROR(VLOOKUP("咖啡机"&amp;"-"&amp;J$361&amp;"-"&amp;$C$372&amp;"-"&amp;$D391&amp;"-汇总",dat_nespresso_compet_chl!$H:$N,7,0),"")</f>
        <v>4.02E-2</v>
      </c>
      <c r="K391" s="130">
        <f>IFERROR(VLOOKUP("咖啡机"&amp;"-"&amp;K$361&amp;"-"&amp;$C$372&amp;"-"&amp;$D391&amp;"-汇总",dat_nespresso_compet_chl!$H:$N,7,0),"")</f>
        <v>5.1000000000000004E-3</v>
      </c>
      <c r="L391" s="4"/>
      <c r="M391" s="4"/>
      <c r="N391" s="4"/>
    </row>
    <row r="392" spans="2:16" x14ac:dyDescent="0.25">
      <c r="C392" s="281"/>
      <c r="D392" s="22" t="str">
        <f t="shared" si="76"/>
        <v>手机天猫</v>
      </c>
      <c r="E392" s="130">
        <f>IFERROR(VLOOKUP("咖啡机"&amp;"-"&amp;E$361&amp;"-"&amp;$C$372&amp;"-"&amp;$D392&amp;"-汇总",dat_nespresso_compet_chl!$H:$N,7,0),"")</f>
        <v>1.49E-2</v>
      </c>
      <c r="F392" s="130">
        <f>IFERROR(VLOOKUP("咖啡机"&amp;"-"&amp;F$361&amp;"-"&amp;$C$372&amp;"-"&amp;$D392&amp;"-汇总",dat_nespresso_compet_chl!$H:$N,7,0),"")</f>
        <v>1.06E-2</v>
      </c>
      <c r="G392" s="130">
        <f>IFERROR(VLOOKUP("咖啡机"&amp;"-"&amp;G$361&amp;"-"&amp;$C$372&amp;"-"&amp;$D392&amp;"-汇总",dat_nespresso_compet_chl!$H:$N,7,0),"")</f>
        <v>8.9999999999999993E-3</v>
      </c>
      <c r="H392" s="130">
        <f>IFERROR(VLOOKUP("咖啡机"&amp;"-"&amp;H$361&amp;"-"&amp;$C$372&amp;"-"&amp;$D392&amp;"-汇总",dat_nespresso_compet_chl!$H:$N,7,0),"")</f>
        <v>2.76E-2</v>
      </c>
      <c r="I392" s="130">
        <f>IFERROR(VLOOKUP("咖啡机"&amp;"-"&amp;I$361&amp;"-"&amp;$C$372&amp;"-"&amp;$D392&amp;"-汇总",dat_nespresso_compet_chl!$H:$N,7,0),"")</f>
        <v>1.6899999999999998E-2</v>
      </c>
      <c r="J392" s="130">
        <f>IFERROR(VLOOKUP("咖啡机"&amp;"-"&amp;J$361&amp;"-"&amp;$C$372&amp;"-"&amp;$D392&amp;"-汇总",dat_nespresso_compet_chl!$H:$N,7,0),"")</f>
        <v>2.69E-2</v>
      </c>
      <c r="K392" s="130">
        <f>IFERROR(VLOOKUP("咖啡机"&amp;"-"&amp;K$361&amp;"-"&amp;$C$372&amp;"-"&amp;$D392&amp;"-汇总",dat_nespresso_compet_chl!$H:$N,7,0),"")</f>
        <v>8.9999999999999993E-3</v>
      </c>
      <c r="L392" s="4"/>
      <c r="M392" s="4"/>
      <c r="N392" s="4"/>
    </row>
    <row r="393" spans="2:16" x14ac:dyDescent="0.25">
      <c r="C393" s="281"/>
      <c r="D393" s="22" t="str">
        <f t="shared" si="76"/>
        <v>大促会场</v>
      </c>
      <c r="E393" s="130">
        <f>IFERROR(VLOOKUP("咖啡机"&amp;"-"&amp;E$361&amp;"-"&amp;$C$372&amp;"-"&amp;$D393&amp;"-汇总",dat_nespresso_compet_chl!$H:$N,7,0),"")</f>
        <v>2.7799999999999998E-2</v>
      </c>
      <c r="F393" s="130">
        <f>IFERROR(VLOOKUP("咖啡机"&amp;"-"&amp;F$361&amp;"-"&amp;$C$372&amp;"-"&amp;$D393&amp;"-汇总",dat_nespresso_compet_chl!$H:$N,7,0),"")</f>
        <v>1.2800000000000001E-2</v>
      </c>
      <c r="G393" s="130">
        <f>IFERROR(VLOOKUP("咖啡机"&amp;"-"&amp;G$361&amp;"-"&amp;$C$372&amp;"-"&amp;$D393&amp;"-汇总",dat_nespresso_compet_chl!$H:$N,7,0),"")</f>
        <v>9.7999999999999997E-3</v>
      </c>
      <c r="H393" s="130">
        <f>IFERROR(VLOOKUP("咖啡机"&amp;"-"&amp;H$361&amp;"-"&amp;$C$372&amp;"-"&amp;$D393&amp;"-汇总",dat_nespresso_compet_chl!$H:$N,7,0),"")</f>
        <v>4.3499999999999997E-2</v>
      </c>
      <c r="I393" s="130">
        <f>IFERROR(VLOOKUP("咖啡机"&amp;"-"&amp;I$361&amp;"-"&amp;$C$372&amp;"-"&amp;$D393&amp;"-汇总",dat_nespresso_compet_chl!$H:$N,7,0),"")</f>
        <v>7.1000000000000004E-3</v>
      </c>
      <c r="J393" s="130">
        <f>IFERROR(VLOOKUP("咖啡机"&amp;"-"&amp;J$361&amp;"-"&amp;$C$372&amp;"-"&amp;$D393&amp;"-汇总",dat_nespresso_compet_chl!$H:$N,7,0),"")</f>
        <v>3.3999999999999998E-3</v>
      </c>
      <c r="K393" s="130">
        <f>IFERROR(VLOOKUP("咖啡机"&amp;"-"&amp;K$361&amp;"-"&amp;$C$372&amp;"-"&amp;$D393&amp;"-汇总",dat_nespresso_compet_chl!$H:$N,7,0),"")</f>
        <v>3.7000000000000002E-3</v>
      </c>
      <c r="L393" s="4"/>
      <c r="M393" s="4"/>
      <c r="N393" s="4"/>
    </row>
    <row r="394" spans="2:16" x14ac:dyDescent="0.25">
      <c r="C394" s="283"/>
      <c r="D394" s="22" t="str">
        <f t="shared" si="76"/>
        <v>淘宝特价版</v>
      </c>
      <c r="E394" s="130">
        <f>IFERROR(VLOOKUP("咖啡机"&amp;"-"&amp;E$361&amp;"-"&amp;$C$372&amp;"-"&amp;$D394&amp;"-汇总",dat_nespresso_compet_chl!$H:$N,7,0),"")</f>
        <v>0</v>
      </c>
      <c r="F394" s="130">
        <f>IFERROR(VLOOKUP("咖啡机"&amp;"-"&amp;F$361&amp;"-"&amp;$C$372&amp;"-"&amp;$D394&amp;"-汇总",dat_nespresso_compet_chl!$H:$N,7,0),"")</f>
        <v>0</v>
      </c>
      <c r="G394" s="130">
        <f>IFERROR(VLOOKUP("咖啡机"&amp;"-"&amp;G$361&amp;"-"&amp;$C$372&amp;"-"&amp;$D394&amp;"-汇总",dat_nespresso_compet_chl!$H:$N,7,0),"")</f>
        <v>3.6400000000000002E-2</v>
      </c>
      <c r="H394" s="130">
        <f>IFERROR(VLOOKUP("咖啡机"&amp;"-"&amp;H$361&amp;"-"&amp;$C$372&amp;"-"&amp;$D394&amp;"-汇总",dat_nespresso_compet_chl!$H:$N,7,0),"")</f>
        <v>0</v>
      </c>
      <c r="I394" s="130">
        <f>IFERROR(VLOOKUP("咖啡机"&amp;"-"&amp;I$361&amp;"-"&amp;$C$372&amp;"-"&amp;$D394&amp;"-汇总",dat_nespresso_compet_chl!$H:$N,7,0),"")</f>
        <v>0</v>
      </c>
      <c r="J394" s="130">
        <f>IFERROR(VLOOKUP("咖啡机"&amp;"-"&amp;J$361&amp;"-"&amp;$C$372&amp;"-"&amp;$D394&amp;"-汇总",dat_nespresso_compet_chl!$H:$N,7,0),"")</f>
        <v>0</v>
      </c>
      <c r="K394" s="130">
        <f>IFERROR(VLOOKUP("咖啡机"&amp;"-"&amp;K$361&amp;"-"&amp;$C$372&amp;"-"&amp;$D394&amp;"-汇总",dat_nespresso_compet_chl!$H:$N,7,0),"")</f>
        <v>0.02</v>
      </c>
      <c r="L394" s="4"/>
      <c r="M394" s="4"/>
      <c r="N394" s="4"/>
    </row>
    <row r="395" spans="2:16" x14ac:dyDescent="0.25">
      <c r="B395" s="4" t="s">
        <v>59</v>
      </c>
      <c r="C395" s="4"/>
      <c r="D395" s="4"/>
      <c r="E395" s="14"/>
      <c r="F395" s="154"/>
      <c r="G395" s="14"/>
      <c r="H395" s="154"/>
      <c r="I395" s="4"/>
      <c r="J395" s="4"/>
      <c r="K395" s="4"/>
      <c r="L395" s="4"/>
      <c r="M395" s="4"/>
      <c r="N395" s="4"/>
    </row>
    <row r="396" spans="2:16" s="147" customFormat="1" ht="16.25" customHeight="1" x14ac:dyDescent="0.25">
      <c r="C396" s="22" t="s">
        <v>48</v>
      </c>
      <c r="D396" s="22" t="s">
        <v>49</v>
      </c>
      <c r="E396" s="291" t="s">
        <v>351</v>
      </c>
      <c r="F396" s="292"/>
      <c r="G396" s="292"/>
      <c r="H396" s="292"/>
      <c r="I396" s="292"/>
      <c r="J396" s="292"/>
      <c r="K396" s="292"/>
      <c r="L396" s="4"/>
      <c r="M396" s="4"/>
      <c r="N396" s="4"/>
      <c r="O396" s="1"/>
      <c r="P396" s="1"/>
    </row>
    <row r="397" spans="2:16" x14ac:dyDescent="0.25">
      <c r="B397" s="288" t="s">
        <v>59</v>
      </c>
      <c r="C397" s="293" t="s">
        <v>60</v>
      </c>
      <c r="D397" s="22" t="s">
        <v>61</v>
      </c>
      <c r="E397" s="152">
        <f>IFERROR(VLOOKUP("咖啡机"&amp;"-"&amp;E$361&amp;"-"&amp;$B$397&amp;"-"&amp;$C$397&amp;"-"&amp;$D397,dat_nespresso_compet_chl!$H:$N,4,0),"")</f>
        <v>0.39210138182076648</v>
      </c>
      <c r="F397" s="152">
        <f>IFERROR(VLOOKUP("咖啡机"&amp;"-"&amp;F$361&amp;"-"&amp;$B$397&amp;"-"&amp;$C$397&amp;"-"&amp;$D397,dat_nespresso_compet_chl!$H:$N,4,0),"")</f>
        <v>0.41910494011083971</v>
      </c>
      <c r="G397" s="152">
        <f>IFERROR(VLOOKUP("咖啡机"&amp;"-"&amp;G$361&amp;"-"&amp;$B$397&amp;"-"&amp;$C$397&amp;"-"&amp;$D397,dat_nespresso_compet_chl!$H:$N,4,0),"")</f>
        <v>0.84342632587177946</v>
      </c>
      <c r="H397" s="152">
        <f>IFERROR(VLOOKUP("咖啡机"&amp;"-"&amp;H$361&amp;"-"&amp;$B$397&amp;"-"&amp;$C$397&amp;"-"&amp;$D397,dat_nespresso_compet_chl!$H:$N,4,0),"")</f>
        <v>0.5047789890069454</v>
      </c>
      <c r="I397" s="152">
        <f>IFERROR(VLOOKUP("咖啡机"&amp;"-"&amp;I$361&amp;"-"&amp;$B$397&amp;"-"&amp;$C$397&amp;"-"&amp;$D397,dat_nespresso_compet_chl!$H:$N,4,0),"")</f>
        <v>0.43502918752726588</v>
      </c>
      <c r="J397" s="152">
        <f>IFERROR(VLOOKUP("咖啡机"&amp;"-"&amp;J$361&amp;"-"&amp;$B$397&amp;"-"&amp;$C$397&amp;"-"&amp;$D397,dat_nespresso_compet_chl!$H:$N,4,0),"")</f>
        <v>0.40804996530187371</v>
      </c>
      <c r="K397" s="152">
        <f>IFERROR(VLOOKUP("咖啡机"&amp;"-"&amp;K$361&amp;"-"&amp;$B$397&amp;"-"&amp;$C$397&amp;"-"&amp;$D397,dat_nespresso_compet_chl!$H:$N,4,0),"")</f>
        <v>0.20673186085295289</v>
      </c>
      <c r="L397" s="4"/>
      <c r="M397" s="4"/>
      <c r="N397" s="4"/>
    </row>
    <row r="398" spans="2:16" x14ac:dyDescent="0.25">
      <c r="B398" s="269"/>
      <c r="C398" s="281"/>
      <c r="D398" s="22" t="s">
        <v>63</v>
      </c>
      <c r="E398" s="152">
        <f>IFERROR(VLOOKUP("咖啡机"&amp;"-"&amp;E$361&amp;"-"&amp;$B$397&amp;"-"&amp;$C$397&amp;"-"&amp;$D398,dat_nespresso_compet_chl!$H:$N,4,0),"")</f>
        <v>0.2193006557121592</v>
      </c>
      <c r="F398" s="152">
        <f>IFERROR(VLOOKUP("咖啡机"&amp;"-"&amp;F$361&amp;"-"&amp;$B$397&amp;"-"&amp;$C$397&amp;"-"&amp;$D398,dat_nespresso_compet_chl!$H:$N,4,0),"")</f>
        <v>4.5411477265955548E-2</v>
      </c>
      <c r="G398" s="152">
        <f>IFERROR(VLOOKUP("咖啡机"&amp;"-"&amp;G$361&amp;"-"&amp;$B$397&amp;"-"&amp;$C$397&amp;"-"&amp;$D398,dat_nespresso_compet_chl!$H:$N,4,0),"")</f>
        <v>5.6161969182975571E-2</v>
      </c>
      <c r="H398" s="152">
        <f>IFERROR(VLOOKUP("咖啡机"&amp;"-"&amp;H$361&amp;"-"&amp;$B$397&amp;"-"&amp;$C$397&amp;"-"&amp;$D398,dat_nespresso_compet_chl!$H:$N,4,0),"")</f>
        <v>0.23632307621544549</v>
      </c>
      <c r="I398" s="152">
        <f>IFERROR(VLOOKUP("咖啡机"&amp;"-"&amp;I$361&amp;"-"&amp;$B$397&amp;"-"&amp;$C$397&amp;"-"&amp;$D398,dat_nespresso_compet_chl!$H:$N,4,0),"")</f>
        <v>0.36556771991053311</v>
      </c>
      <c r="J398" s="152">
        <f>IFERROR(VLOOKUP("咖啡机"&amp;"-"&amp;J$361&amp;"-"&amp;$B$397&amp;"-"&amp;$C$397&amp;"-"&amp;$D398,dat_nespresso_compet_chl!$H:$N,4,0),"")</f>
        <v>0.53409090909090906</v>
      </c>
      <c r="K398" s="152">
        <f>IFERROR(VLOOKUP("咖啡机"&amp;"-"&amp;K$361&amp;"-"&amp;$B$397&amp;"-"&amp;$C$397&amp;"-"&amp;$D398,dat_nespresso_compet_chl!$H:$N,4,0),"")</f>
        <v>0.1038591930849273</v>
      </c>
      <c r="L398" s="4"/>
      <c r="M398" s="4"/>
      <c r="N398" s="4"/>
    </row>
    <row r="399" spans="2:16" x14ac:dyDescent="0.25">
      <c r="B399" s="269"/>
      <c r="C399" s="281"/>
      <c r="D399" s="22" t="s">
        <v>62</v>
      </c>
      <c r="E399" s="152">
        <f>IFERROR(VLOOKUP("咖啡机"&amp;"-"&amp;E$361&amp;"-"&amp;$B$397&amp;"-"&amp;$C$397&amp;"-"&amp;$D399,dat_nespresso_compet_chl!$H:$N,4,0),"")</f>
        <v>0.41412385127349233</v>
      </c>
      <c r="F399" s="152">
        <f>IFERROR(VLOOKUP("咖啡机"&amp;"-"&amp;F$361&amp;"-"&amp;$B$397&amp;"-"&amp;$C$397&amp;"-"&amp;$D399,dat_nespresso_compet_chl!$H:$N,4,0),"")</f>
        <v>0.55126929265240454</v>
      </c>
      <c r="G399" s="152">
        <f>IFERROR(VLOOKUP("咖啡机"&amp;"-"&amp;G$361&amp;"-"&amp;$B$397&amp;"-"&amp;$C$397&amp;"-"&amp;$D399,dat_nespresso_compet_chl!$H:$N,4,0),"")</f>
        <v>0.10791017694698429</v>
      </c>
      <c r="H399" s="152">
        <f>IFERROR(VLOOKUP("咖啡机"&amp;"-"&amp;H$361&amp;"-"&amp;$B$397&amp;"-"&amp;$C$397&amp;"-"&amp;$D399,dat_nespresso_compet_chl!$H:$N,4,0),"")</f>
        <v>0.29419529920426851</v>
      </c>
      <c r="I399" s="152">
        <f>IFERROR(VLOOKUP("咖啡机"&amp;"-"&amp;I$361&amp;"-"&amp;$B$397&amp;"-"&amp;$C$397&amp;"-"&amp;$D399,dat_nespresso_compet_chl!$H:$N,4,0),"")</f>
        <v>0.28675100927214692</v>
      </c>
      <c r="J399" s="152">
        <f>IFERROR(VLOOKUP("咖啡机"&amp;"-"&amp;J$361&amp;"-"&amp;$B$397&amp;"-"&amp;$C$397&amp;"-"&amp;$D399,dat_nespresso_compet_chl!$H:$N,4,0),"")</f>
        <v>1.040943789035392E-3</v>
      </c>
      <c r="K399" s="152">
        <f>IFERROR(VLOOKUP("咖啡机"&amp;"-"&amp;K$361&amp;"-"&amp;$B$397&amp;"-"&amp;$C$397&amp;"-"&amp;$D399,dat_nespresso_compet_chl!$H:$N,4,0),"")</f>
        <v>0.2021593943047737</v>
      </c>
      <c r="L399" s="4"/>
      <c r="M399" s="4"/>
      <c r="N399" s="4"/>
    </row>
    <row r="400" spans="2:16" x14ac:dyDescent="0.25">
      <c r="B400" s="269"/>
      <c r="C400" s="293" t="s">
        <v>64</v>
      </c>
      <c r="D400" s="22" t="s">
        <v>65</v>
      </c>
      <c r="E400" s="152">
        <f>IFERROR(VLOOKUP("咖啡机"&amp;"-"&amp;E$361&amp;"-"&amp;$B$397&amp;"-"&amp;$C$400&amp;"-"&amp;$D400,dat_nespresso_compet_chl!$H:$N,4,0),"")</f>
        <v>4.5343514163355303E-2</v>
      </c>
      <c r="F400" s="152">
        <f>IFERROR(VLOOKUP("咖啡机"&amp;"-"&amp;F$361&amp;"-"&amp;$B$397&amp;"-"&amp;$C$400&amp;"-"&amp;$D400,dat_nespresso_compet_chl!$H:$N,4,0),"")</f>
        <v>0</v>
      </c>
      <c r="G400" s="152">
        <f>IFERROR(VLOOKUP("咖啡机"&amp;"-"&amp;G$361&amp;"-"&amp;$B$397&amp;"-"&amp;$C$400&amp;"-"&amp;$D400,dat_nespresso_compet_chl!$H:$N,4,0),"")</f>
        <v>0</v>
      </c>
      <c r="H400" s="152">
        <f>IFERROR(VLOOKUP("咖啡机"&amp;"-"&amp;H$361&amp;"-"&amp;$B$397&amp;"-"&amp;$C$400&amp;"-"&amp;$D400,dat_nespresso_compet_chl!$H:$N,4,0),"")</f>
        <v>3.9174830964537048E-2</v>
      </c>
      <c r="I400" s="152">
        <f>IFERROR(VLOOKUP("咖啡机"&amp;"-"&amp;I$361&amp;"-"&amp;$B$397&amp;"-"&amp;$C$400&amp;"-"&amp;$D400,dat_nespresso_compet_chl!$H:$N,4,0),"")</f>
        <v>0</v>
      </c>
      <c r="J400" s="152">
        <f>IFERROR(VLOOKUP("咖啡机"&amp;"-"&amp;J$361&amp;"-"&amp;$B$397&amp;"-"&amp;$C$400&amp;"-"&amp;$D400,dat_nespresso_compet_chl!$H:$N,4,0),"")</f>
        <v>0.1433032616238723</v>
      </c>
      <c r="K400" s="152">
        <f>IFERROR(VLOOKUP("咖啡机"&amp;"-"&amp;K$361&amp;"-"&amp;$B$397&amp;"-"&amp;$C$400&amp;"-"&amp;$D400,dat_nespresso_compet_chl!$H:$N,4,0),"")</f>
        <v>1.926856194361147E-2</v>
      </c>
      <c r="L400" s="4"/>
      <c r="M400" s="4"/>
      <c r="N400" s="4"/>
    </row>
    <row r="401" spans="2:16" x14ac:dyDescent="0.25">
      <c r="B401" s="269"/>
      <c r="C401" s="281"/>
      <c r="D401" s="22" t="s">
        <v>67</v>
      </c>
      <c r="E401" s="152">
        <f>IFERROR(VLOOKUP("咖啡机"&amp;"-"&amp;E$361&amp;"-"&amp;$B$397&amp;"-"&amp;$C$400&amp;"-"&amp;$D401,dat_nespresso_compet_chl!$H:$N,4,0),"")</f>
        <v>0</v>
      </c>
      <c r="F401" s="152">
        <f>IFERROR(VLOOKUP("咖啡机"&amp;"-"&amp;F$361&amp;"-"&amp;$B$397&amp;"-"&amp;$C$400&amp;"-"&amp;$D401,dat_nespresso_compet_chl!$H:$N,4,0),"")</f>
        <v>0</v>
      </c>
      <c r="G401" s="152">
        <f>IFERROR(VLOOKUP("咖啡机"&amp;"-"&amp;G$361&amp;"-"&amp;$B$397&amp;"-"&amp;$C$400&amp;"-"&amp;$D401,dat_nespresso_compet_chl!$H:$N,4,0),"")</f>
        <v>1.946676620874576E-2</v>
      </c>
      <c r="H401" s="152">
        <f>IFERROR(VLOOKUP("咖啡机"&amp;"-"&amp;H$361&amp;"-"&amp;$B$397&amp;"-"&amp;$C$400&amp;"-"&amp;$D401,dat_nespresso_compet_chl!$H:$N,4,0),"")</f>
        <v>4.6456004783588611E-4</v>
      </c>
      <c r="I401" s="152">
        <f>IFERROR(VLOOKUP("咖啡机"&amp;"-"&amp;I$361&amp;"-"&amp;$B$397&amp;"-"&amp;$C$400&amp;"-"&amp;$D401,dat_nespresso_compet_chl!$H:$N,4,0),"")</f>
        <v>8.3580890652374118E-3</v>
      </c>
      <c r="J401" s="152">
        <f>IFERROR(VLOOKUP("咖啡机"&amp;"-"&amp;J$361&amp;"-"&amp;$B$397&amp;"-"&amp;$C$400&amp;"-"&amp;$D401,dat_nespresso_compet_chl!$H:$N,4,0),"")</f>
        <v>0</v>
      </c>
      <c r="K401" s="152">
        <f>IFERROR(VLOOKUP("咖啡机"&amp;"-"&amp;K$361&amp;"-"&amp;$B$397&amp;"-"&amp;$C$400&amp;"-"&amp;$D401,dat_nespresso_compet_chl!$H:$N,4,0),"")</f>
        <v>0</v>
      </c>
      <c r="L401" s="4"/>
      <c r="M401" s="4"/>
      <c r="N401" s="4"/>
    </row>
    <row r="402" spans="2:16" x14ac:dyDescent="0.25">
      <c r="B402" s="269"/>
      <c r="C402" s="293" t="s">
        <v>72</v>
      </c>
      <c r="D402" s="22" t="s">
        <v>73</v>
      </c>
      <c r="E402" s="152">
        <f>IFERROR(VLOOKUP("咖啡机"&amp;"-"&amp;E$361&amp;"-"&amp;$B$397&amp;"-"&amp;$C$402&amp;"-"&amp;$D402,dat_nespresso_compet_chl!$H:$N,4,0),"")</f>
        <v>7.0000041007639721E-2</v>
      </c>
      <c r="F402" s="152">
        <f>IFERROR(VLOOKUP("咖啡机"&amp;"-"&amp;F$361&amp;"-"&amp;$B$397&amp;"-"&amp;$C$402&amp;"-"&amp;$D402,dat_nespresso_compet_chl!$H:$N,4,0),"")</f>
        <v>3.7292175674870393E-2</v>
      </c>
      <c r="G402" s="152">
        <f>IFERROR(VLOOKUP("咖啡机"&amp;"-"&amp;G$361&amp;"-"&amp;$B$397&amp;"-"&amp;$C$402&amp;"-"&amp;$D402,dat_nespresso_compet_chl!$H:$N,4,0),"")</f>
        <v>2.4516338984534061E-2</v>
      </c>
      <c r="H402" s="152">
        <f>IFERROR(VLOOKUP("咖啡机"&amp;"-"&amp;H$361&amp;"-"&amp;$B$397&amp;"-"&amp;$C$402&amp;"-"&amp;$D402,dat_nespresso_compet_chl!$H:$N,4,0),"")</f>
        <v>3.6047099949404353E-2</v>
      </c>
      <c r="I402" s="152">
        <f>IFERROR(VLOOKUP("咖啡机"&amp;"-"&amp;I$361&amp;"-"&amp;$B$397&amp;"-"&amp;$C$402&amp;"-"&amp;$D402,dat_nespresso_compet_chl!$H:$N,4,0),"")</f>
        <v>4.9649957413216442E-2</v>
      </c>
      <c r="J402" s="152">
        <f>IFERROR(VLOOKUP("咖啡机"&amp;"-"&amp;J$361&amp;"-"&amp;$B$397&amp;"-"&amp;$C$402&amp;"-"&amp;$D402,dat_nespresso_compet_chl!$H:$N,4,0),"")</f>
        <v>3.274635669673838E-2</v>
      </c>
      <c r="K402" s="152">
        <f>IFERROR(VLOOKUP("咖啡机"&amp;"-"&amp;K$361&amp;"-"&amp;$B$397&amp;"-"&amp;$C$402&amp;"-"&amp;$D402,dat_nespresso_compet_chl!$H:$N,4,0),"")</f>
        <v>0.52736824797801463</v>
      </c>
      <c r="L402" s="4"/>
      <c r="M402" s="4"/>
      <c r="N402" s="4"/>
    </row>
    <row r="403" spans="2:16" x14ac:dyDescent="0.25">
      <c r="B403" s="269"/>
      <c r="C403" s="281"/>
      <c r="D403" s="22" t="s">
        <v>75</v>
      </c>
      <c r="E403" s="152">
        <f>IFERROR(VLOOKUP("咖啡机"&amp;"-"&amp;E$361&amp;"-"&amp;$B$397&amp;"-"&amp;$C$402&amp;"-"&amp;$D403,dat_nespresso_compet_chl!$H:$N,4,0),"")</f>
        <v>1.5309518830024699E-4</v>
      </c>
      <c r="F403" s="152">
        <f>IFERROR(VLOOKUP("咖啡机"&amp;"-"&amp;F$361&amp;"-"&amp;$B$397&amp;"-"&amp;$C$402&amp;"-"&amp;$D403,dat_nespresso_compet_chl!$H:$N,4,0),"")</f>
        <v>1.996305345331029E-4</v>
      </c>
      <c r="G403" s="152">
        <f>IFERROR(VLOOKUP("咖啡机"&amp;"-"&amp;G$361&amp;"-"&amp;$B$397&amp;"-"&amp;$C$402&amp;"-"&amp;$D403,dat_nespresso_compet_chl!$H:$N,4,0),"")</f>
        <v>8.8876856329878068E-5</v>
      </c>
      <c r="H403" s="152">
        <f>IFERROR(VLOOKUP("咖啡机"&amp;"-"&amp;H$361&amp;"-"&amp;$B$397&amp;"-"&amp;$C$402&amp;"-"&amp;$D403,dat_nespresso_compet_chl!$H:$N,4,0),"")</f>
        <v>1.609861551906536E-4</v>
      </c>
      <c r="I403" s="152">
        <f>IFERROR(VLOOKUP("咖啡机"&amp;"-"&amp;I$361&amp;"-"&amp;$B$397&amp;"-"&amp;$C$402&amp;"-"&amp;$D403,dat_nespresso_compet_chl!$H:$N,4,0),"")</f>
        <v>3.3930933239157681E-4</v>
      </c>
      <c r="J403" s="152">
        <f>IFERROR(VLOOKUP("咖啡机"&amp;"-"&amp;J$361&amp;"-"&amp;$B$397&amp;"-"&amp;$C$402&amp;"-"&amp;$D403,dat_nespresso_compet_chl!$H:$N,4,0),"")</f>
        <v>3.0360860513532268E-4</v>
      </c>
      <c r="K403" s="152">
        <f>IFERROR(VLOOKUP("咖啡机"&amp;"-"&amp;K$361&amp;"-"&amp;$B$397&amp;"-"&amp;$C$402&amp;"-"&amp;$D403,dat_nespresso_compet_chl!$H:$N,4,0),"")</f>
        <v>2.11398282193218E-4</v>
      </c>
      <c r="L403" s="4"/>
      <c r="M403" s="4"/>
      <c r="N403" s="4"/>
    </row>
    <row r="404" spans="2:16" x14ac:dyDescent="0.25">
      <c r="B404" s="269"/>
      <c r="C404" s="281"/>
      <c r="D404" s="22" t="s">
        <v>352</v>
      </c>
      <c r="E404" s="152">
        <f>IFERROR(VLOOKUP("咖啡机"&amp;"-"&amp;E$361&amp;"-"&amp;$B$397&amp;"-"&amp;$C$402&amp;"-"&amp;$D404,dat_nespresso_compet_chl!$H:$N,4,0),"")</f>
        <v>0</v>
      </c>
      <c r="F404" s="152">
        <f>IFERROR(VLOOKUP("咖啡机"&amp;"-"&amp;F$361&amp;"-"&amp;$B$397&amp;"-"&amp;$C$402&amp;"-"&amp;$D404,dat_nespresso_compet_chl!$H:$N,4,0),"")</f>
        <v>0</v>
      </c>
      <c r="G404" s="152">
        <f>IFERROR(VLOOKUP("咖啡机"&amp;"-"&amp;G$361&amp;"-"&amp;$B$397&amp;"-"&amp;$C$402&amp;"-"&amp;$D404,dat_nespresso_compet_chl!$H:$N,4,0),"")</f>
        <v>0</v>
      </c>
      <c r="H404" s="152">
        <f>IFERROR(VLOOKUP("咖啡机"&amp;"-"&amp;H$361&amp;"-"&amp;$B$397&amp;"-"&amp;$C$402&amp;"-"&amp;$D404,dat_nespresso_compet_chl!$H:$N,4,0),"")</f>
        <v>0</v>
      </c>
      <c r="I404" s="152">
        <f>IFERROR(VLOOKUP("咖啡机"&amp;"-"&amp;I$361&amp;"-"&amp;$B$397&amp;"-"&amp;$C$402&amp;"-"&amp;$D404,dat_nespresso_compet_chl!$H:$N,4,0),"")</f>
        <v>0</v>
      </c>
      <c r="J404" s="152">
        <f>IFERROR(VLOOKUP("咖啡机"&amp;"-"&amp;J$361&amp;"-"&amp;$B$397&amp;"-"&amp;$C$402&amp;"-"&amp;$D404,dat_nespresso_compet_chl!$H:$N,4,0),"")</f>
        <v>0</v>
      </c>
      <c r="K404" s="152">
        <f>IFERROR(VLOOKUP("咖啡机"&amp;"-"&amp;K$361&amp;"-"&amp;$B$397&amp;"-"&amp;$C$402&amp;"-"&amp;$D404,dat_nespresso_compet_chl!$H:$N,4,0),"")</f>
        <v>0</v>
      </c>
      <c r="L404" s="4"/>
      <c r="M404" s="4"/>
      <c r="N404" s="4"/>
    </row>
    <row r="405" spans="2:16" x14ac:dyDescent="0.25">
      <c r="B405" s="269"/>
      <c r="C405" s="281"/>
      <c r="D405" s="22" t="s">
        <v>74</v>
      </c>
      <c r="E405" s="152">
        <f>IFERROR(VLOOKUP("咖啡机"&amp;"-"&amp;E$361&amp;"-"&amp;$B$397&amp;"-"&amp;$C$402&amp;"-"&amp;$D405,dat_nespresso_compet_chl!$H:$N,4,0),"")</f>
        <v>8.4571422322645383E-3</v>
      </c>
      <c r="F405" s="152">
        <f>IFERROR(VLOOKUP("咖啡机"&amp;"-"&amp;F$361&amp;"-"&amp;$B$397&amp;"-"&amp;$C$402&amp;"-"&amp;$D405,dat_nespresso_compet_chl!$H:$N,4,0),"")</f>
        <v>4.4693403253679757E-5</v>
      </c>
      <c r="G405" s="152">
        <f>IFERROR(VLOOKUP("咖啡机"&amp;"-"&amp;G$361&amp;"-"&amp;$B$397&amp;"-"&amp;$C$402&amp;"-"&amp;$D405,dat_nespresso_compet_chl!$H:$N,4,0),"")</f>
        <v>4.724146747995827E-3</v>
      </c>
      <c r="H405" s="152">
        <f>IFERROR(VLOOKUP("咖啡机"&amp;"-"&amp;H$361&amp;"-"&amp;$B$397&amp;"-"&amp;$C$402&amp;"-"&amp;$D405,dat_nespresso_compet_chl!$H:$N,4,0),"")</f>
        <v>1.121843521457155E-2</v>
      </c>
      <c r="I405" s="152">
        <f>IFERROR(VLOOKUP("咖啡机"&amp;"-"&amp;I$361&amp;"-"&amp;$B$397&amp;"-"&amp;$C$402&amp;"-"&amp;$D405,dat_nespresso_compet_chl!$H:$N,4,0),"")</f>
        <v>4.8472761770225261E-5</v>
      </c>
      <c r="J405" s="152">
        <f>IFERROR(VLOOKUP("咖啡机"&amp;"-"&amp;J$361&amp;"-"&amp;$B$397&amp;"-"&amp;$C$402&amp;"-"&amp;$D405,dat_nespresso_compet_chl!$H:$N,4,0),"")</f>
        <v>4.3372657876474669E-5</v>
      </c>
      <c r="K405" s="152">
        <f>IFERROR(VLOOKUP("咖啡机"&amp;"-"&amp;K$361&amp;"-"&amp;$B$397&amp;"-"&amp;$C$402&amp;"-"&amp;$D405,dat_nespresso_compet_chl!$H:$N,4,0),"")</f>
        <v>2.3488698021468669E-5</v>
      </c>
      <c r="L405" s="4"/>
      <c r="M405" s="4"/>
      <c r="N405" s="4"/>
    </row>
    <row r="406" spans="2:16" x14ac:dyDescent="0.25">
      <c r="B406" s="269"/>
      <c r="C406" s="294" t="s">
        <v>68</v>
      </c>
      <c r="D406" s="22" t="s">
        <v>70</v>
      </c>
      <c r="E406" s="152">
        <f>IFERROR(VLOOKUP("咖啡机"&amp;"-"&amp;E$361&amp;"-"&amp;$B$397&amp;"-"&amp;$C$406&amp;"-"&amp;$D406,dat_nespresso_compet_chl!$H:$N,4,0),"")</f>
        <v>3.4665124779413069E-3</v>
      </c>
      <c r="F406" s="152">
        <f>IFERROR(VLOOKUP("咖啡机"&amp;"-"&amp;F$361&amp;"-"&amp;$B$397&amp;"-"&amp;$C$406&amp;"-"&amp;$D406,dat_nespresso_compet_chl!$H:$N,4,0),"")</f>
        <v>5.9591204338239684E-6</v>
      </c>
      <c r="G406" s="152">
        <f>IFERROR(VLOOKUP("咖啡机"&amp;"-"&amp;G$361&amp;"-"&amp;$B$397&amp;"-"&amp;$C$406&amp;"-"&amp;$D406,dat_nespresso_compet_chl!$H:$N,4,0),"")</f>
        <v>2.2230152772479351E-2</v>
      </c>
      <c r="H406" s="152">
        <f>IFERROR(VLOOKUP("咖啡机"&amp;"-"&amp;H$361&amp;"-"&amp;$B$397&amp;"-"&amp;$C$406&amp;"-"&amp;$D406,dat_nespresso_compet_chl!$H:$N,4,0),"")</f>
        <v>8.095303803872867E-4</v>
      </c>
      <c r="I406" s="152">
        <f>IFERROR(VLOOKUP("咖啡机"&amp;"-"&amp;I$361&amp;"-"&amp;$B$397&amp;"-"&amp;$C$406&amp;"-"&amp;$D406,dat_nespresso_compet_chl!$H:$N,4,0),"")</f>
        <v>2.3543912859823701E-4</v>
      </c>
      <c r="J406" s="152">
        <f>IFERROR(VLOOKUP("咖啡机"&amp;"-"&amp;J$361&amp;"-"&amp;$B$397&amp;"-"&amp;$C$406&amp;"-"&amp;$D406,dat_nespresso_compet_chl!$H:$N,4,0),"")</f>
        <v>1.908396946564885E-3</v>
      </c>
      <c r="K406" s="152">
        <f>IFERROR(VLOOKUP("咖啡机"&amp;"-"&amp;K$361&amp;"-"&amp;$B$397&amp;"-"&amp;$C$406&amp;"-"&amp;$D406,dat_nespresso_compet_chl!$H:$N,4,0),"")</f>
        <v>0</v>
      </c>
      <c r="L406" s="4"/>
      <c r="M406" s="4"/>
      <c r="N406" s="4"/>
    </row>
    <row r="407" spans="2:16" x14ac:dyDescent="0.25">
      <c r="B407" s="269"/>
      <c r="C407" s="279"/>
      <c r="D407" s="22" t="s">
        <v>69</v>
      </c>
      <c r="E407" s="152">
        <f>IFERROR(VLOOKUP("咖啡机"&amp;"-"&amp;E$361&amp;"-"&amp;$B$397&amp;"-"&amp;$C$406&amp;"-"&amp;$D407,dat_nespresso_compet_chl!$H:$N,4,0),"")</f>
        <v>4.0449935823043827E-2</v>
      </c>
      <c r="F407" s="152">
        <f>IFERROR(VLOOKUP("咖啡机"&amp;"-"&amp;F$361&amp;"-"&amp;$B$397&amp;"-"&amp;$C$406&amp;"-"&amp;$D407,dat_nespresso_compet_chl!$H:$N,4,0),"")</f>
        <v>9.3129134139800965E-2</v>
      </c>
      <c r="G407" s="152">
        <f>IFERROR(VLOOKUP("咖啡机"&amp;"-"&amp;G$361&amp;"-"&amp;$B$397&amp;"-"&amp;$C$406&amp;"-"&amp;$D407,dat_nespresso_compet_chl!$H:$N,4,0),"")</f>
        <v>1.0844343808496351E-2</v>
      </c>
      <c r="H407" s="152">
        <f>IFERROR(VLOOKUP("咖啡机"&amp;"-"&amp;H$361&amp;"-"&amp;$B$397&amp;"-"&amp;$C$406&amp;"-"&amp;$D407,dat_nespresso_compet_chl!$H:$N,4,0),"")</f>
        <v>1.690354629501863E-2</v>
      </c>
      <c r="I407" s="152">
        <f>IFERROR(VLOOKUP("咖啡机"&amp;"-"&amp;I$361&amp;"-"&amp;$B$397&amp;"-"&amp;$C$406&amp;"-"&amp;$D407,dat_nespresso_compet_chl!$H:$N,4,0),"")</f>
        <v>6.9246802528893227E-6</v>
      </c>
      <c r="J407" s="152">
        <f>IFERROR(VLOOKUP("咖啡机"&amp;"-"&amp;J$361&amp;"-"&amp;$B$397&amp;"-"&amp;$C$406&amp;"-"&amp;$D407,dat_nespresso_compet_chl!$H:$N,4,0),"")</f>
        <v>0</v>
      </c>
      <c r="K407" s="152">
        <f>IFERROR(VLOOKUP("咖啡机"&amp;"-"&amp;K$361&amp;"-"&amp;$B$397&amp;"-"&amp;$C$406&amp;"-"&amp;$D407,dat_nespresso_compet_chl!$H:$N,4,0),"")</f>
        <v>1.5659132014312449E-5</v>
      </c>
      <c r="L407" s="4"/>
      <c r="M407" s="4"/>
      <c r="N407" s="4"/>
    </row>
    <row r="408" spans="2:16" s="147" customFormat="1" ht="16.25" customHeight="1" x14ac:dyDescent="0.25">
      <c r="C408" s="22" t="s">
        <v>48</v>
      </c>
      <c r="D408" s="22" t="s">
        <v>49</v>
      </c>
      <c r="E408" s="291" t="s">
        <v>108</v>
      </c>
      <c r="F408" s="292"/>
      <c r="G408" s="292"/>
      <c r="H408" s="292"/>
      <c r="I408" s="292"/>
      <c r="J408" s="292"/>
      <c r="K408" s="292"/>
      <c r="L408" s="4"/>
      <c r="M408" s="4"/>
      <c r="N408" s="4"/>
      <c r="O408" s="1"/>
      <c r="P408" s="1"/>
    </row>
    <row r="409" spans="2:16" x14ac:dyDescent="0.25">
      <c r="B409" s="288" t="s">
        <v>59</v>
      </c>
      <c r="C409" s="293" t="s">
        <v>60</v>
      </c>
      <c r="D409" s="22" t="s">
        <v>61</v>
      </c>
      <c r="E409" s="153">
        <f>IFERROR(VLOOKUP("咖啡机"&amp;"-"&amp;E$361&amp;"-"&amp;$B$409&amp;"-"&amp;$C$409&amp;"-"&amp;$D409,dat_nespresso_compet_chl!$H:$N,6,0),"")</f>
        <v>286850</v>
      </c>
      <c r="F409" s="153">
        <f>IFERROR(VLOOKUP("咖啡机"&amp;"-"&amp;F$361&amp;"-"&amp;$B$409&amp;"-"&amp;$C$409&amp;"-"&amp;$D409,dat_nespresso_compet_chl!$H:$N,6,0),"")</f>
        <v>140660</v>
      </c>
      <c r="G409" s="153">
        <f>IFERROR(VLOOKUP("咖啡机"&amp;"-"&amp;G$361&amp;"-"&amp;$B$409&amp;"-"&amp;$C$409&amp;"-"&amp;$D409,dat_nespresso_compet_chl!$H:$N,6,0),"")</f>
        <v>616839</v>
      </c>
      <c r="H409" s="153">
        <f>IFERROR(VLOOKUP("咖啡机"&amp;"-"&amp;H$361&amp;"-"&amp;$B$409&amp;"-"&amp;$C$409&amp;"-"&amp;$D409,dat_nespresso_compet_chl!$H:$N,6,0),"")</f>
        <v>109744</v>
      </c>
      <c r="I409" s="153">
        <f>IFERROR(VLOOKUP("咖啡机"&amp;"-"&amp;I$361&amp;"-"&amp;$B$409&amp;"-"&amp;$C$409&amp;"-"&amp;$D409,dat_nespresso_compet_chl!$H:$N,6,0),"")</f>
        <v>62823</v>
      </c>
      <c r="J409" s="153">
        <f>IFERROR(VLOOKUP("咖啡机"&amp;"-"&amp;J$361&amp;"-"&amp;$B$409&amp;"-"&amp;$C$409&amp;"-"&amp;$D409,dat_nespresso_compet_chl!$H:$N,6,0),"")</f>
        <v>9408</v>
      </c>
      <c r="K409" s="153">
        <f>IFERROR(VLOOKUP("咖啡机"&amp;"-"&amp;K$361&amp;"-"&amp;$B$409&amp;"-"&amp;$C$409&amp;"-"&amp;$D409,dat_nespresso_compet_chl!$H:$N,6,0),"")</f>
        <v>26404</v>
      </c>
      <c r="L409" s="4"/>
      <c r="M409" s="4"/>
      <c r="N409" s="4"/>
    </row>
    <row r="410" spans="2:16" x14ac:dyDescent="0.25">
      <c r="B410" s="269"/>
      <c r="C410" s="281"/>
      <c r="D410" s="22" t="s">
        <v>63</v>
      </c>
      <c r="E410" s="153">
        <f>IFERROR(VLOOKUP("咖啡机"&amp;"-"&amp;E$361&amp;"-"&amp;$B$409&amp;"-"&amp;$C$409&amp;"-"&amp;$D410,dat_nespresso_compet_chl!$H:$N,6,0),"")</f>
        <v>160434</v>
      </c>
      <c r="F410" s="153">
        <f>IFERROR(VLOOKUP("咖啡机"&amp;"-"&amp;F$361&amp;"-"&amp;$B$409&amp;"-"&amp;$C$409&amp;"-"&amp;$D410,dat_nespresso_compet_chl!$H:$N,6,0),"")</f>
        <v>15241</v>
      </c>
      <c r="G410" s="153">
        <f>IFERROR(VLOOKUP("咖啡机"&amp;"-"&amp;G$361&amp;"-"&amp;$B$409&amp;"-"&amp;$C$409&amp;"-"&amp;$D410,dat_nespresso_compet_chl!$H:$N,6,0),"")</f>
        <v>41074</v>
      </c>
      <c r="H410" s="153">
        <f>IFERROR(VLOOKUP("咖啡机"&amp;"-"&amp;H$361&amp;"-"&amp;$B$409&amp;"-"&amp;$C$409&amp;"-"&amp;$D410,dat_nespresso_compet_chl!$H:$N,6,0),"")</f>
        <v>51379</v>
      </c>
      <c r="I410" s="153">
        <f>IFERROR(VLOOKUP("咖啡机"&amp;"-"&amp;I$361&amp;"-"&amp;$B$409&amp;"-"&amp;$C$409&amp;"-"&amp;$D410,dat_nespresso_compet_chl!$H:$N,6,0),"")</f>
        <v>52792</v>
      </c>
      <c r="J410" s="153">
        <f>IFERROR(VLOOKUP("咖啡机"&amp;"-"&amp;J$361&amp;"-"&amp;$B$409&amp;"-"&amp;$C$409&amp;"-"&amp;$D410,dat_nespresso_compet_chl!$H:$N,6,0),"")</f>
        <v>12314</v>
      </c>
      <c r="K410" s="153">
        <f>IFERROR(VLOOKUP("咖啡机"&amp;"-"&amp;K$361&amp;"-"&amp;$B$409&amp;"-"&amp;$C$409&amp;"-"&amp;$D410,dat_nespresso_compet_chl!$H:$N,6,0),"")</f>
        <v>13265</v>
      </c>
      <c r="L410" s="4"/>
      <c r="M410" s="4"/>
      <c r="N410" s="4"/>
    </row>
    <row r="411" spans="2:16" x14ac:dyDescent="0.25">
      <c r="B411" s="269"/>
      <c r="C411" s="281"/>
      <c r="D411" s="22" t="s">
        <v>62</v>
      </c>
      <c r="E411" s="153">
        <f>IFERROR(VLOOKUP("咖啡机"&amp;"-"&amp;E$361&amp;"-"&amp;$B$409&amp;"-"&amp;$C$409&amp;"-"&amp;$D411,dat_nespresso_compet_chl!$H:$N,6,0),"")</f>
        <v>302961</v>
      </c>
      <c r="F411" s="153">
        <f>IFERROR(VLOOKUP("咖啡机"&amp;"-"&amp;F$361&amp;"-"&amp;$B$409&amp;"-"&amp;$C$409&amp;"-"&amp;$D411,dat_nespresso_compet_chl!$H:$N,6,0),"")</f>
        <v>185017</v>
      </c>
      <c r="G411" s="153">
        <f>IFERROR(VLOOKUP("咖啡机"&amp;"-"&amp;G$361&amp;"-"&amp;$B$409&amp;"-"&amp;$C$409&amp;"-"&amp;$D411,dat_nespresso_compet_chl!$H:$N,6,0),"")</f>
        <v>78920</v>
      </c>
      <c r="H411" s="153">
        <f>IFERROR(VLOOKUP("咖啡机"&amp;"-"&amp;H$361&amp;"-"&amp;$B$409&amp;"-"&amp;$C$409&amp;"-"&amp;$D411,dat_nespresso_compet_chl!$H:$N,6,0),"")</f>
        <v>63961</v>
      </c>
      <c r="I411" s="153">
        <f>IFERROR(VLOOKUP("咖啡机"&amp;"-"&amp;I$361&amp;"-"&amp;$B$409&amp;"-"&amp;$C$409&amp;"-"&amp;$D411,dat_nespresso_compet_chl!$H:$N,6,0),"")</f>
        <v>41410</v>
      </c>
      <c r="J411" s="153">
        <f>IFERROR(VLOOKUP("咖啡机"&amp;"-"&amp;J$361&amp;"-"&amp;$B$409&amp;"-"&amp;$C$409&amp;"-"&amp;$D411,dat_nespresso_compet_chl!$H:$N,6,0),"")</f>
        <v>24</v>
      </c>
      <c r="K411" s="153">
        <f>IFERROR(VLOOKUP("咖啡机"&amp;"-"&amp;K$361&amp;"-"&amp;$B$409&amp;"-"&amp;$C$409&amp;"-"&amp;$D411,dat_nespresso_compet_chl!$H:$N,6,0),"")</f>
        <v>25820</v>
      </c>
      <c r="L411" s="4"/>
      <c r="M411" s="4"/>
      <c r="N411" s="4"/>
    </row>
    <row r="412" spans="2:16" x14ac:dyDescent="0.25">
      <c r="B412" s="269"/>
      <c r="C412" s="293" t="s">
        <v>64</v>
      </c>
      <c r="D412" s="22" t="s">
        <v>65</v>
      </c>
      <c r="E412" s="153">
        <f>IFERROR(VLOOKUP("咖啡机"&amp;"-"&amp;E$361&amp;"-"&amp;$B$409&amp;"-"&amp;$C$412&amp;"-"&amp;$D412,dat_nespresso_compet_chl!$H:$N,6,0),"")</f>
        <v>33172</v>
      </c>
      <c r="F412" s="153">
        <f>IFERROR(VLOOKUP("咖啡机"&amp;"-"&amp;F$361&amp;"-"&amp;$B$409&amp;"-"&amp;$C$412&amp;"-"&amp;$D412,dat_nespresso_compet_chl!$H:$N,6,0),"")</f>
        <v>0</v>
      </c>
      <c r="G412" s="153">
        <f>IFERROR(VLOOKUP("咖啡机"&amp;"-"&amp;G$361&amp;"-"&amp;$B$409&amp;"-"&amp;$C$412&amp;"-"&amp;$D412,dat_nespresso_compet_chl!$H:$N,6,0),"")</f>
        <v>0</v>
      </c>
      <c r="H412" s="153">
        <f>IFERROR(VLOOKUP("咖啡机"&amp;"-"&amp;H$361&amp;"-"&amp;$B$409&amp;"-"&amp;$C$412&amp;"-"&amp;$D412,dat_nespresso_compet_chl!$H:$N,6,0),"")</f>
        <v>8517</v>
      </c>
      <c r="I412" s="153">
        <f>IFERROR(VLOOKUP("咖啡机"&amp;"-"&amp;I$361&amp;"-"&amp;$B$409&amp;"-"&amp;$C$412&amp;"-"&amp;$D412,dat_nespresso_compet_chl!$H:$N,6,0),"")</f>
        <v>0</v>
      </c>
      <c r="J412" s="153">
        <f>IFERROR(VLOOKUP("咖啡机"&amp;"-"&amp;J$361&amp;"-"&amp;$B$409&amp;"-"&amp;$C$412&amp;"-"&amp;$D412,dat_nespresso_compet_chl!$H:$N,6,0),"")</f>
        <v>3304</v>
      </c>
      <c r="K412" s="153">
        <f>IFERROR(VLOOKUP("咖啡机"&amp;"-"&amp;K$361&amp;"-"&amp;$B$409&amp;"-"&amp;$C$412&amp;"-"&amp;$D412,dat_nespresso_compet_chl!$H:$N,6,0),"")</f>
        <v>2461</v>
      </c>
      <c r="L412" s="4"/>
      <c r="M412" s="4"/>
      <c r="N412" s="4"/>
    </row>
    <row r="413" spans="2:16" x14ac:dyDescent="0.25">
      <c r="B413" s="269"/>
      <c r="C413" s="281"/>
      <c r="D413" s="22" t="s">
        <v>67</v>
      </c>
      <c r="E413" s="153">
        <f>IFERROR(VLOOKUP("咖啡机"&amp;"-"&amp;E$361&amp;"-"&amp;$B$409&amp;"-"&amp;$C$412&amp;"-"&amp;$D413,dat_nespresso_compet_chl!$H:$N,6,0),"")</f>
        <v>0</v>
      </c>
      <c r="F413" s="153">
        <f>IFERROR(VLOOKUP("咖啡机"&amp;"-"&amp;F$361&amp;"-"&amp;$B$409&amp;"-"&amp;$C$412&amp;"-"&amp;$D413,dat_nespresso_compet_chl!$H:$N,6,0),"")</f>
        <v>0</v>
      </c>
      <c r="G413" s="153">
        <f>IFERROR(VLOOKUP("咖啡机"&amp;"-"&amp;G$361&amp;"-"&amp;$B$409&amp;"-"&amp;$C$412&amp;"-"&amp;$D413,dat_nespresso_compet_chl!$H:$N,6,0),"")</f>
        <v>14237</v>
      </c>
      <c r="H413" s="153">
        <f>IFERROR(VLOOKUP("咖啡机"&amp;"-"&amp;H$361&amp;"-"&amp;$B$409&amp;"-"&amp;$C$412&amp;"-"&amp;$D413,dat_nespresso_compet_chl!$H:$N,6,0),"")</f>
        <v>101</v>
      </c>
      <c r="I413" s="153">
        <f>IFERROR(VLOOKUP("咖啡机"&amp;"-"&amp;I$361&amp;"-"&amp;$B$409&amp;"-"&amp;$C$412&amp;"-"&amp;$D413,dat_nespresso_compet_chl!$H:$N,6,0),"")</f>
        <v>1207</v>
      </c>
      <c r="J413" s="153">
        <f>IFERROR(VLOOKUP("咖啡机"&amp;"-"&amp;J$361&amp;"-"&amp;$B$409&amp;"-"&amp;$C$412&amp;"-"&amp;$D413,dat_nespresso_compet_chl!$H:$N,6,0),"")</f>
        <v>0</v>
      </c>
      <c r="K413" s="153">
        <f>IFERROR(VLOOKUP("咖啡机"&amp;"-"&amp;K$361&amp;"-"&amp;$B$409&amp;"-"&amp;$C$412&amp;"-"&amp;$D413,dat_nespresso_compet_chl!$H:$N,6,0),"")</f>
        <v>0</v>
      </c>
      <c r="L413" s="4"/>
      <c r="M413" s="4"/>
      <c r="N413" s="4"/>
    </row>
    <row r="414" spans="2:16" x14ac:dyDescent="0.25">
      <c r="B414" s="269"/>
      <c r="C414" s="293" t="s">
        <v>72</v>
      </c>
      <c r="D414" s="22" t="s">
        <v>73</v>
      </c>
      <c r="E414" s="153">
        <f>IFERROR(VLOOKUP("咖啡机"&amp;"-"&amp;E$361&amp;"-"&amp;$B$409&amp;"-"&amp;$C$414&amp;"-"&amp;$D414,dat_nespresso_compet_chl!$H:$N,6,0),"")</f>
        <v>51210</v>
      </c>
      <c r="F414" s="153">
        <f>IFERROR(VLOOKUP("咖啡机"&amp;"-"&amp;F$361&amp;"-"&amp;$B$409&amp;"-"&amp;$C$414&amp;"-"&amp;$D414,dat_nespresso_compet_chl!$H:$N,6,0),"")</f>
        <v>12516</v>
      </c>
      <c r="G414" s="153">
        <f>IFERROR(VLOOKUP("咖啡机"&amp;"-"&amp;G$361&amp;"-"&amp;$B$409&amp;"-"&amp;$C$414&amp;"-"&amp;$D414,dat_nespresso_compet_chl!$H:$N,6,0),"")</f>
        <v>17930</v>
      </c>
      <c r="H414" s="153">
        <f>IFERROR(VLOOKUP("咖啡机"&amp;"-"&amp;H$361&amp;"-"&amp;$B$409&amp;"-"&amp;$C$414&amp;"-"&amp;$D414,dat_nespresso_compet_chl!$H:$N,6,0),"")</f>
        <v>7837</v>
      </c>
      <c r="I414" s="153">
        <f>IFERROR(VLOOKUP("咖啡机"&amp;"-"&amp;I$361&amp;"-"&amp;$B$409&amp;"-"&amp;$C$414&amp;"-"&amp;$D414,dat_nespresso_compet_chl!$H:$N,6,0),"")</f>
        <v>7170</v>
      </c>
      <c r="J414" s="153">
        <f>IFERROR(VLOOKUP("咖啡机"&amp;"-"&amp;J$361&amp;"-"&amp;$B$409&amp;"-"&amp;$C$414&amp;"-"&amp;$D414,dat_nespresso_compet_chl!$H:$N,6,0),"")</f>
        <v>755</v>
      </c>
      <c r="K414" s="153">
        <f>IFERROR(VLOOKUP("咖啡机"&amp;"-"&amp;K$361&amp;"-"&amp;$B$409&amp;"-"&amp;$C$414&amp;"-"&amp;$D414,dat_nespresso_compet_chl!$H:$N,6,0),"")</f>
        <v>67356</v>
      </c>
      <c r="L414" s="4"/>
      <c r="M414" s="4"/>
      <c r="N414" s="4"/>
    </row>
    <row r="415" spans="2:16" x14ac:dyDescent="0.25">
      <c r="B415" s="269"/>
      <c r="C415" s="281"/>
      <c r="D415" s="22" t="s">
        <v>75</v>
      </c>
      <c r="E415" s="153">
        <f>IFERROR(VLOOKUP("咖啡机"&amp;"-"&amp;E$361&amp;"-"&amp;$B$409&amp;"-"&amp;$C$414&amp;"-"&amp;$D415,dat_nespresso_compet_chl!$H:$N,6,0),"")</f>
        <v>112</v>
      </c>
      <c r="F415" s="153">
        <f>IFERROR(VLOOKUP("咖啡机"&amp;"-"&amp;F$361&amp;"-"&amp;$B$409&amp;"-"&amp;$C$414&amp;"-"&amp;$D415,dat_nespresso_compet_chl!$H:$N,6,0),"")</f>
        <v>67</v>
      </c>
      <c r="G415" s="153">
        <f>IFERROR(VLOOKUP("咖啡机"&amp;"-"&amp;G$361&amp;"-"&amp;$B$409&amp;"-"&amp;$C$414&amp;"-"&amp;$D415,dat_nespresso_compet_chl!$H:$N,6,0),"")</f>
        <v>65</v>
      </c>
      <c r="H415" s="153">
        <f>IFERROR(VLOOKUP("咖啡机"&amp;"-"&amp;H$361&amp;"-"&amp;$B$409&amp;"-"&amp;$C$414&amp;"-"&amp;$D415,dat_nespresso_compet_chl!$H:$N,6,0),"")</f>
        <v>35</v>
      </c>
      <c r="I415" s="153">
        <f>IFERROR(VLOOKUP("咖啡机"&amp;"-"&amp;I$361&amp;"-"&amp;$B$409&amp;"-"&amp;$C$414&amp;"-"&amp;$D415,dat_nespresso_compet_chl!$H:$N,6,0),"")</f>
        <v>49</v>
      </c>
      <c r="J415" s="153">
        <f>IFERROR(VLOOKUP("咖啡机"&amp;"-"&amp;J$361&amp;"-"&amp;$B$409&amp;"-"&amp;$C$414&amp;"-"&amp;$D415,dat_nespresso_compet_chl!$H:$N,6,0),"")</f>
        <v>7</v>
      </c>
      <c r="K415" s="153">
        <f>IFERROR(VLOOKUP("咖啡机"&amp;"-"&amp;K$361&amp;"-"&amp;$B$409&amp;"-"&amp;$C$414&amp;"-"&amp;$D415,dat_nespresso_compet_chl!$H:$N,6,0),"")</f>
        <v>27</v>
      </c>
      <c r="L415" s="4"/>
      <c r="M415" s="4"/>
      <c r="N415" s="4"/>
    </row>
    <row r="416" spans="2:16" x14ac:dyDescent="0.25">
      <c r="B416" s="269"/>
      <c r="C416" s="281"/>
      <c r="D416" s="22" t="s">
        <v>352</v>
      </c>
      <c r="E416" s="153">
        <f>IFERROR(VLOOKUP("咖啡机"&amp;"-"&amp;E$361&amp;"-"&amp;$B$409&amp;"-"&amp;$C$414&amp;"-"&amp;$D416,dat_nespresso_compet_chl!$H:$N,6,0),"")</f>
        <v>0</v>
      </c>
      <c r="F416" s="153">
        <f>IFERROR(VLOOKUP("咖啡机"&amp;"-"&amp;F$361&amp;"-"&amp;$B$409&amp;"-"&amp;$C$414&amp;"-"&amp;$D416,dat_nespresso_compet_chl!$H:$N,6,0),"")</f>
        <v>0</v>
      </c>
      <c r="G416" s="153">
        <f>IFERROR(VLOOKUP("咖啡机"&amp;"-"&amp;G$361&amp;"-"&amp;$B$409&amp;"-"&amp;$C$414&amp;"-"&amp;$D416,dat_nespresso_compet_chl!$H:$N,6,0),"")</f>
        <v>0</v>
      </c>
      <c r="H416" s="153">
        <f>IFERROR(VLOOKUP("咖啡机"&amp;"-"&amp;H$361&amp;"-"&amp;$B$409&amp;"-"&amp;$C$414&amp;"-"&amp;$D416,dat_nespresso_compet_chl!$H:$N,6,0),"")</f>
        <v>0</v>
      </c>
      <c r="I416" s="153">
        <f>IFERROR(VLOOKUP("咖啡机"&amp;"-"&amp;I$361&amp;"-"&amp;$B$409&amp;"-"&amp;$C$414&amp;"-"&amp;$D416,dat_nespresso_compet_chl!$H:$N,6,0),"")</f>
        <v>0</v>
      </c>
      <c r="J416" s="153">
        <f>IFERROR(VLOOKUP("咖啡机"&amp;"-"&amp;J$361&amp;"-"&amp;$B$409&amp;"-"&amp;$C$414&amp;"-"&amp;$D416,dat_nespresso_compet_chl!$H:$N,6,0),"")</f>
        <v>0</v>
      </c>
      <c r="K416" s="153">
        <f>IFERROR(VLOOKUP("咖啡机"&amp;"-"&amp;K$361&amp;"-"&amp;$B$409&amp;"-"&amp;$C$414&amp;"-"&amp;$D416,dat_nespresso_compet_chl!$H:$N,6,0),"")</f>
        <v>0</v>
      </c>
      <c r="L416" s="4"/>
      <c r="M416" s="4"/>
      <c r="N416" s="4"/>
    </row>
    <row r="417" spans="2:16" x14ac:dyDescent="0.25">
      <c r="B417" s="269"/>
      <c r="C417" s="281"/>
      <c r="D417" s="22" t="s">
        <v>74</v>
      </c>
      <c r="E417" s="153">
        <f>IFERROR(VLOOKUP("咖啡机"&amp;"-"&amp;E$361&amp;"-"&amp;$B$409&amp;"-"&amp;$C$414&amp;"-"&amp;$D417,dat_nespresso_compet_chl!$H:$N,6,0),"")</f>
        <v>6187</v>
      </c>
      <c r="F417" s="153">
        <f>IFERROR(VLOOKUP("咖啡机"&amp;"-"&amp;F$361&amp;"-"&amp;$B$409&amp;"-"&amp;$C$414&amp;"-"&amp;$D417,dat_nespresso_compet_chl!$H:$N,6,0),"")</f>
        <v>15</v>
      </c>
      <c r="G417" s="153">
        <f>IFERROR(VLOOKUP("咖啡机"&amp;"-"&amp;G$361&amp;"-"&amp;$B$409&amp;"-"&amp;$C$414&amp;"-"&amp;$D417,dat_nespresso_compet_chl!$H:$N,6,0),"")</f>
        <v>3455</v>
      </c>
      <c r="H417" s="153">
        <f>IFERROR(VLOOKUP("咖啡机"&amp;"-"&amp;H$361&amp;"-"&amp;$B$409&amp;"-"&amp;$C$414&amp;"-"&amp;$D417,dat_nespresso_compet_chl!$H:$N,6,0),"")</f>
        <v>2439</v>
      </c>
      <c r="I417" s="153">
        <f>IFERROR(VLOOKUP("咖啡机"&amp;"-"&amp;I$361&amp;"-"&amp;$B$409&amp;"-"&amp;$C$414&amp;"-"&amp;$D417,dat_nespresso_compet_chl!$H:$N,6,0),"")</f>
        <v>7</v>
      </c>
      <c r="J417" s="153">
        <f>IFERROR(VLOOKUP("咖啡机"&amp;"-"&amp;J$361&amp;"-"&amp;$B$409&amp;"-"&amp;$C$414&amp;"-"&amp;$D417,dat_nespresso_compet_chl!$H:$N,6,0),"")</f>
        <v>1</v>
      </c>
      <c r="K417" s="153">
        <f>IFERROR(VLOOKUP("咖啡机"&amp;"-"&amp;K$361&amp;"-"&amp;$B$409&amp;"-"&amp;$C$414&amp;"-"&amp;$D417,dat_nespresso_compet_chl!$H:$N,6,0),"")</f>
        <v>3</v>
      </c>
      <c r="L417" s="4"/>
      <c r="M417" s="4"/>
      <c r="N417" s="4"/>
    </row>
    <row r="418" spans="2:16" x14ac:dyDescent="0.25">
      <c r="B418" s="269"/>
      <c r="C418" s="294" t="s">
        <v>68</v>
      </c>
      <c r="D418" s="22" t="s">
        <v>70</v>
      </c>
      <c r="E418" s="153">
        <f>IFERROR(VLOOKUP("咖啡机"&amp;"-"&amp;E$361&amp;"-"&amp;$B$409&amp;"-"&amp;$C$418&amp;"-"&amp;$D418,dat_nespresso_compet_chl!$H:$N,6,0),"")</f>
        <v>2536</v>
      </c>
      <c r="F418" s="153">
        <f>IFERROR(VLOOKUP("咖啡机"&amp;"-"&amp;F$361&amp;"-"&amp;$B$409&amp;"-"&amp;$C$418&amp;"-"&amp;$D418,dat_nespresso_compet_chl!$H:$N,6,0),"")</f>
        <v>2</v>
      </c>
      <c r="G418" s="153">
        <f>IFERROR(VLOOKUP("咖啡机"&amp;"-"&amp;G$361&amp;"-"&amp;$B$409&amp;"-"&amp;$C$418&amp;"-"&amp;$D418,dat_nespresso_compet_chl!$H:$N,6,0),"")</f>
        <v>16258</v>
      </c>
      <c r="H418" s="153">
        <f>IFERROR(VLOOKUP("咖啡机"&amp;"-"&amp;H$361&amp;"-"&amp;$B$409&amp;"-"&amp;$C$418&amp;"-"&amp;$D418,dat_nespresso_compet_chl!$H:$N,6,0),"")</f>
        <v>176</v>
      </c>
      <c r="I418" s="153">
        <f>IFERROR(VLOOKUP("咖啡机"&amp;"-"&amp;I$361&amp;"-"&amp;$B$409&amp;"-"&amp;$C$418&amp;"-"&amp;$D418,dat_nespresso_compet_chl!$H:$N,6,0),"")</f>
        <v>34</v>
      </c>
      <c r="J418" s="153">
        <f>IFERROR(VLOOKUP("咖啡机"&amp;"-"&amp;J$361&amp;"-"&amp;$B$409&amp;"-"&amp;$C$418&amp;"-"&amp;$D418,dat_nespresso_compet_chl!$H:$N,6,0),"")</f>
        <v>44</v>
      </c>
      <c r="K418" s="153">
        <f>IFERROR(VLOOKUP("咖啡机"&amp;"-"&amp;K$361&amp;"-"&amp;$B$409&amp;"-"&amp;$C$418&amp;"-"&amp;$D418,dat_nespresso_compet_chl!$H:$N,6,0),"")</f>
        <v>0</v>
      </c>
      <c r="L418" s="4"/>
      <c r="M418" s="4"/>
      <c r="N418" s="4"/>
    </row>
    <row r="419" spans="2:16" x14ac:dyDescent="0.25">
      <c r="B419" s="269"/>
      <c r="C419" s="279"/>
      <c r="D419" s="22" t="s">
        <v>69</v>
      </c>
      <c r="E419" s="153">
        <f>IFERROR(VLOOKUP("咖啡机"&amp;"-"&amp;E$361&amp;"-"&amp;$B$409&amp;"-"&amp;$C$418&amp;"-"&amp;$D419,dat_nespresso_compet_chl!$H:$N,6,0),"")</f>
        <v>29592</v>
      </c>
      <c r="F419" s="153">
        <f>IFERROR(VLOOKUP("咖啡机"&amp;"-"&amp;F$361&amp;"-"&amp;$B$409&amp;"-"&amp;$C$418&amp;"-"&amp;$D419,dat_nespresso_compet_chl!$H:$N,6,0),"")</f>
        <v>31256</v>
      </c>
      <c r="G419" s="153">
        <f>IFERROR(VLOOKUP("咖啡机"&amp;"-"&amp;G$361&amp;"-"&amp;$B$409&amp;"-"&amp;$C$418&amp;"-"&amp;$D419,dat_nespresso_compet_chl!$H:$N,6,0),"")</f>
        <v>7931</v>
      </c>
      <c r="H419" s="153">
        <f>IFERROR(VLOOKUP("咖啡机"&amp;"-"&amp;H$361&amp;"-"&amp;$B$409&amp;"-"&amp;$C$418&amp;"-"&amp;$D419,dat_nespresso_compet_chl!$H:$N,6,0),"")</f>
        <v>3675</v>
      </c>
      <c r="I419" s="153">
        <f>IFERROR(VLOOKUP("咖啡机"&amp;"-"&amp;I$361&amp;"-"&amp;$B$409&amp;"-"&amp;$C$418&amp;"-"&amp;$D419,dat_nespresso_compet_chl!$H:$N,6,0),"")</f>
        <v>1</v>
      </c>
      <c r="J419" s="153">
        <f>IFERROR(VLOOKUP("咖啡机"&amp;"-"&amp;J$361&amp;"-"&amp;$B$409&amp;"-"&amp;$C$418&amp;"-"&amp;$D419,dat_nespresso_compet_chl!$H:$N,6,0),"")</f>
        <v>0</v>
      </c>
      <c r="K419" s="153">
        <f>IFERROR(VLOOKUP("咖啡机"&amp;"-"&amp;K$361&amp;"-"&amp;$B$409&amp;"-"&amp;$C$418&amp;"-"&amp;$D419,dat_nespresso_compet_chl!$H:$N,6,0),"")</f>
        <v>2</v>
      </c>
      <c r="L419" s="4"/>
      <c r="M419" s="4"/>
      <c r="N419" s="4"/>
    </row>
    <row r="420" spans="2:16" s="147" customFormat="1" ht="16.25" customHeight="1" x14ac:dyDescent="0.25">
      <c r="C420" s="22" t="s">
        <v>48</v>
      </c>
      <c r="D420" s="22" t="s">
        <v>49</v>
      </c>
      <c r="E420" s="291" t="s">
        <v>21</v>
      </c>
      <c r="F420" s="292"/>
      <c r="G420" s="292"/>
      <c r="H420" s="292"/>
      <c r="I420" s="292"/>
      <c r="J420" s="292"/>
      <c r="K420" s="292"/>
      <c r="L420" s="4"/>
      <c r="M420" s="4"/>
      <c r="N420" s="4"/>
      <c r="O420" s="1"/>
      <c r="P420" s="1"/>
    </row>
    <row r="421" spans="2:16" x14ac:dyDescent="0.25">
      <c r="B421" s="288" t="s">
        <v>59</v>
      </c>
      <c r="C421" s="293" t="s">
        <v>60</v>
      </c>
      <c r="D421" s="22" t="s">
        <v>61</v>
      </c>
      <c r="E421" s="130">
        <f>IFERROR(VLOOKUP("咖啡机"&amp;"-"&amp;E$361&amp;"-"&amp;$B$421&amp;"-"&amp;$C$421&amp;"-"&amp;$D421,dat_nespresso_compet_chl!$H:$N,7,0),"")</f>
        <v>2.5000000000000001E-3</v>
      </c>
      <c r="F421" s="130">
        <f>IFERROR(VLOOKUP("咖啡机"&amp;"-"&amp;F$361&amp;"-"&amp;$B$421&amp;"-"&amp;$C$421&amp;"-"&amp;$D421,dat_nespresso_compet_chl!$H:$N,7,0),"")</f>
        <v>2.3999999999999998E-3</v>
      </c>
      <c r="G421" s="130">
        <f>IFERROR(VLOOKUP("咖啡机"&amp;"-"&amp;G$361&amp;"-"&amp;$B$421&amp;"-"&amp;$C$421&amp;"-"&amp;$D421,dat_nespresso_compet_chl!$H:$N,7,0),"")</f>
        <v>8.9999999999999998E-4</v>
      </c>
      <c r="H421" s="130">
        <f>IFERROR(VLOOKUP("咖啡机"&amp;"-"&amp;H$361&amp;"-"&amp;$B$421&amp;"-"&amp;$C$421&amp;"-"&amp;$D421,dat_nespresso_compet_chl!$H:$N,7,0),"")</f>
        <v>5.0000000000000001E-3</v>
      </c>
      <c r="I421" s="130">
        <f>IFERROR(VLOOKUP("咖啡机"&amp;"-"&amp;I$361&amp;"-"&amp;$B$421&amp;"-"&amp;$C$421&amp;"-"&amp;$D421,dat_nespresso_compet_chl!$H:$N,7,0),"")</f>
        <v>8.3000000000000001E-3</v>
      </c>
      <c r="J421" s="130">
        <f>IFERROR(VLOOKUP("咖啡机"&amp;"-"&amp;J$361&amp;"-"&amp;$B$421&amp;"-"&amp;$C$421&amp;"-"&amp;$D421,dat_nespresso_compet_chl!$H:$N,7,0),"")</f>
        <v>1.9099999999999999E-2</v>
      </c>
      <c r="K421" s="130">
        <f>IFERROR(VLOOKUP("咖啡机"&amp;"-"&amp;K$361&amp;"-"&amp;$B$421&amp;"-"&amp;$C$421&amp;"-"&amp;$D421,dat_nespresso_compet_chl!$H:$N,7,0),"")</f>
        <v>5.7999999999999996E-3</v>
      </c>
      <c r="L421" s="4"/>
      <c r="M421" s="4"/>
      <c r="N421" s="4"/>
    </row>
    <row r="422" spans="2:16" x14ac:dyDescent="0.25">
      <c r="B422" s="269"/>
      <c r="C422" s="281"/>
      <c r="D422" s="22" t="s">
        <v>63</v>
      </c>
      <c r="E422" s="130">
        <f>IFERROR(VLOOKUP("咖啡机"&amp;"-"&amp;E$361&amp;"-"&amp;$B$421&amp;"-"&amp;$C$421&amp;"-"&amp;$D422,dat_nespresso_compet_chl!$H:$N,7,0),"")</f>
        <v>3.8999999999999998E-3</v>
      </c>
      <c r="F422" s="130">
        <f>IFERROR(VLOOKUP("咖啡机"&amp;"-"&amp;F$361&amp;"-"&amp;$B$421&amp;"-"&amp;$C$421&amp;"-"&amp;$D422,dat_nespresso_compet_chl!$H:$N,7,0),"")</f>
        <v>1.5E-3</v>
      </c>
      <c r="G422" s="130">
        <f>IFERROR(VLOOKUP("咖啡机"&amp;"-"&amp;G$361&amp;"-"&amp;$B$421&amp;"-"&amp;$C$421&amp;"-"&amp;$D422,dat_nespresso_compet_chl!$H:$N,7,0),"")</f>
        <v>1.0999999999999999E-2</v>
      </c>
      <c r="H422" s="130">
        <f>IFERROR(VLOOKUP("咖啡机"&amp;"-"&amp;H$361&amp;"-"&amp;$B$421&amp;"-"&amp;$C$421&amp;"-"&amp;$D422,dat_nespresso_compet_chl!$H:$N,7,0),"")</f>
        <v>1.0699999999999999E-2</v>
      </c>
      <c r="I422" s="130">
        <f>IFERROR(VLOOKUP("咖啡机"&amp;"-"&amp;I$361&amp;"-"&amp;$B$421&amp;"-"&amp;$C$421&amp;"-"&amp;$D422,dat_nespresso_compet_chl!$H:$N,7,0),"")</f>
        <v>1.1900000000000001E-2</v>
      </c>
      <c r="J422" s="130">
        <f>IFERROR(VLOOKUP("咖啡机"&amp;"-"&amp;J$361&amp;"-"&amp;$B$421&amp;"-"&amp;$C$421&amp;"-"&amp;$D422,dat_nespresso_compet_chl!$H:$N,7,0),"")</f>
        <v>5.4000000000000003E-3</v>
      </c>
      <c r="K422" s="130">
        <f>IFERROR(VLOOKUP("咖啡机"&amp;"-"&amp;K$361&amp;"-"&amp;$B$421&amp;"-"&amp;$C$421&amp;"-"&amp;$D422,dat_nespresso_compet_chl!$H:$N,7,0),"")</f>
        <v>4.5999999999999999E-3</v>
      </c>
      <c r="L422" s="4"/>
      <c r="M422" s="4"/>
      <c r="N422" s="4"/>
    </row>
    <row r="423" spans="2:16" x14ac:dyDescent="0.25">
      <c r="B423" s="269"/>
      <c r="C423" s="281"/>
      <c r="D423" s="22" t="s">
        <v>62</v>
      </c>
      <c r="E423" s="130">
        <f>IFERROR(VLOOKUP("咖啡机"&amp;"-"&amp;E$361&amp;"-"&amp;$B$421&amp;"-"&amp;$C$421&amp;"-"&amp;$D423,dat_nespresso_compet_chl!$H:$N,7,0),"")</f>
        <v>1E-4</v>
      </c>
      <c r="F423" s="130">
        <f>IFERROR(VLOOKUP("咖啡机"&amp;"-"&amp;F$361&amp;"-"&amp;$B$421&amp;"-"&amp;$C$421&amp;"-"&amp;$D423,dat_nespresso_compet_chl!$H:$N,7,0),"")</f>
        <v>4.0000000000000002E-4</v>
      </c>
      <c r="G423" s="130">
        <f>IFERROR(VLOOKUP("咖啡机"&amp;"-"&amp;G$361&amp;"-"&amp;$B$421&amp;"-"&amp;$C$421&amp;"-"&amp;$D423,dat_nespresso_compet_chl!$H:$N,7,0),"")</f>
        <v>1.8E-3</v>
      </c>
      <c r="H423" s="130">
        <f>IFERROR(VLOOKUP("咖啡机"&amp;"-"&amp;H$361&amp;"-"&amp;$B$421&amp;"-"&amp;$C$421&amp;"-"&amp;$D423,dat_nespresso_compet_chl!$H:$N,7,0),"")</f>
        <v>0</v>
      </c>
      <c r="I423" s="130">
        <f>IFERROR(VLOOKUP("咖啡机"&amp;"-"&amp;I$361&amp;"-"&amp;$B$421&amp;"-"&amp;$C$421&amp;"-"&amp;$D423,dat_nespresso_compet_chl!$H:$N,7,0),"")</f>
        <v>8.9999999999999998E-4</v>
      </c>
      <c r="J423" s="130">
        <f>IFERROR(VLOOKUP("咖啡机"&amp;"-"&amp;J$361&amp;"-"&amp;$B$421&amp;"-"&amp;$C$421&amp;"-"&amp;$D423,dat_nespresso_compet_chl!$H:$N,7,0),"")</f>
        <v>0</v>
      </c>
      <c r="K423" s="130">
        <f>IFERROR(VLOOKUP("咖啡机"&amp;"-"&amp;K$361&amp;"-"&amp;$B$421&amp;"-"&amp;$C$421&amp;"-"&amp;$D423,dat_nespresso_compet_chl!$H:$N,7,0),"")</f>
        <v>4.0000000000000002E-4</v>
      </c>
      <c r="L423" s="4"/>
      <c r="M423" s="4"/>
      <c r="N423" s="4"/>
    </row>
    <row r="424" spans="2:16" x14ac:dyDescent="0.25">
      <c r="B424" s="269"/>
      <c r="C424" s="293" t="s">
        <v>64</v>
      </c>
      <c r="D424" s="22" t="s">
        <v>65</v>
      </c>
      <c r="E424" s="130">
        <f>IFERROR(VLOOKUP("咖啡机"&amp;"-"&amp;E$361&amp;"-"&amp;$B$421&amp;"-"&amp;$C$424&amp;"-"&amp;$D424,dat_nespresso_compet_chl!$H:$N,7,0),"")</f>
        <v>1.52E-2</v>
      </c>
      <c r="F424" s="130">
        <f>IFERROR(VLOOKUP("咖啡机"&amp;"-"&amp;F$361&amp;"-"&amp;$B$421&amp;"-"&amp;$C$424&amp;"-"&amp;$D424,dat_nespresso_compet_chl!$H:$N,7,0),"")</f>
        <v>0</v>
      </c>
      <c r="G424" s="130">
        <f>IFERROR(VLOOKUP("咖啡机"&amp;"-"&amp;G$361&amp;"-"&amp;$B$421&amp;"-"&amp;$C$424&amp;"-"&amp;$D424,dat_nespresso_compet_chl!$H:$N,7,0),"")</f>
        <v>0</v>
      </c>
      <c r="H424" s="130">
        <f>IFERROR(VLOOKUP("咖啡机"&amp;"-"&amp;H$361&amp;"-"&amp;$B$421&amp;"-"&amp;$C$424&amp;"-"&amp;$D424,dat_nespresso_compet_chl!$H:$N,7,0),"")</f>
        <v>2.5899999999999999E-2</v>
      </c>
      <c r="I424" s="130">
        <f>IFERROR(VLOOKUP("咖啡机"&amp;"-"&amp;I$361&amp;"-"&amp;$B$421&amp;"-"&amp;$C$424&amp;"-"&amp;$D424,dat_nespresso_compet_chl!$H:$N,7,0),"")</f>
        <v>0</v>
      </c>
      <c r="J424" s="130">
        <f>IFERROR(VLOOKUP("咖啡机"&amp;"-"&amp;J$361&amp;"-"&amp;$B$421&amp;"-"&amp;$C$424&amp;"-"&amp;$D424,dat_nespresso_compet_chl!$H:$N,7,0),"")</f>
        <v>1.18E-2</v>
      </c>
      <c r="K424" s="130">
        <f>IFERROR(VLOOKUP("咖啡机"&amp;"-"&amp;K$361&amp;"-"&amp;$B$421&amp;"-"&amp;$C$424&amp;"-"&amp;$D424,dat_nespresso_compet_chl!$H:$N,7,0),"")</f>
        <v>1.83E-2</v>
      </c>
      <c r="L424" s="4"/>
      <c r="M424" s="4"/>
      <c r="N424" s="4"/>
    </row>
    <row r="425" spans="2:16" x14ac:dyDescent="0.25">
      <c r="B425" s="269"/>
      <c r="C425" s="281"/>
      <c r="D425" s="22" t="s">
        <v>67</v>
      </c>
      <c r="E425" s="130">
        <f>IFERROR(VLOOKUP("咖啡机"&amp;"-"&amp;E$361&amp;"-"&amp;$B$421&amp;"-"&amp;$C$424&amp;"-"&amp;$D425,dat_nespresso_compet_chl!$H:$N,7,0),"")</f>
        <v>0</v>
      </c>
      <c r="F425" s="130">
        <f>IFERROR(VLOOKUP("咖啡机"&amp;"-"&amp;F$361&amp;"-"&amp;$B$421&amp;"-"&amp;$C$424&amp;"-"&amp;$D425,dat_nespresso_compet_chl!$H:$N,7,0),"")</f>
        <v>0</v>
      </c>
      <c r="G425" s="130">
        <f>IFERROR(VLOOKUP("咖啡机"&amp;"-"&amp;G$361&amp;"-"&amp;$B$421&amp;"-"&amp;$C$424&amp;"-"&amp;$D425,dat_nespresso_compet_chl!$H:$N,7,0),"")</f>
        <v>1.8700000000000001E-2</v>
      </c>
      <c r="H425" s="130">
        <f>IFERROR(VLOOKUP("咖啡机"&amp;"-"&amp;H$361&amp;"-"&amp;$B$421&amp;"-"&amp;$C$424&amp;"-"&amp;$D425,dat_nespresso_compet_chl!$H:$N,7,0),"")</f>
        <v>9.7999999999999997E-3</v>
      </c>
      <c r="I425" s="130">
        <f>IFERROR(VLOOKUP("咖啡机"&amp;"-"&amp;I$361&amp;"-"&amp;$B$421&amp;"-"&amp;$C$424&amp;"-"&amp;$D425,dat_nespresso_compet_chl!$H:$N,7,0),"")</f>
        <v>1.5699999999999999E-2</v>
      </c>
      <c r="J425" s="130">
        <f>IFERROR(VLOOKUP("咖啡机"&amp;"-"&amp;J$361&amp;"-"&amp;$B$421&amp;"-"&amp;$C$424&amp;"-"&amp;$D425,dat_nespresso_compet_chl!$H:$N,7,0),"")</f>
        <v>0</v>
      </c>
      <c r="K425" s="130">
        <f>IFERROR(VLOOKUP("咖啡机"&amp;"-"&amp;K$361&amp;"-"&amp;$B$421&amp;"-"&amp;$C$424&amp;"-"&amp;$D425,dat_nespresso_compet_chl!$H:$N,7,0),"")</f>
        <v>0</v>
      </c>
      <c r="L425" s="4"/>
      <c r="M425" s="4"/>
      <c r="N425" s="4"/>
    </row>
    <row r="426" spans="2:16" x14ac:dyDescent="0.25">
      <c r="B426" s="269"/>
      <c r="C426" s="293" t="s">
        <v>72</v>
      </c>
      <c r="D426" s="22" t="s">
        <v>73</v>
      </c>
      <c r="E426" s="130">
        <f>IFERROR(VLOOKUP("咖啡机"&amp;"-"&amp;E$361&amp;"-"&amp;$B$421&amp;"-"&amp;$C$426&amp;"-"&amp;$D426,dat_nespresso_compet_chl!$H:$N,7,0),"")</f>
        <v>6.7000000000000002E-3</v>
      </c>
      <c r="F426" s="130">
        <f>IFERROR(VLOOKUP("咖啡机"&amp;"-"&amp;F$361&amp;"-"&amp;$B$421&amp;"-"&amp;$C$426&amp;"-"&amp;$D426,dat_nespresso_compet_chl!$H:$N,7,0),"")</f>
        <v>1.01E-2</v>
      </c>
      <c r="G426" s="130">
        <f>IFERROR(VLOOKUP("咖啡机"&amp;"-"&amp;G$361&amp;"-"&amp;$B$421&amp;"-"&amp;$C$426&amp;"-"&amp;$D426,dat_nespresso_compet_chl!$H:$N,7,0),"")</f>
        <v>1.4500000000000001E-2</v>
      </c>
      <c r="H426" s="130">
        <f>IFERROR(VLOOKUP("咖啡机"&amp;"-"&amp;H$361&amp;"-"&amp;$B$421&amp;"-"&amp;$C$426&amp;"-"&amp;$D426,dat_nespresso_compet_chl!$H:$N,7,0),"")</f>
        <v>1.54E-2</v>
      </c>
      <c r="I426" s="130">
        <f>IFERROR(VLOOKUP("咖啡机"&amp;"-"&amp;I$361&amp;"-"&amp;$B$421&amp;"-"&amp;$C$426&amp;"-"&amp;$D426,dat_nespresso_compet_chl!$H:$N,7,0),"")</f>
        <v>3.9899999999999998E-2</v>
      </c>
      <c r="J426" s="130">
        <f>IFERROR(VLOOKUP("咖啡机"&amp;"-"&amp;J$361&amp;"-"&amp;$B$421&amp;"-"&amp;$C$426&amp;"-"&amp;$D426,dat_nespresso_compet_chl!$H:$N,7,0),"")</f>
        <v>6.6199999999999995E-2</v>
      </c>
      <c r="K426" s="130">
        <f>IFERROR(VLOOKUP("咖啡机"&amp;"-"&amp;K$361&amp;"-"&amp;$B$421&amp;"-"&amp;$C$426&amp;"-"&amp;$D426,dat_nespresso_compet_chl!$H:$N,7,0),"")</f>
        <v>8.9999999999999998E-4</v>
      </c>
      <c r="L426" s="4"/>
      <c r="M426" s="4"/>
      <c r="N426" s="4"/>
    </row>
    <row r="427" spans="2:16" x14ac:dyDescent="0.25">
      <c r="B427" s="269"/>
      <c r="C427" s="281"/>
      <c r="D427" s="22" t="s">
        <v>75</v>
      </c>
      <c r="E427" s="130">
        <f>IFERROR(VLOOKUP("咖啡机"&amp;"-"&amp;E$361&amp;"-"&amp;$B$421&amp;"-"&amp;$C$426&amp;"-"&amp;$D427,dat_nespresso_compet_chl!$H:$N,7,0),"")</f>
        <v>0</v>
      </c>
      <c r="F427" s="130">
        <f>IFERROR(VLOOKUP("咖啡机"&amp;"-"&amp;F$361&amp;"-"&amp;$B$421&amp;"-"&amp;$C$426&amp;"-"&amp;$D427,dat_nespresso_compet_chl!$H:$N,7,0),"")</f>
        <v>0</v>
      </c>
      <c r="G427" s="130">
        <f>IFERROR(VLOOKUP("咖啡机"&amp;"-"&amp;G$361&amp;"-"&amp;$B$421&amp;"-"&amp;$C$426&amp;"-"&amp;$D427,dat_nespresso_compet_chl!$H:$N,7,0),"")</f>
        <v>0</v>
      </c>
      <c r="H427" s="130">
        <f>IFERROR(VLOOKUP("咖啡机"&amp;"-"&amp;H$361&amp;"-"&amp;$B$421&amp;"-"&amp;$C$426&amp;"-"&amp;$D427,dat_nespresso_compet_chl!$H:$N,7,0),"")</f>
        <v>0</v>
      </c>
      <c r="I427" s="130">
        <f>IFERROR(VLOOKUP("咖啡机"&amp;"-"&amp;I$361&amp;"-"&amp;$B$421&amp;"-"&amp;$C$426&amp;"-"&amp;$D427,dat_nespresso_compet_chl!$H:$N,7,0),"")</f>
        <v>0</v>
      </c>
      <c r="J427" s="130">
        <f>IFERROR(VLOOKUP("咖啡机"&amp;"-"&amp;J$361&amp;"-"&amp;$B$421&amp;"-"&amp;$C$426&amp;"-"&amp;$D427,dat_nespresso_compet_chl!$H:$N,7,0),"")</f>
        <v>0.125</v>
      </c>
      <c r="K427" s="130">
        <f>IFERROR(VLOOKUP("咖啡机"&amp;"-"&amp;K$361&amp;"-"&amp;$B$421&amp;"-"&amp;$C$426&amp;"-"&amp;$D427,dat_nespresso_compet_chl!$H:$N,7,0),"")</f>
        <v>0</v>
      </c>
      <c r="L427" s="4"/>
      <c r="M427" s="4"/>
      <c r="N427" s="4"/>
    </row>
    <row r="428" spans="2:16" x14ac:dyDescent="0.25">
      <c r="B428" s="269"/>
      <c r="C428" s="281"/>
      <c r="D428" s="22" t="s">
        <v>352</v>
      </c>
      <c r="E428" s="130">
        <f>IFERROR(VLOOKUP("咖啡机"&amp;"-"&amp;E$361&amp;"-"&amp;$B$421&amp;"-"&amp;$C$426&amp;"-"&amp;$D428,dat_nespresso_compet_chl!$H:$N,7,0),"")</f>
        <v>0</v>
      </c>
      <c r="F428" s="130">
        <f>IFERROR(VLOOKUP("咖啡机"&amp;"-"&amp;F$361&amp;"-"&amp;$B$421&amp;"-"&amp;$C$426&amp;"-"&amp;$D428,dat_nespresso_compet_chl!$H:$N,7,0),"")</f>
        <v>0</v>
      </c>
      <c r="G428" s="130">
        <f>IFERROR(VLOOKUP("咖啡机"&amp;"-"&amp;G$361&amp;"-"&amp;$B$421&amp;"-"&amp;$C$426&amp;"-"&amp;$D428,dat_nespresso_compet_chl!$H:$N,7,0),"")</f>
        <v>0</v>
      </c>
      <c r="H428" s="130">
        <f>IFERROR(VLOOKUP("咖啡机"&amp;"-"&amp;H$361&amp;"-"&amp;$B$421&amp;"-"&amp;$C$426&amp;"-"&amp;$D428,dat_nespresso_compet_chl!$H:$N,7,0),"")</f>
        <v>0</v>
      </c>
      <c r="I428" s="130">
        <f>IFERROR(VLOOKUP("咖啡机"&amp;"-"&amp;I$361&amp;"-"&amp;$B$421&amp;"-"&amp;$C$426&amp;"-"&amp;$D428,dat_nespresso_compet_chl!$H:$N,7,0),"")</f>
        <v>0</v>
      </c>
      <c r="J428" s="130">
        <f>IFERROR(VLOOKUP("咖啡机"&amp;"-"&amp;J$361&amp;"-"&amp;$B$421&amp;"-"&amp;$C$426&amp;"-"&amp;$D428,dat_nespresso_compet_chl!$H:$N,7,0),"")</f>
        <v>0</v>
      </c>
      <c r="K428" s="130">
        <f>IFERROR(VLOOKUP("咖啡机"&amp;"-"&amp;K$361&amp;"-"&amp;$B$421&amp;"-"&amp;$C$426&amp;"-"&amp;$D428,dat_nespresso_compet_chl!$H:$N,7,0),"")</f>
        <v>0</v>
      </c>
      <c r="L428" s="4"/>
      <c r="M428" s="4"/>
      <c r="N428" s="4"/>
    </row>
    <row r="429" spans="2:16" x14ac:dyDescent="0.25">
      <c r="B429" s="269"/>
      <c r="C429" s="281"/>
      <c r="D429" s="22" t="s">
        <v>74</v>
      </c>
      <c r="E429" s="130">
        <f>IFERROR(VLOOKUP("咖啡机"&amp;"-"&amp;E$361&amp;"-"&amp;$B$421&amp;"-"&amp;$C$426&amp;"-"&amp;$D429,dat_nespresso_compet_chl!$H:$N,7,0),"")</f>
        <v>0</v>
      </c>
      <c r="F429" s="130">
        <f>IFERROR(VLOOKUP("咖啡机"&amp;"-"&amp;F$361&amp;"-"&amp;$B$421&amp;"-"&amp;$C$426&amp;"-"&amp;$D429,dat_nespresso_compet_chl!$H:$N,7,0),"")</f>
        <v>0</v>
      </c>
      <c r="G429" s="130">
        <f>IFERROR(VLOOKUP("咖啡机"&amp;"-"&amp;G$361&amp;"-"&amp;$B$421&amp;"-"&amp;$C$426&amp;"-"&amp;$D429,dat_nespresso_compet_chl!$H:$N,7,0),"")</f>
        <v>0</v>
      </c>
      <c r="H429" s="130">
        <f>IFERROR(VLOOKUP("咖啡机"&amp;"-"&amp;H$361&amp;"-"&amp;$B$421&amp;"-"&amp;$C$426&amp;"-"&amp;$D429,dat_nespresso_compet_chl!$H:$N,7,0),"")</f>
        <v>0</v>
      </c>
      <c r="I429" s="130">
        <f>IFERROR(VLOOKUP("咖啡机"&amp;"-"&amp;I$361&amp;"-"&amp;$B$421&amp;"-"&amp;$C$426&amp;"-"&amp;$D429,dat_nespresso_compet_chl!$H:$N,7,0),"")</f>
        <v>0</v>
      </c>
      <c r="J429" s="130">
        <f>IFERROR(VLOOKUP("咖啡机"&amp;"-"&amp;J$361&amp;"-"&amp;$B$421&amp;"-"&amp;$C$426&amp;"-"&amp;$D429,dat_nespresso_compet_chl!$H:$N,7,0),"")</f>
        <v>0</v>
      </c>
      <c r="K429" s="130">
        <f>IFERROR(VLOOKUP("咖啡机"&amp;"-"&amp;K$361&amp;"-"&amp;$B$421&amp;"-"&amp;$C$426&amp;"-"&amp;$D429,dat_nespresso_compet_chl!$H:$N,7,0),"")</f>
        <v>0</v>
      </c>
      <c r="L429" s="4"/>
      <c r="M429" s="4"/>
      <c r="N429" s="4"/>
    </row>
    <row r="430" spans="2:16" x14ac:dyDescent="0.25">
      <c r="B430" s="269"/>
      <c r="C430" s="294" t="s">
        <v>68</v>
      </c>
      <c r="D430" s="22" t="s">
        <v>70</v>
      </c>
      <c r="E430" s="130">
        <f>IFERROR(VLOOKUP("咖啡机"&amp;"-"&amp;E$361&amp;"-"&amp;$B$421&amp;"-"&amp;$C$430&amp;"-"&amp;$D430,dat_nespresso_compet_chl!$H:$N,7,0),"")</f>
        <v>0</v>
      </c>
      <c r="F430" s="130">
        <f>IFERROR(VLOOKUP("咖啡机"&amp;"-"&amp;F$361&amp;"-"&amp;$B$421&amp;"-"&amp;$C$430&amp;"-"&amp;$D430,dat_nespresso_compet_chl!$H:$N,7,0),"")</f>
        <v>0</v>
      </c>
      <c r="G430" s="130">
        <f>IFERROR(VLOOKUP("咖啡机"&amp;"-"&amp;G$361&amp;"-"&amp;$B$421&amp;"-"&amp;$C$430&amp;"-"&amp;$D430,dat_nespresso_compet_chl!$H:$N,7,0),"")</f>
        <v>0</v>
      </c>
      <c r="H430" s="130">
        <f>IFERROR(VLOOKUP("咖啡机"&amp;"-"&amp;H$361&amp;"-"&amp;$B$421&amp;"-"&amp;$C$430&amp;"-"&amp;$D430,dat_nespresso_compet_chl!$H:$N,7,0),"")</f>
        <v>0</v>
      </c>
      <c r="I430" s="130">
        <f>IFERROR(VLOOKUP("咖啡机"&amp;"-"&amp;I$361&amp;"-"&amp;$B$421&amp;"-"&amp;$C$430&amp;"-"&amp;$D430,dat_nespresso_compet_chl!$H:$N,7,0),"")</f>
        <v>0</v>
      </c>
      <c r="J430" s="130">
        <f>IFERROR(VLOOKUP("咖啡机"&amp;"-"&amp;J$361&amp;"-"&amp;$B$421&amp;"-"&amp;$C$430&amp;"-"&amp;$D430,dat_nespresso_compet_chl!$H:$N,7,0),"")</f>
        <v>0</v>
      </c>
      <c r="K430" s="130">
        <f>IFERROR(VLOOKUP("咖啡机"&amp;"-"&amp;K$361&amp;"-"&amp;$B$421&amp;"-"&amp;$C$430&amp;"-"&amp;$D430,dat_nespresso_compet_chl!$H:$N,7,0),"")</f>
        <v>0</v>
      </c>
      <c r="L430" s="4"/>
      <c r="M430" s="4"/>
      <c r="N430" s="4"/>
    </row>
    <row r="431" spans="2:16" x14ac:dyDescent="0.25">
      <c r="B431" s="269"/>
      <c r="C431" s="279"/>
      <c r="D431" s="22" t="s">
        <v>69</v>
      </c>
      <c r="E431" s="130">
        <f>IFERROR(VLOOKUP("咖啡机"&amp;"-"&amp;E$361&amp;"-"&amp;$B$421&amp;"-"&amp;$C$430&amp;"-"&amp;$D431,dat_nespresso_compet_chl!$H:$N,7,0),"")</f>
        <v>0</v>
      </c>
      <c r="F431" s="130">
        <f>IFERROR(VLOOKUP("咖啡机"&amp;"-"&amp;F$361&amp;"-"&amp;$B$421&amp;"-"&amp;$C$430&amp;"-"&amp;$D431,dat_nespresso_compet_chl!$H:$N,7,0),"")</f>
        <v>0</v>
      </c>
      <c r="G431" s="130">
        <f>IFERROR(VLOOKUP("咖啡机"&amp;"-"&amp;G$361&amp;"-"&amp;$B$421&amp;"-"&amp;$C$430&amp;"-"&amp;$D431,dat_nespresso_compet_chl!$H:$N,7,0),"")</f>
        <v>0</v>
      </c>
      <c r="H431" s="130">
        <f>IFERROR(VLOOKUP("咖啡机"&amp;"-"&amp;H$361&amp;"-"&amp;$B$421&amp;"-"&amp;$C$430&amp;"-"&amp;$D431,dat_nespresso_compet_chl!$H:$N,7,0),"")</f>
        <v>0</v>
      </c>
      <c r="I431" s="130">
        <f>IFERROR(VLOOKUP("咖啡机"&amp;"-"&amp;I$361&amp;"-"&amp;$B$421&amp;"-"&amp;$C$430&amp;"-"&amp;$D431,dat_nespresso_compet_chl!$H:$N,7,0),"")</f>
        <v>0</v>
      </c>
      <c r="J431" s="130">
        <f>IFERROR(VLOOKUP("咖啡机"&amp;"-"&amp;J$361&amp;"-"&amp;$B$421&amp;"-"&amp;$C$430&amp;"-"&amp;$D431,dat_nespresso_compet_chl!$H:$N,7,0),"")</f>
        <v>0</v>
      </c>
      <c r="K431" s="130">
        <f>IFERROR(VLOOKUP("咖啡机"&amp;"-"&amp;K$361&amp;"-"&amp;$B$421&amp;"-"&amp;$C$430&amp;"-"&amp;$D431,dat_nespresso_compet_chl!$H:$N,7,0),"")</f>
        <v>0</v>
      </c>
      <c r="L431" s="4"/>
      <c r="M431" s="4"/>
      <c r="N431" s="4"/>
    </row>
    <row r="435" spans="2:15" s="49" customFormat="1" ht="16.25" customHeight="1" x14ac:dyDescent="0.25">
      <c r="B435" s="289" t="s">
        <v>353</v>
      </c>
      <c r="C435" s="290"/>
      <c r="D435" s="290"/>
      <c r="E435" s="290"/>
      <c r="F435" s="290"/>
      <c r="G435" s="155"/>
      <c r="H435" s="155"/>
      <c r="I435" s="155"/>
      <c r="M435" s="50"/>
      <c r="N435" s="50"/>
      <c r="O435" s="50"/>
    </row>
    <row r="436" spans="2:15" x14ac:dyDescent="0.25">
      <c r="B436" s="243"/>
      <c r="C436" s="243"/>
      <c r="D436" s="243"/>
    </row>
    <row r="437" spans="2:15" ht="17" customHeight="1" thickBot="1" x14ac:dyDescent="0.3">
      <c r="B437" s="325" t="s">
        <v>10848</v>
      </c>
      <c r="C437" s="326"/>
      <c r="D437" s="326"/>
      <c r="F437" s="272" t="s">
        <v>10853</v>
      </c>
      <c r="G437" s="274"/>
      <c r="I437" s="327" t="s">
        <v>354</v>
      </c>
      <c r="J437" s="327"/>
    </row>
    <row r="438" spans="2:15" ht="16.25" customHeight="1" x14ac:dyDescent="0.25">
      <c r="B438" s="230" t="s">
        <v>355</v>
      </c>
      <c r="C438" s="231">
        <v>2022.12</v>
      </c>
      <c r="D438" s="231">
        <v>2023.12</v>
      </c>
      <c r="F438" s="219" t="s">
        <v>355</v>
      </c>
      <c r="G438" s="227" t="s">
        <v>356</v>
      </c>
      <c r="I438" s="235" t="s">
        <v>355</v>
      </c>
      <c r="J438" s="236" t="s">
        <v>357</v>
      </c>
    </row>
    <row r="439" spans="2:15" ht="19" customHeight="1" x14ac:dyDescent="0.25">
      <c r="B439" s="232" t="s">
        <v>28</v>
      </c>
      <c r="C439" s="229">
        <v>627530</v>
      </c>
      <c r="D439" s="229">
        <v>697450</v>
      </c>
      <c r="F439" s="228" t="s">
        <v>28</v>
      </c>
      <c r="G439" s="229">
        <v>946415</v>
      </c>
      <c r="I439" s="255" t="s">
        <v>3372</v>
      </c>
      <c r="J439" s="130">
        <v>2.5</v>
      </c>
    </row>
    <row r="440" spans="2:15" ht="19" customHeight="1" x14ac:dyDescent="0.25">
      <c r="B440" s="233" t="s">
        <v>358</v>
      </c>
      <c r="C440" s="229">
        <v>90520</v>
      </c>
      <c r="D440" s="229">
        <v>84941</v>
      </c>
      <c r="F440" s="228" t="s">
        <v>358</v>
      </c>
      <c r="G440" s="229">
        <v>76384</v>
      </c>
      <c r="I440" s="255" t="s">
        <v>10930</v>
      </c>
      <c r="J440" s="130">
        <v>1.8332999999999999</v>
      </c>
    </row>
    <row r="441" spans="2:15" ht="19" customHeight="1" x14ac:dyDescent="0.25">
      <c r="B441" s="233" t="s">
        <v>306</v>
      </c>
      <c r="C441" s="229">
        <v>77689</v>
      </c>
      <c r="D441" s="229">
        <v>69216</v>
      </c>
      <c r="F441" s="228" t="s">
        <v>306</v>
      </c>
      <c r="G441" s="229">
        <v>85480</v>
      </c>
      <c r="I441" s="255" t="s">
        <v>10931</v>
      </c>
      <c r="J441" s="130">
        <v>1.375</v>
      </c>
    </row>
    <row r="442" spans="2:15" ht="19" customHeight="1" x14ac:dyDescent="0.25">
      <c r="B442" s="233" t="s">
        <v>359</v>
      </c>
      <c r="C442" s="229">
        <v>62973</v>
      </c>
      <c r="D442" s="229">
        <v>64166</v>
      </c>
      <c r="F442" s="228" t="s">
        <v>359</v>
      </c>
      <c r="G442" s="229">
        <v>77627</v>
      </c>
      <c r="I442" s="255" t="s">
        <v>10932</v>
      </c>
      <c r="J442" s="130">
        <v>1.375</v>
      </c>
    </row>
    <row r="443" spans="2:15" ht="19" customHeight="1" x14ac:dyDescent="0.25">
      <c r="B443" s="233" t="s">
        <v>10849</v>
      </c>
      <c r="C443" s="229">
        <v>1754</v>
      </c>
      <c r="D443" s="229">
        <v>37089</v>
      </c>
      <c r="F443" s="228" t="s">
        <v>360</v>
      </c>
      <c r="G443" s="229">
        <v>71252</v>
      </c>
      <c r="I443" s="255" t="s">
        <v>10933</v>
      </c>
      <c r="J443" s="130">
        <v>1.375</v>
      </c>
    </row>
    <row r="444" spans="2:15" ht="19" customHeight="1" x14ac:dyDescent="0.25">
      <c r="B444" s="233" t="s">
        <v>305</v>
      </c>
      <c r="C444" s="229">
        <v>1304</v>
      </c>
      <c r="D444" s="229">
        <v>33217</v>
      </c>
      <c r="F444" s="228" t="s">
        <v>361</v>
      </c>
      <c r="G444" s="229">
        <v>61285</v>
      </c>
      <c r="I444" s="255" t="s">
        <v>10934</v>
      </c>
      <c r="J444" s="130">
        <v>1.3332999999999999</v>
      </c>
    </row>
    <row r="445" spans="2:15" ht="19" customHeight="1" x14ac:dyDescent="0.25">
      <c r="B445" s="233" t="s">
        <v>10850</v>
      </c>
      <c r="C445" s="229">
        <v>3946</v>
      </c>
      <c r="D445" s="229">
        <v>36548</v>
      </c>
      <c r="F445" s="228" t="s">
        <v>362</v>
      </c>
      <c r="G445" s="229">
        <v>44620</v>
      </c>
      <c r="I445" s="255" t="s">
        <v>10935</v>
      </c>
      <c r="J445" s="130">
        <v>1.3103</v>
      </c>
    </row>
    <row r="446" spans="2:15" ht="19" customHeight="1" x14ac:dyDescent="0.25">
      <c r="B446" s="233" t="s">
        <v>365</v>
      </c>
      <c r="C446" s="229">
        <v>17700</v>
      </c>
      <c r="D446" s="229">
        <v>33224</v>
      </c>
      <c r="F446" s="228" t="s">
        <v>305</v>
      </c>
      <c r="G446" s="229">
        <v>45328</v>
      </c>
      <c r="I446" s="255" t="s">
        <v>10936</v>
      </c>
      <c r="J446" s="130">
        <v>1.2857000000000001</v>
      </c>
    </row>
    <row r="447" spans="2:15" ht="19" customHeight="1" x14ac:dyDescent="0.25">
      <c r="B447" s="233" t="s">
        <v>10851</v>
      </c>
      <c r="C447" s="229">
        <v>30242</v>
      </c>
      <c r="D447" s="229">
        <v>34027</v>
      </c>
      <c r="F447" s="228" t="s">
        <v>363</v>
      </c>
      <c r="G447" s="229">
        <v>44758</v>
      </c>
      <c r="I447" s="255" t="s">
        <v>10937</v>
      </c>
      <c r="J447" s="130">
        <v>1.1537999999999999</v>
      </c>
    </row>
    <row r="448" spans="2:15" ht="19" customHeight="1" x14ac:dyDescent="0.25">
      <c r="B448" s="233" t="s">
        <v>10852</v>
      </c>
      <c r="C448" s="229">
        <v>89829</v>
      </c>
      <c r="D448" s="229">
        <v>34562</v>
      </c>
      <c r="F448" s="228" t="s">
        <v>364</v>
      </c>
      <c r="G448" s="229">
        <v>49034</v>
      </c>
      <c r="I448" s="255" t="s">
        <v>10938</v>
      </c>
      <c r="J448" s="130">
        <v>0.6</v>
      </c>
    </row>
  </sheetData>
  <mergeCells count="123">
    <mergeCell ref="J70:M70"/>
    <mergeCell ref="B38:B39"/>
    <mergeCell ref="B40:B41"/>
    <mergeCell ref="B43:M43"/>
    <mergeCell ref="B44:B45"/>
    <mergeCell ref="B68:F68"/>
    <mergeCell ref="B19:F19"/>
    <mergeCell ref="B21:O21"/>
    <mergeCell ref="Q21:AC21"/>
    <mergeCell ref="B23:B28"/>
    <mergeCell ref="B29:B34"/>
    <mergeCell ref="B36:O36"/>
    <mergeCell ref="B437:D437"/>
    <mergeCell ref="F437:G437"/>
    <mergeCell ref="I437:J437"/>
    <mergeCell ref="B2:C2"/>
    <mergeCell ref="B3:F3"/>
    <mergeCell ref="B5:O5"/>
    <mergeCell ref="B83:F83"/>
    <mergeCell ref="G85:S85"/>
    <mergeCell ref="B117:B122"/>
    <mergeCell ref="B198:B201"/>
    <mergeCell ref="B202:B204"/>
    <mergeCell ref="B205:B208"/>
    <mergeCell ref="B209:C209"/>
    <mergeCell ref="B210:B211"/>
    <mergeCell ref="B214:C214"/>
    <mergeCell ref="Q214:U214"/>
    <mergeCell ref="R202:U202"/>
    <mergeCell ref="B194:F194"/>
    <mergeCell ref="B196:O196"/>
    <mergeCell ref="Q5:AC5"/>
    <mergeCell ref="B7:B11"/>
    <mergeCell ref="B12:B16"/>
    <mergeCell ref="B70:E70"/>
    <mergeCell ref="F70:H70"/>
    <mergeCell ref="U85:AG85"/>
    <mergeCell ref="B86:E86"/>
    <mergeCell ref="F87:F91"/>
    <mergeCell ref="F92:F96"/>
    <mergeCell ref="B101:F101"/>
    <mergeCell ref="B103:F103"/>
    <mergeCell ref="B105:G105"/>
    <mergeCell ref="B108:B109"/>
    <mergeCell ref="B110:B116"/>
    <mergeCell ref="B197:C197"/>
    <mergeCell ref="R196:U196"/>
    <mergeCell ref="B173:B177"/>
    <mergeCell ref="B179:F179"/>
    <mergeCell ref="B181:F181"/>
    <mergeCell ref="B123:B127"/>
    <mergeCell ref="B130:F130"/>
    <mergeCell ref="B132:O132"/>
    <mergeCell ref="Q132:AC132"/>
    <mergeCell ref="B134:B139"/>
    <mergeCell ref="B140:B145"/>
    <mergeCell ref="B146:B151"/>
    <mergeCell ref="B154:F154"/>
    <mergeCell ref="B156:F156"/>
    <mergeCell ref="B159:B160"/>
    <mergeCell ref="B161:B166"/>
    <mergeCell ref="B167:B172"/>
    <mergeCell ref="I230:J230"/>
    <mergeCell ref="I231:I236"/>
    <mergeCell ref="B242:F242"/>
    <mergeCell ref="C244:E244"/>
    <mergeCell ref="B267:F267"/>
    <mergeCell ref="B269:F269"/>
    <mergeCell ref="B215:B218"/>
    <mergeCell ref="B219:B221"/>
    <mergeCell ref="B222:B225"/>
    <mergeCell ref="B227:F227"/>
    <mergeCell ref="C229:F229"/>
    <mergeCell ref="I229:Q229"/>
    <mergeCell ref="M245:O245"/>
    <mergeCell ref="M254:O254"/>
    <mergeCell ref="B304:F304"/>
    <mergeCell ref="B306:G306"/>
    <mergeCell ref="I306:N306"/>
    <mergeCell ref="B320:F320"/>
    <mergeCell ref="B322:K322"/>
    <mergeCell ref="Q322:V322"/>
    <mergeCell ref="B271:F271"/>
    <mergeCell ref="Q273:R274"/>
    <mergeCell ref="S273:S274"/>
    <mergeCell ref="Q275:Q279"/>
    <mergeCell ref="B277:D277"/>
    <mergeCell ref="F277:H277"/>
    <mergeCell ref="C402:C405"/>
    <mergeCell ref="C406:C407"/>
    <mergeCell ref="C362:D362"/>
    <mergeCell ref="C364:C365"/>
    <mergeCell ref="C366:C367"/>
    <mergeCell ref="C368:C369"/>
    <mergeCell ref="E371:K371"/>
    <mergeCell ref="C372:C378"/>
    <mergeCell ref="B337:F337"/>
    <mergeCell ref="B339:F339"/>
    <mergeCell ref="B342:B347"/>
    <mergeCell ref="C342:C344"/>
    <mergeCell ref="B350:B356"/>
    <mergeCell ref="B359:F359"/>
    <mergeCell ref="B397:B407"/>
    <mergeCell ref="E379:K379"/>
    <mergeCell ref="C380:C386"/>
    <mergeCell ref="E387:K387"/>
    <mergeCell ref="C388:C394"/>
    <mergeCell ref="E396:K396"/>
    <mergeCell ref="C397:C399"/>
    <mergeCell ref="C400:C401"/>
    <mergeCell ref="B409:B419"/>
    <mergeCell ref="B435:F435"/>
    <mergeCell ref="E420:K420"/>
    <mergeCell ref="C421:C423"/>
    <mergeCell ref="C424:C425"/>
    <mergeCell ref="C426:C429"/>
    <mergeCell ref="C430:C431"/>
    <mergeCell ref="B421:B431"/>
    <mergeCell ref="E408:K408"/>
    <mergeCell ref="C409:C411"/>
    <mergeCell ref="C412:C413"/>
    <mergeCell ref="C414:C417"/>
    <mergeCell ref="C418:C419"/>
  </mergeCells>
  <phoneticPr fontId="22" type="noConversion"/>
  <conditionalFormatting sqref="F46:F65">
    <cfRule type="dataBar" priority="40">
      <dataBar>
        <cfvo type="min"/>
        <cfvo type="max"/>
        <color rgb="FF638EC6"/>
      </dataBar>
    </cfRule>
  </conditionalFormatting>
  <conditionalFormatting sqref="E46:E65">
    <cfRule type="dataBar" priority="39">
      <dataBar>
        <cfvo type="min"/>
        <cfvo type="max"/>
        <color rgb="FF63C384"/>
      </dataBar>
    </cfRule>
  </conditionalFormatting>
  <conditionalFormatting sqref="I46:I65">
    <cfRule type="dataBar" priority="38">
      <dataBar>
        <cfvo type="min"/>
        <cfvo type="max"/>
        <color rgb="FF63C384"/>
      </dataBar>
    </cfRule>
  </conditionalFormatting>
  <conditionalFormatting sqref="K46:K65">
    <cfRule type="dataBar" priority="37">
      <dataBar>
        <cfvo type="min"/>
        <cfvo type="max"/>
        <color rgb="FF63C384"/>
      </dataBar>
    </cfRule>
  </conditionalFormatting>
  <conditionalFormatting sqref="M46:M65">
    <cfRule type="dataBar" priority="36">
      <dataBar>
        <cfvo type="min"/>
        <cfvo type="max"/>
        <color rgb="FF63C384"/>
      </dataBar>
    </cfRule>
  </conditionalFormatting>
  <conditionalFormatting sqref="D29:D34">
    <cfRule type="dataBar" priority="33">
      <dataBar>
        <cfvo type="min"/>
        <cfvo type="max"/>
        <color rgb="FF638EC6"/>
      </dataBar>
    </cfRule>
  </conditionalFormatting>
  <conditionalFormatting sqref="E29:E34">
    <cfRule type="dataBar" priority="32">
      <dataBar>
        <cfvo type="min"/>
        <cfvo type="max"/>
        <color rgb="FF638EC6"/>
      </dataBar>
    </cfRule>
  </conditionalFormatting>
  <conditionalFormatting sqref="F29:F34">
    <cfRule type="dataBar" priority="31">
      <dataBar>
        <cfvo type="min"/>
        <cfvo type="max"/>
        <color rgb="FF638EC6"/>
      </dataBar>
    </cfRule>
  </conditionalFormatting>
  <conditionalFormatting sqref="G29:G34">
    <cfRule type="dataBar" priority="30">
      <dataBar>
        <cfvo type="min"/>
        <cfvo type="max"/>
        <color rgb="FF638EC6"/>
      </dataBar>
    </cfRule>
  </conditionalFormatting>
  <conditionalFormatting sqref="H29:H34">
    <cfRule type="dataBar" priority="29">
      <dataBar>
        <cfvo type="min"/>
        <cfvo type="max"/>
        <color rgb="FF638EC6"/>
      </dataBar>
    </cfRule>
  </conditionalFormatting>
  <conditionalFormatting sqref="I29:I34">
    <cfRule type="dataBar" priority="28">
      <dataBar>
        <cfvo type="min"/>
        <cfvo type="max"/>
        <color rgb="FF638EC6"/>
      </dataBar>
    </cfRule>
  </conditionalFormatting>
  <conditionalFormatting sqref="J29:J34">
    <cfRule type="dataBar" priority="27">
      <dataBar>
        <cfvo type="min"/>
        <cfvo type="max"/>
        <color rgb="FF638EC6"/>
      </dataBar>
    </cfRule>
  </conditionalFormatting>
  <conditionalFormatting sqref="K29:K34">
    <cfRule type="dataBar" priority="26">
      <dataBar>
        <cfvo type="min"/>
        <cfvo type="max"/>
        <color rgb="FF638EC6"/>
      </dataBar>
    </cfRule>
  </conditionalFormatting>
  <conditionalFormatting sqref="L29:L34">
    <cfRule type="dataBar" priority="25">
      <dataBar>
        <cfvo type="min"/>
        <cfvo type="max"/>
        <color rgb="FF638EC6"/>
      </dataBar>
    </cfRule>
  </conditionalFormatting>
  <conditionalFormatting sqref="M29:M34">
    <cfRule type="dataBar" priority="24">
      <dataBar>
        <cfvo type="min"/>
        <cfvo type="max"/>
        <color rgb="FF638EC6"/>
      </dataBar>
    </cfRule>
  </conditionalFormatting>
  <conditionalFormatting sqref="N29:N34">
    <cfRule type="dataBar" priority="23">
      <dataBar>
        <cfvo type="min"/>
        <cfvo type="max"/>
        <color rgb="FF638EC6"/>
      </dataBar>
    </cfRule>
  </conditionalFormatting>
  <conditionalFormatting sqref="O29:O34">
    <cfRule type="dataBar" priority="22">
      <dataBar>
        <cfvo type="min"/>
        <cfvo type="max"/>
        <color rgb="FF638EC6"/>
      </dataBar>
    </cfRule>
  </conditionalFormatting>
  <conditionalFormatting sqref="D12:D16">
    <cfRule type="dataBar" priority="21">
      <dataBar>
        <cfvo type="min"/>
        <cfvo type="max"/>
        <color rgb="FF63C384"/>
      </dataBar>
    </cfRule>
  </conditionalFormatting>
  <conditionalFormatting sqref="E12:E16">
    <cfRule type="dataBar" priority="20">
      <dataBar>
        <cfvo type="min"/>
        <cfvo type="max"/>
        <color rgb="FF63C384"/>
      </dataBar>
    </cfRule>
  </conditionalFormatting>
  <conditionalFormatting sqref="F12:F16">
    <cfRule type="dataBar" priority="19">
      <dataBar>
        <cfvo type="min"/>
        <cfvo type="max"/>
        <color rgb="FF63C384"/>
      </dataBar>
    </cfRule>
  </conditionalFormatting>
  <conditionalFormatting sqref="G12:G16">
    <cfRule type="dataBar" priority="18">
      <dataBar>
        <cfvo type="min"/>
        <cfvo type="max"/>
        <color rgb="FF63C384"/>
      </dataBar>
    </cfRule>
  </conditionalFormatting>
  <conditionalFormatting sqref="H12:H16">
    <cfRule type="dataBar" priority="17">
      <dataBar>
        <cfvo type="min"/>
        <cfvo type="max"/>
        <color rgb="FF63C384"/>
      </dataBar>
    </cfRule>
  </conditionalFormatting>
  <conditionalFormatting sqref="I12:I16">
    <cfRule type="dataBar" priority="16">
      <dataBar>
        <cfvo type="min"/>
        <cfvo type="max"/>
        <color rgb="FF63C384"/>
      </dataBar>
    </cfRule>
  </conditionalFormatting>
  <conditionalFormatting sqref="J12:J16">
    <cfRule type="dataBar" priority="15">
      <dataBar>
        <cfvo type="min"/>
        <cfvo type="max"/>
        <color rgb="FF63C384"/>
      </dataBar>
    </cfRule>
  </conditionalFormatting>
  <conditionalFormatting sqref="K12:K16">
    <cfRule type="dataBar" priority="14">
      <dataBar>
        <cfvo type="min"/>
        <cfvo type="max"/>
        <color rgb="FF63C384"/>
      </dataBar>
    </cfRule>
  </conditionalFormatting>
  <conditionalFormatting sqref="L12:L16">
    <cfRule type="dataBar" priority="13">
      <dataBar>
        <cfvo type="min"/>
        <cfvo type="max"/>
        <color rgb="FF63C384"/>
      </dataBar>
    </cfRule>
  </conditionalFormatting>
  <conditionalFormatting sqref="M12:M16">
    <cfRule type="dataBar" priority="12">
      <dataBar>
        <cfvo type="min"/>
        <cfvo type="max"/>
        <color rgb="FF63C384"/>
      </dataBar>
    </cfRule>
  </conditionalFormatting>
  <conditionalFormatting sqref="N13:N16">
    <cfRule type="dataBar" priority="11">
      <dataBar>
        <cfvo type="min"/>
        <cfvo type="max"/>
        <color rgb="FF63C384"/>
      </dataBar>
    </cfRule>
  </conditionalFormatting>
  <conditionalFormatting sqref="O13:O16">
    <cfRule type="dataBar" priority="10">
      <dataBar>
        <cfvo type="min"/>
        <cfvo type="max"/>
        <color rgb="FF63C384"/>
      </dataBar>
    </cfRule>
  </conditionalFormatting>
  <conditionalFormatting sqref="F72:F81">
    <cfRule type="dataBar" priority="9">
      <dataBar>
        <cfvo type="min"/>
        <cfvo type="max"/>
        <color rgb="FF63C384"/>
      </dataBar>
    </cfRule>
  </conditionalFormatting>
  <conditionalFormatting sqref="G72:G81">
    <cfRule type="dataBar" priority="8">
      <dataBar>
        <cfvo type="min"/>
        <cfvo type="max"/>
        <color rgb="FF63C384"/>
      </dataBar>
    </cfRule>
  </conditionalFormatting>
  <conditionalFormatting sqref="H72:H81">
    <cfRule type="dataBar" priority="7">
      <dataBar>
        <cfvo type="min"/>
        <cfvo type="max"/>
        <color rgb="FF63C384"/>
      </dataBar>
    </cfRule>
  </conditionalFormatting>
  <conditionalFormatting sqref="G308:G317">
    <cfRule type="dataBar" priority="6">
      <dataBar>
        <cfvo type="min"/>
        <cfvo type="max"/>
        <color rgb="FF63C384"/>
      </dataBar>
    </cfRule>
  </conditionalFormatting>
  <conditionalFormatting sqref="N308:N317">
    <cfRule type="dataBar" priority="5">
      <dataBar>
        <cfvo type="min"/>
        <cfvo type="max"/>
        <color rgb="FF63C384"/>
      </dataBar>
    </cfRule>
  </conditionalFormatting>
  <conditionalFormatting sqref="I108:I127">
    <cfRule type="dataBar" priority="51">
      <dataBar>
        <cfvo type="min"/>
        <cfvo type="max"/>
        <color rgb="FF63C384"/>
      </dataBar>
    </cfRule>
  </conditionalFormatting>
  <conditionalFormatting sqref="J108:J127">
    <cfRule type="dataBar" priority="54">
      <dataBar>
        <cfvo type="min"/>
        <cfvo type="max"/>
        <color rgb="FF63C384"/>
      </dataBar>
    </cfRule>
  </conditionalFormatting>
  <conditionalFormatting sqref="N12">
    <cfRule type="dataBar" priority="4">
      <dataBar>
        <cfvo type="min"/>
        <cfvo type="max"/>
        <color rgb="FF63C384"/>
      </dataBar>
    </cfRule>
  </conditionalFormatting>
  <conditionalFormatting sqref="O12">
    <cfRule type="dataBar" priority="3">
      <dataBar>
        <cfvo type="min"/>
        <cfvo type="max"/>
        <color rgb="FF63C384"/>
      </dataBar>
    </cfRule>
  </conditionalFormatting>
  <conditionalFormatting sqref="L308:M317">
    <cfRule type="dataBar" priority="2">
      <dataBar>
        <cfvo type="min"/>
        <cfvo type="max"/>
        <color rgb="FF63C384"/>
      </dataBar>
    </cfRule>
  </conditionalFormatting>
  <conditionalFormatting sqref="E308:F317">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T443"/>
  <sheetViews>
    <sheetView topLeftCell="J46" zoomScale="70" zoomScaleNormal="70" workbookViewId="0">
      <selection activeCell="J28" sqref="J28"/>
    </sheetView>
  </sheetViews>
  <sheetFormatPr defaultColWidth="9" defaultRowHeight="16.5" x14ac:dyDescent="0.25"/>
  <cols>
    <col min="1" max="1" width="4" style="1" customWidth="1"/>
    <col min="2" max="2" width="33.1796875" style="1" bestFit="1" customWidth="1"/>
    <col min="3" max="3" width="37.81640625" style="1" customWidth="1"/>
    <col min="4" max="4" width="14.36328125" style="1" customWidth="1"/>
    <col min="5" max="5" width="30.1796875" style="1" customWidth="1"/>
    <col min="6" max="7" width="30.1796875" style="1" bestFit="1" customWidth="1"/>
    <col min="8" max="8" width="18.6328125" style="1" customWidth="1"/>
    <col min="9" max="9" width="39.36328125" style="1" bestFit="1" customWidth="1"/>
    <col min="10" max="10" width="26.1796875" style="1" bestFit="1" customWidth="1"/>
    <col min="11" max="11" width="28.1796875" style="1" bestFit="1" customWidth="1"/>
    <col min="12" max="12" width="20.453125" style="1" bestFit="1" customWidth="1"/>
    <col min="13" max="13" width="13.1796875" style="1" customWidth="1"/>
    <col min="14" max="14" width="18.6328125" style="1" bestFit="1" customWidth="1"/>
    <col min="15" max="16" width="21.6328125" style="1" bestFit="1" customWidth="1"/>
    <col min="17" max="17" width="19" style="1" bestFit="1" customWidth="1"/>
    <col min="18" max="18" width="21.81640625" style="1" customWidth="1"/>
    <col min="19" max="19" width="14.36328125" style="1" bestFit="1" customWidth="1"/>
    <col min="20" max="20" width="11.1796875" style="1" customWidth="1"/>
    <col min="21" max="21" width="14.81640625" style="1" bestFit="1" customWidth="1"/>
    <col min="22" max="22" width="14.36328125" style="1" customWidth="1"/>
    <col min="23" max="23" width="14.36328125" style="1" bestFit="1" customWidth="1"/>
    <col min="24" max="24" width="21.81640625" style="1" bestFit="1" customWidth="1"/>
    <col min="25" max="26" width="14.36328125" style="1" bestFit="1" customWidth="1"/>
    <col min="27" max="27" width="14.81640625" style="1" bestFit="1" customWidth="1"/>
    <col min="28" max="28" width="16.1796875" style="1" customWidth="1"/>
    <col min="29" max="29" width="14.36328125" style="1" bestFit="1" customWidth="1"/>
    <col min="30" max="33" width="13" style="1" bestFit="1" customWidth="1"/>
    <col min="34" max="35" width="10.453125" style="1" bestFit="1" customWidth="1"/>
    <col min="36" max="40" width="4.1796875" style="1" bestFit="1" customWidth="1"/>
    <col min="41" max="43" width="5.1796875" style="1" bestFit="1" customWidth="1"/>
    <col min="44" max="46" width="9" style="1" customWidth="1"/>
    <col min="47" max="16384" width="9" style="1"/>
  </cols>
  <sheetData>
    <row r="2" spans="2:29" x14ac:dyDescent="0.25">
      <c r="B2" s="268" t="s">
        <v>0</v>
      </c>
      <c r="C2" s="269"/>
    </row>
    <row r="3" spans="2:29" s="5" customFormat="1" ht="23.5" customHeight="1" x14ac:dyDescent="0.25">
      <c r="B3" s="270" t="s">
        <v>366</v>
      </c>
      <c r="C3" s="271"/>
      <c r="D3" s="271"/>
      <c r="E3" s="271"/>
      <c r="F3" s="271"/>
      <c r="N3" s="6"/>
      <c r="O3" s="6"/>
      <c r="P3" s="6"/>
    </row>
    <row r="4" spans="2:29" s="2" customFormat="1" ht="16.25" customHeight="1" x14ac:dyDescent="0.25">
      <c r="B4" s="7"/>
      <c r="C4" s="7"/>
      <c r="D4" s="7"/>
      <c r="K4" s="3"/>
      <c r="L4" s="3"/>
      <c r="M4" s="3"/>
    </row>
    <row r="5" spans="2:29" ht="16.25" customHeight="1" x14ac:dyDescent="0.25">
      <c r="B5" s="272" t="s">
        <v>367</v>
      </c>
      <c r="C5" s="273"/>
      <c r="D5" s="273"/>
      <c r="E5" s="273"/>
      <c r="F5" s="273"/>
      <c r="G5" s="273"/>
      <c r="H5" s="273"/>
      <c r="I5" s="273"/>
      <c r="J5" s="273"/>
      <c r="K5" s="273"/>
      <c r="L5" s="273"/>
      <c r="M5" s="273"/>
      <c r="N5" s="273"/>
      <c r="O5" s="274"/>
      <c r="Q5" s="299" t="s">
        <v>368</v>
      </c>
      <c r="R5" s="273"/>
      <c r="S5" s="273"/>
      <c r="T5" s="273"/>
      <c r="U5" s="273"/>
      <c r="V5" s="273"/>
      <c r="W5" s="273"/>
      <c r="X5" s="273"/>
      <c r="Y5" s="273"/>
      <c r="Z5" s="273"/>
      <c r="AA5" s="273"/>
      <c r="AB5" s="273"/>
      <c r="AC5" s="274"/>
    </row>
    <row r="6" spans="2:29" ht="16.25" customHeight="1" x14ac:dyDescent="0.25">
      <c r="B6" s="10"/>
      <c r="C6" s="10"/>
      <c r="D6" s="156">
        <v>2023.01</v>
      </c>
      <c r="E6" s="30">
        <v>2023.02</v>
      </c>
      <c r="F6" s="157">
        <v>2023.03</v>
      </c>
      <c r="G6" s="30">
        <v>2023.04</v>
      </c>
      <c r="H6" s="30">
        <v>2023.05</v>
      </c>
      <c r="I6" s="30">
        <v>2023.06</v>
      </c>
      <c r="J6" s="30">
        <v>2023.07</v>
      </c>
      <c r="K6" s="30">
        <v>2023.08</v>
      </c>
      <c r="L6" s="30">
        <v>2023.09</v>
      </c>
      <c r="M6" s="30">
        <v>2023.1</v>
      </c>
      <c r="N6" s="30">
        <v>2023.11</v>
      </c>
      <c r="O6" s="30">
        <v>2023.12</v>
      </c>
      <c r="Q6" s="11"/>
      <c r="R6" s="194">
        <v>2022.01</v>
      </c>
      <c r="S6" s="194">
        <v>2022.02</v>
      </c>
      <c r="T6" s="194">
        <v>2022.03</v>
      </c>
      <c r="U6" s="194">
        <v>2022.04</v>
      </c>
      <c r="V6" s="194">
        <v>2022.05</v>
      </c>
      <c r="W6" s="194">
        <v>2022.06</v>
      </c>
      <c r="X6" s="194">
        <v>2022.07</v>
      </c>
      <c r="Y6" s="194">
        <v>2022.08</v>
      </c>
      <c r="Z6" s="194">
        <v>2022.09</v>
      </c>
      <c r="AA6" s="194" t="s">
        <v>369</v>
      </c>
      <c r="AB6" s="194">
        <v>2022.11</v>
      </c>
      <c r="AC6" s="194">
        <v>2022.12</v>
      </c>
    </row>
    <row r="7" spans="2:29" x14ac:dyDescent="0.25">
      <c r="B7" s="277" t="s">
        <v>16</v>
      </c>
      <c r="C7" s="12" t="s">
        <v>106</v>
      </c>
      <c r="D7" s="158">
        <f>IFERROR(VLOOKUP("咖啡豆/粉"&amp;"-"&amp;D6,dat_nespresso_mkt_overview!$C:$H,2,0),"")</f>
        <v>382707237</v>
      </c>
      <c r="E7" s="158">
        <f>IFERROR(VLOOKUP("咖啡豆/粉"&amp;"-"&amp;E6,dat_nespresso_mkt_overview!$C:$H,2,0),"")</f>
        <v>622886976</v>
      </c>
      <c r="F7" s="158">
        <f>IFERROR(VLOOKUP("咖啡豆/粉"&amp;"-"&amp;F6,dat_nespresso_mkt_overview!$C:$H,2,0),"")</f>
        <v>802701637</v>
      </c>
      <c r="G7" s="158">
        <f>IFERROR(VLOOKUP("咖啡豆/粉"&amp;"-"&amp;G6,dat_nespresso_mkt_overview!$C:$H,2,0),"")</f>
        <v>715087771</v>
      </c>
      <c r="H7" s="158">
        <f>IFERROR(VLOOKUP("咖啡豆/粉"&amp;"-"&amp;H6,dat_nespresso_mkt_overview!$C:$H,2,0),"")</f>
        <v>801474987</v>
      </c>
      <c r="I7" s="158">
        <f>IFERROR(VLOOKUP("咖啡豆/粉"&amp;"-"&amp;I6,dat_nespresso_mkt_overview!$C:$H,2,0),"")</f>
        <v>853159532</v>
      </c>
      <c r="J7" s="158">
        <f>IFERROR(VLOOKUP("咖啡豆/粉"&amp;"-"&amp;J6,dat_nespresso_mkt_overview!$C:$H,2,0),"")</f>
        <v>567207879</v>
      </c>
      <c r="K7" s="158">
        <f>IFERROR(VLOOKUP("咖啡豆/粉"&amp;"-"&amp;K6,dat_nespresso_mkt_overview!$C:$H,2,0),"")</f>
        <v>620093584</v>
      </c>
      <c r="L7" s="158">
        <f>IFERROR(VLOOKUP("咖啡豆/粉"&amp;"-"&amp;L6,dat_nespresso_mkt_overview!$C:$H,2,0),"")</f>
        <v>585367351</v>
      </c>
      <c r="M7" s="158" t="str">
        <f>IFERROR(VLOOKUP("咖啡豆/粉"&amp;"-"&amp;M6,dat_nespresso_mkt_overview!$C:$H,2,0),"")</f>
        <v/>
      </c>
      <c r="N7" s="158" t="str">
        <f>IFERROR(VLOOKUP("咖啡豆/粉"&amp;"-"&amp;N6,dat_nespresso_mkt_overview!$C:$H,2,0),"")</f>
        <v/>
      </c>
      <c r="O7" s="158" t="str">
        <f>IFERROR(VLOOKUP("咖啡豆/粉"&amp;"-"&amp;O6,dat_nespresso_mkt_overview!$C:$H,2,0),"")</f>
        <v/>
      </c>
      <c r="Q7" s="15" t="s">
        <v>106</v>
      </c>
      <c r="R7" s="16">
        <v>579916926</v>
      </c>
      <c r="S7" s="16">
        <v>462852763</v>
      </c>
      <c r="T7" s="16">
        <v>714908284</v>
      </c>
      <c r="U7" s="16">
        <v>727213307</v>
      </c>
      <c r="V7" s="16">
        <v>876471356</v>
      </c>
      <c r="W7" s="16">
        <v>883793459</v>
      </c>
      <c r="X7" s="16">
        <v>586649798</v>
      </c>
      <c r="Y7" s="16">
        <v>677766098</v>
      </c>
      <c r="Z7" s="16">
        <v>734482415</v>
      </c>
      <c r="AA7" s="16">
        <v>988819104</v>
      </c>
      <c r="AB7" s="16">
        <v>1021086294</v>
      </c>
      <c r="AC7" s="16">
        <v>661560978</v>
      </c>
    </row>
    <row r="8" spans="2:29" x14ac:dyDescent="0.25">
      <c r="B8" s="281"/>
      <c r="C8" s="12" t="s">
        <v>107</v>
      </c>
      <c r="D8" s="158">
        <f>IFERROR(VLOOKUP("咖啡豆/粉"&amp;"-"&amp;D6,dat_nespresso_mkt_overview!$C:$H,3,0),"")</f>
        <v>3154027</v>
      </c>
      <c r="E8" s="158">
        <f>IFERROR(VLOOKUP("咖啡豆/粉"&amp;"-"&amp;E6,dat_nespresso_mkt_overview!$C:$H,3,0),"")</f>
        <v>6001494</v>
      </c>
      <c r="F8" s="158">
        <f>IFERROR(VLOOKUP("咖啡豆/粉"&amp;"-"&amp;F6,dat_nespresso_mkt_overview!$C:$H,3,0),"")</f>
        <v>7391142</v>
      </c>
      <c r="G8" s="158">
        <f>IFERROR(VLOOKUP("咖啡豆/粉"&amp;"-"&amp;G6,dat_nespresso_mkt_overview!$C:$H,3,0),"")</f>
        <v>6737190</v>
      </c>
      <c r="H8" s="158">
        <f>IFERROR(VLOOKUP("咖啡豆/粉"&amp;"-"&amp;H6,dat_nespresso_mkt_overview!$C:$H,3,0),"")</f>
        <v>6934257</v>
      </c>
      <c r="I8" s="158">
        <f>IFERROR(VLOOKUP("咖啡豆/粉"&amp;"-"&amp;I6,dat_nespresso_mkt_overview!$C:$H,3,0),"")</f>
        <v>7209491</v>
      </c>
      <c r="J8" s="158">
        <f>IFERROR(VLOOKUP("咖啡豆/粉"&amp;"-"&amp;J6,dat_nespresso_mkt_overview!$C:$H,3,0),"")</f>
        <v>5827873</v>
      </c>
      <c r="K8" s="158">
        <f>IFERROR(VLOOKUP("咖啡豆/粉"&amp;"-"&amp;K6,dat_nespresso_mkt_overview!$C:$H,3,0),"")</f>
        <v>6059613</v>
      </c>
      <c r="L8" s="158">
        <f>IFERROR(VLOOKUP("咖啡豆/粉"&amp;"-"&amp;L6,dat_nespresso_mkt_overview!$C:$H,3,0),"")</f>
        <v>5679121</v>
      </c>
      <c r="M8" s="158" t="str">
        <f>IFERROR(VLOOKUP("咖啡豆/粉"&amp;"-"&amp;M6,dat_nespresso_mkt_overview!$C:$H,3,0),"")</f>
        <v/>
      </c>
      <c r="N8" s="158" t="str">
        <f>IFERROR(VLOOKUP("咖啡豆/粉"&amp;"-"&amp;N6,dat_nespresso_mkt_overview!$C:$H,3,0),"")</f>
        <v/>
      </c>
      <c r="O8" s="158" t="str">
        <f>IFERROR(VLOOKUP("咖啡豆/粉"&amp;"-"&amp;O6,dat_nespresso_mkt_overview!$C:$H,3,0),"")</f>
        <v/>
      </c>
      <c r="Q8" s="15" t="s">
        <v>107</v>
      </c>
      <c r="R8" s="16">
        <v>4807321</v>
      </c>
      <c r="S8" s="16">
        <v>4623164</v>
      </c>
      <c r="T8" s="16">
        <v>6629950</v>
      </c>
      <c r="U8" s="16">
        <v>6252246</v>
      </c>
      <c r="V8" s="16">
        <v>7066374</v>
      </c>
      <c r="W8" s="16">
        <v>6978153</v>
      </c>
      <c r="X8" s="16">
        <v>5708436</v>
      </c>
      <c r="Y8" s="16">
        <v>6294230</v>
      </c>
      <c r="Z8" s="16">
        <v>6541709</v>
      </c>
      <c r="AA8" s="16">
        <v>7386892</v>
      </c>
      <c r="AB8" s="16">
        <v>7811528</v>
      </c>
      <c r="AC8" s="16">
        <v>5289324</v>
      </c>
    </row>
    <row r="9" spans="2:29" x14ac:dyDescent="0.25">
      <c r="B9" s="281"/>
      <c r="C9" s="12" t="s">
        <v>108</v>
      </c>
      <c r="D9" s="158">
        <f>IFERROR(VLOOKUP("咖啡豆/粉"&amp;"-"&amp;D6,dat_nespresso_mkt_overview!$C:$H,4,0),"")</f>
        <v>16791578</v>
      </c>
      <c r="E9" s="158">
        <f>IFERROR(VLOOKUP("咖啡豆/粉"&amp;"-"&amp;E6,dat_nespresso_mkt_overview!$C:$H,4,0),"")</f>
        <v>25226247</v>
      </c>
      <c r="F9" s="158">
        <f>IFERROR(VLOOKUP("咖啡豆/粉"&amp;"-"&amp;F6,dat_nespresso_mkt_overview!$C:$H,4,0),"")</f>
        <v>29272276</v>
      </c>
      <c r="G9" s="158">
        <f>IFERROR(VLOOKUP("咖啡豆/粉"&amp;"-"&amp;G6,dat_nespresso_mkt_overview!$C:$H,4,0),"")</f>
        <v>25512730</v>
      </c>
      <c r="H9" s="158">
        <f>IFERROR(VLOOKUP("咖啡豆/粉"&amp;"-"&amp;H6,dat_nespresso_mkt_overview!$C:$H,4,0),"")</f>
        <v>29998675</v>
      </c>
      <c r="I9" s="158">
        <f>IFERROR(VLOOKUP("咖啡豆/粉"&amp;"-"&amp;I6,dat_nespresso_mkt_overview!$C:$H,4,0),"")</f>
        <v>30315709</v>
      </c>
      <c r="J9" s="158">
        <f>IFERROR(VLOOKUP("咖啡豆/粉"&amp;"-"&amp;J6,dat_nespresso_mkt_overview!$C:$H,4,0),"")</f>
        <v>24446148</v>
      </c>
      <c r="K9" s="158">
        <f>IFERROR(VLOOKUP("咖啡豆/粉"&amp;"-"&amp;K6,dat_nespresso_mkt_overview!$C:$H,4,0),"")</f>
        <v>23946760</v>
      </c>
      <c r="L9" s="158">
        <f>IFERROR(VLOOKUP("咖啡豆/粉"&amp;"-"&amp;L6,dat_nespresso_mkt_overview!$C:$H,4,0),"")</f>
        <v>22731000</v>
      </c>
      <c r="M9" s="158" t="str">
        <f>IFERROR(VLOOKUP("咖啡豆/粉"&amp;"-"&amp;M6,dat_nespresso_mkt_overview!$C:$H,4,0),"")</f>
        <v/>
      </c>
      <c r="N9" s="158" t="str">
        <f>IFERROR(VLOOKUP("咖啡豆/粉"&amp;"-"&amp;N6,dat_nespresso_mkt_overview!$C:$H,4,0),"")</f>
        <v/>
      </c>
      <c r="O9" s="158" t="str">
        <f>IFERROR(VLOOKUP("咖啡豆/粉"&amp;"-"&amp;O6,dat_nespresso_mkt_overview!$C:$H,4,0),"")</f>
        <v/>
      </c>
      <c r="Q9" s="15" t="s">
        <v>108</v>
      </c>
      <c r="R9" s="16">
        <v>22570444</v>
      </c>
      <c r="S9" s="16">
        <v>19993633</v>
      </c>
      <c r="T9" s="16">
        <v>26463514</v>
      </c>
      <c r="U9" s="16">
        <v>26208784</v>
      </c>
      <c r="V9" s="16">
        <v>28102404</v>
      </c>
      <c r="W9" s="16">
        <v>27134404</v>
      </c>
      <c r="X9" s="16">
        <v>23539852</v>
      </c>
      <c r="Y9" s="16">
        <v>26200554</v>
      </c>
      <c r="Z9" s="16">
        <v>27378055</v>
      </c>
      <c r="AA9" s="16">
        <v>31390286</v>
      </c>
      <c r="AB9" s="16">
        <v>31498264</v>
      </c>
      <c r="AC9" s="16">
        <v>23113008</v>
      </c>
    </row>
    <row r="10" spans="2:29" x14ac:dyDescent="0.25">
      <c r="B10" s="281"/>
      <c r="C10" s="12" t="s">
        <v>21</v>
      </c>
      <c r="D10" s="17">
        <f t="shared" ref="D10:O10" si="0">IFERROR(D8/D9,"")</f>
        <v>0.18783386528651447</v>
      </c>
      <c r="E10" s="17">
        <f t="shared" si="0"/>
        <v>0.23790673261860951</v>
      </c>
      <c r="F10" s="17">
        <f t="shared" si="0"/>
        <v>0.25249632109235376</v>
      </c>
      <c r="G10" s="17">
        <f t="shared" si="0"/>
        <v>0.26407170067648583</v>
      </c>
      <c r="H10" s="17">
        <f t="shared" si="0"/>
        <v>0.23115210921815713</v>
      </c>
      <c r="I10" s="17">
        <f t="shared" si="0"/>
        <v>0.23781370246033171</v>
      </c>
      <c r="J10" s="17">
        <f t="shared" si="0"/>
        <v>0.23839637230372654</v>
      </c>
      <c r="K10" s="17">
        <f t="shared" si="0"/>
        <v>0.25304521363224086</v>
      </c>
      <c r="L10" s="17">
        <f t="shared" si="0"/>
        <v>0.24984035018257006</v>
      </c>
      <c r="M10" s="17" t="str">
        <f t="shared" si="0"/>
        <v/>
      </c>
      <c r="N10" s="17" t="str">
        <f t="shared" si="0"/>
        <v/>
      </c>
      <c r="O10" s="17" t="str">
        <f t="shared" si="0"/>
        <v/>
      </c>
      <c r="Q10" s="15" t="s">
        <v>21</v>
      </c>
      <c r="R10" s="17">
        <f t="shared" ref="R10:AC10" si="1">IFERROR(R8/R9,"")</f>
        <v>0.21299186670851492</v>
      </c>
      <c r="S10" s="17">
        <f t="shared" si="1"/>
        <v>0.23123181264755635</v>
      </c>
      <c r="T10" s="17">
        <f t="shared" si="1"/>
        <v>0.25053173210481422</v>
      </c>
      <c r="U10" s="17">
        <f t="shared" si="1"/>
        <v>0.23855536372843547</v>
      </c>
      <c r="V10" s="17">
        <f t="shared" si="1"/>
        <v>0.251450872316831</v>
      </c>
      <c r="W10" s="17">
        <f t="shared" si="1"/>
        <v>0.25716993820833506</v>
      </c>
      <c r="X10" s="17">
        <f t="shared" si="1"/>
        <v>0.24250092991238859</v>
      </c>
      <c r="Y10" s="17">
        <f t="shared" si="1"/>
        <v>0.24023270652979323</v>
      </c>
      <c r="Z10" s="17">
        <f t="shared" si="1"/>
        <v>0.23893987355931604</v>
      </c>
      <c r="AA10" s="17">
        <f t="shared" si="1"/>
        <v>0.23532413817446582</v>
      </c>
      <c r="AB10" s="17">
        <f t="shared" si="1"/>
        <v>0.24799868335600972</v>
      </c>
      <c r="AC10" s="17">
        <f t="shared" si="1"/>
        <v>0.22884619777745935</v>
      </c>
    </row>
    <row r="11" spans="2:29" x14ac:dyDescent="0.25">
      <c r="B11" s="283"/>
      <c r="C11" s="12" t="s">
        <v>22</v>
      </c>
      <c r="D11" s="18">
        <f t="shared" ref="D11:O11" si="2">IFERROR(D7/D8,"")</f>
        <v>121.33923932800829</v>
      </c>
      <c r="E11" s="18">
        <f t="shared" si="2"/>
        <v>103.78865262549625</v>
      </c>
      <c r="F11" s="18">
        <f t="shared" si="2"/>
        <v>108.60319514900404</v>
      </c>
      <c r="G11" s="18">
        <f t="shared" si="2"/>
        <v>106.14035985329195</v>
      </c>
      <c r="H11" s="18">
        <f t="shared" si="2"/>
        <v>115.58195593269762</v>
      </c>
      <c r="I11" s="18">
        <f t="shared" si="2"/>
        <v>118.33838644087356</v>
      </c>
      <c r="J11" s="18">
        <f t="shared" si="2"/>
        <v>97.326739789971398</v>
      </c>
      <c r="K11" s="18">
        <f t="shared" si="2"/>
        <v>102.33220900410637</v>
      </c>
      <c r="L11" s="18">
        <f t="shared" si="2"/>
        <v>103.07358321824803</v>
      </c>
      <c r="M11" s="18" t="str">
        <f t="shared" si="2"/>
        <v/>
      </c>
      <c r="N11" s="18" t="str">
        <f t="shared" si="2"/>
        <v/>
      </c>
      <c r="O11" s="18" t="str">
        <f t="shared" si="2"/>
        <v/>
      </c>
      <c r="Q11" s="15" t="s">
        <v>22</v>
      </c>
      <c r="R11" s="18">
        <f t="shared" ref="R11:AC11" si="3">IFERROR(R7/R8,"")</f>
        <v>120.63203726150178</v>
      </c>
      <c r="S11" s="18">
        <f t="shared" si="3"/>
        <v>100.116016433767</v>
      </c>
      <c r="T11" s="18">
        <f t="shared" si="3"/>
        <v>107.83011696920791</v>
      </c>
      <c r="U11" s="18">
        <f t="shared" si="3"/>
        <v>116.31233112068847</v>
      </c>
      <c r="V11" s="18">
        <f t="shared" si="3"/>
        <v>124.0341023557485</v>
      </c>
      <c r="W11" s="18">
        <f t="shared" si="3"/>
        <v>126.65148772175101</v>
      </c>
      <c r="X11" s="18">
        <f t="shared" si="3"/>
        <v>102.76891919257744</v>
      </c>
      <c r="Y11" s="18">
        <f t="shared" si="3"/>
        <v>107.68054202023123</v>
      </c>
      <c r="Z11" s="18">
        <f t="shared" si="3"/>
        <v>112.27684004286954</v>
      </c>
      <c r="AA11" s="18">
        <f t="shared" si="3"/>
        <v>133.86131867096472</v>
      </c>
      <c r="AB11" s="18">
        <f t="shared" si="3"/>
        <v>130.71530870784821</v>
      </c>
      <c r="AC11" s="18">
        <f t="shared" si="3"/>
        <v>125.07476910092859</v>
      </c>
    </row>
    <row r="12" spans="2:29" x14ac:dyDescent="0.25">
      <c r="B12" s="277" t="s">
        <v>24</v>
      </c>
      <c r="C12" s="12" t="s">
        <v>106</v>
      </c>
      <c r="D12" s="17">
        <f t="shared" ref="D12:O14" si="4">IFERROR(D7/R7-1,"")</f>
        <v>-0.34006541309332294</v>
      </c>
      <c r="E12" s="17">
        <f t="shared" si="4"/>
        <v>0.34575620109239802</v>
      </c>
      <c r="F12" s="17">
        <f t="shared" si="4"/>
        <v>0.12280365882569622</v>
      </c>
      <c r="G12" s="17">
        <f t="shared" si="4"/>
        <v>-1.6673974311638973E-2</v>
      </c>
      <c r="H12" s="17">
        <f t="shared" si="4"/>
        <v>-8.5566252093240092E-2</v>
      </c>
      <c r="I12" s="17">
        <f t="shared" si="4"/>
        <v>-3.4661862099162666E-2</v>
      </c>
      <c r="J12" s="17">
        <f t="shared" si="4"/>
        <v>-3.3140587563962653E-2</v>
      </c>
      <c r="K12" s="17">
        <f t="shared" si="4"/>
        <v>-8.5092060771679412E-2</v>
      </c>
      <c r="L12" s="17">
        <f t="shared" si="4"/>
        <v>-0.20302060465259741</v>
      </c>
      <c r="M12" s="17" t="str">
        <f t="shared" si="4"/>
        <v/>
      </c>
      <c r="N12" s="17" t="str">
        <f t="shared" si="4"/>
        <v/>
      </c>
      <c r="O12" s="17" t="str">
        <f t="shared" si="4"/>
        <v/>
      </c>
      <c r="Q12" s="32"/>
      <c r="R12" s="14"/>
      <c r="S12" s="14"/>
      <c r="T12" s="14"/>
      <c r="U12" s="14"/>
      <c r="V12" s="14"/>
      <c r="W12" s="14"/>
      <c r="X12" s="14"/>
      <c r="Y12" s="14"/>
      <c r="Z12" s="14"/>
      <c r="AA12" s="14"/>
      <c r="AB12" s="14"/>
      <c r="AC12" s="14"/>
    </row>
    <row r="13" spans="2:29" x14ac:dyDescent="0.25">
      <c r="B13" s="281"/>
      <c r="C13" s="12" t="s">
        <v>107</v>
      </c>
      <c r="D13" s="17">
        <f t="shared" si="4"/>
        <v>-0.34391171298941758</v>
      </c>
      <c r="E13" s="17">
        <f t="shared" si="4"/>
        <v>0.29813564909226664</v>
      </c>
      <c r="F13" s="17">
        <f t="shared" si="4"/>
        <v>0.11481112225582391</v>
      </c>
      <c r="G13" s="17">
        <f t="shared" si="4"/>
        <v>7.7563166900342706E-2</v>
      </c>
      <c r="H13" s="17">
        <f t="shared" si="4"/>
        <v>-1.8696576207259952E-2</v>
      </c>
      <c r="I13" s="17">
        <f t="shared" si="4"/>
        <v>3.3151752333318019E-2</v>
      </c>
      <c r="J13" s="17">
        <f t="shared" si="4"/>
        <v>2.0922893766348594E-2</v>
      </c>
      <c r="K13" s="17">
        <f t="shared" si="4"/>
        <v>-3.7274932755873236E-2</v>
      </c>
      <c r="L13" s="17">
        <f t="shared" si="4"/>
        <v>-0.13185973267841777</v>
      </c>
      <c r="M13" s="17" t="str">
        <f t="shared" si="4"/>
        <v/>
      </c>
      <c r="N13" s="17" t="str">
        <f t="shared" si="4"/>
        <v/>
      </c>
      <c r="O13" s="17" t="str">
        <f t="shared" si="4"/>
        <v/>
      </c>
      <c r="Q13" s="32"/>
      <c r="R13" s="14"/>
      <c r="S13" s="14"/>
      <c r="T13" s="14"/>
      <c r="U13" s="14"/>
      <c r="V13" s="14"/>
      <c r="W13" s="14"/>
      <c r="X13" s="14"/>
      <c r="Y13" s="14"/>
      <c r="Z13" s="14"/>
      <c r="AA13" s="14"/>
      <c r="AB13" s="14"/>
      <c r="AC13" s="14"/>
    </row>
    <row r="14" spans="2:29" x14ac:dyDescent="0.25">
      <c r="B14" s="281"/>
      <c r="C14" s="12" t="s">
        <v>108</v>
      </c>
      <c r="D14" s="17">
        <f t="shared" si="4"/>
        <v>-0.2560368772541648</v>
      </c>
      <c r="E14" s="17">
        <f t="shared" si="4"/>
        <v>0.26171401665720273</v>
      </c>
      <c r="F14" s="17">
        <f t="shared" si="4"/>
        <v>0.10613715170252891</v>
      </c>
      <c r="G14" s="17">
        <f t="shared" si="4"/>
        <v>-2.6558042524979397E-2</v>
      </c>
      <c r="H14" s="17">
        <f t="shared" si="4"/>
        <v>6.7477180955764604E-2</v>
      </c>
      <c r="I14" s="17">
        <f t="shared" si="4"/>
        <v>0.11724248669696236</v>
      </c>
      <c r="J14" s="17">
        <f t="shared" si="4"/>
        <v>3.8500496944500862E-2</v>
      </c>
      <c r="K14" s="17">
        <f t="shared" si="4"/>
        <v>-8.6020852841508622E-2</v>
      </c>
      <c r="L14" s="17">
        <f t="shared" si="4"/>
        <v>-0.16973649150752312</v>
      </c>
      <c r="M14" s="17" t="str">
        <f t="shared" si="4"/>
        <v/>
      </c>
      <c r="N14" s="17" t="str">
        <f t="shared" si="4"/>
        <v/>
      </c>
      <c r="O14" s="17" t="str">
        <f t="shared" si="4"/>
        <v/>
      </c>
      <c r="Q14" s="32"/>
      <c r="R14" s="14"/>
      <c r="S14" s="14"/>
      <c r="T14" s="14"/>
      <c r="U14" s="14"/>
      <c r="V14" s="14"/>
      <c r="W14" s="14"/>
      <c r="X14" s="14"/>
      <c r="Y14" s="14"/>
      <c r="Z14" s="14"/>
      <c r="AA14" s="14"/>
      <c r="AB14" s="14"/>
      <c r="AC14" s="14"/>
    </row>
    <row r="15" spans="2:29" x14ac:dyDescent="0.25">
      <c r="B15" s="281"/>
      <c r="C15" s="12" t="s">
        <v>21</v>
      </c>
      <c r="D15" s="17">
        <f t="shared" ref="D15:O15" si="5">IFERROR(D10-R10,"")</f>
        <v>-2.5158001422000448E-2</v>
      </c>
      <c r="E15" s="17">
        <f t="shared" si="5"/>
        <v>6.6749199710531559E-3</v>
      </c>
      <c r="F15" s="17">
        <f t="shared" si="5"/>
        <v>1.9645889875395395E-3</v>
      </c>
      <c r="G15" s="17">
        <f t="shared" si="5"/>
        <v>2.5516336948050361E-2</v>
      </c>
      <c r="H15" s="17">
        <f t="shared" si="5"/>
        <v>-2.0298763098673872E-2</v>
      </c>
      <c r="I15" s="17">
        <f t="shared" si="5"/>
        <v>-1.9356235748003353E-2</v>
      </c>
      <c r="J15" s="17">
        <f t="shared" si="5"/>
        <v>-4.1045576086620461E-3</v>
      </c>
      <c r="K15" s="17">
        <f t="shared" si="5"/>
        <v>1.2812507102447634E-2</v>
      </c>
      <c r="L15" s="17">
        <f t="shared" si="5"/>
        <v>1.0900476623254024E-2</v>
      </c>
      <c r="M15" s="17" t="str">
        <f t="shared" si="5"/>
        <v/>
      </c>
      <c r="N15" s="17" t="str">
        <f t="shared" si="5"/>
        <v/>
      </c>
      <c r="O15" s="17" t="str">
        <f t="shared" si="5"/>
        <v/>
      </c>
      <c r="Q15" s="32"/>
      <c r="R15" s="14"/>
      <c r="S15" s="14"/>
      <c r="T15" s="14"/>
      <c r="U15" s="14"/>
      <c r="V15" s="14"/>
      <c r="W15" s="14"/>
      <c r="X15" s="14"/>
      <c r="Y15" s="14"/>
      <c r="Z15" s="14"/>
      <c r="AA15" s="14"/>
      <c r="AB15" s="14"/>
      <c r="AC15" s="14"/>
    </row>
    <row r="16" spans="2:29" x14ac:dyDescent="0.25">
      <c r="B16" s="283"/>
      <c r="C16" s="12" t="s">
        <v>22</v>
      </c>
      <c r="D16" s="17">
        <f t="shared" ref="D16:O16" si="6">IFERROR(D11/R11-1,"")</f>
        <v>5.8624730424925442E-3</v>
      </c>
      <c r="E16" s="17">
        <f t="shared" si="6"/>
        <v>3.6683802677655697E-2</v>
      </c>
      <c r="F16" s="17">
        <f t="shared" si="6"/>
        <v>7.169408709970071E-3</v>
      </c>
      <c r="G16" s="17">
        <f t="shared" si="6"/>
        <v>-8.7453936907530783E-2</v>
      </c>
      <c r="H16" s="17">
        <f t="shared" si="6"/>
        <v>-6.8143730333201757E-2</v>
      </c>
      <c r="I16" s="17">
        <f t="shared" si="6"/>
        <v>-6.5637612557232994E-2</v>
      </c>
      <c r="J16" s="17">
        <f t="shared" si="6"/>
        <v>-5.2955499049357591E-2</v>
      </c>
      <c r="K16" s="17">
        <f t="shared" si="6"/>
        <v>-4.9668518710836329E-2</v>
      </c>
      <c r="L16" s="17">
        <f t="shared" si="6"/>
        <v>-8.1969325295470741E-2</v>
      </c>
      <c r="M16" s="17" t="str">
        <f t="shared" si="6"/>
        <v/>
      </c>
      <c r="N16" s="17" t="str">
        <f t="shared" si="6"/>
        <v/>
      </c>
      <c r="O16" s="17" t="str">
        <f t="shared" si="6"/>
        <v/>
      </c>
      <c r="Q16" s="32"/>
      <c r="R16" s="14"/>
      <c r="S16" s="14"/>
      <c r="T16" s="14"/>
      <c r="U16" s="14"/>
      <c r="V16" s="14"/>
      <c r="W16" s="14"/>
      <c r="X16" s="14"/>
      <c r="Y16" s="14"/>
      <c r="Z16" s="14"/>
      <c r="AA16" s="14"/>
      <c r="AB16" s="14"/>
      <c r="AC16" s="14"/>
    </row>
    <row r="18" spans="1:29" s="5" customFormat="1" ht="23.5" customHeight="1" x14ac:dyDescent="0.25">
      <c r="B18" s="270" t="s">
        <v>370</v>
      </c>
      <c r="C18" s="271"/>
      <c r="D18" s="271"/>
      <c r="E18" s="271"/>
      <c r="F18" s="271"/>
      <c r="N18" s="6"/>
      <c r="O18" s="6"/>
      <c r="P18" s="6"/>
    </row>
    <row r="19" spans="1:29" x14ac:dyDescent="0.25">
      <c r="C19" s="159"/>
      <c r="D19" s="159"/>
      <c r="E19" s="159"/>
    </row>
    <row r="20" spans="1:29" ht="16.25" customHeight="1" x14ac:dyDescent="0.25">
      <c r="B20" s="272" t="s">
        <v>371</v>
      </c>
      <c r="C20" s="273"/>
      <c r="D20" s="273"/>
      <c r="E20" s="273"/>
      <c r="F20" s="273"/>
      <c r="G20" s="273"/>
      <c r="H20" s="273"/>
      <c r="I20" s="273"/>
      <c r="J20" s="273"/>
      <c r="K20" s="273"/>
      <c r="L20" s="273"/>
      <c r="M20" s="273"/>
      <c r="N20" s="273"/>
      <c r="O20" s="274"/>
      <c r="P20" s="159"/>
      <c r="Q20" s="299" t="s">
        <v>372</v>
      </c>
      <c r="R20" s="273"/>
      <c r="S20" s="273"/>
      <c r="T20" s="273"/>
      <c r="U20" s="273"/>
      <c r="V20" s="273"/>
      <c r="W20" s="273"/>
      <c r="X20" s="273"/>
      <c r="Y20" s="273"/>
      <c r="Z20" s="273"/>
      <c r="AA20" s="273"/>
      <c r="AB20" s="273"/>
      <c r="AC20" s="274"/>
    </row>
    <row r="21" spans="1:29" ht="16.25" customHeight="1" x14ac:dyDescent="0.25">
      <c r="B21" s="10"/>
      <c r="C21" s="10"/>
      <c r="D21" s="30">
        <v>2023.01</v>
      </c>
      <c r="E21" s="30">
        <v>2023.02</v>
      </c>
      <c r="F21" s="30">
        <v>2023.03</v>
      </c>
      <c r="G21" s="30">
        <v>2023.04</v>
      </c>
      <c r="H21" s="30">
        <v>2023.05</v>
      </c>
      <c r="I21" s="30">
        <v>2023.06</v>
      </c>
      <c r="J21" s="30">
        <v>2023.07</v>
      </c>
      <c r="K21" s="30">
        <v>2023.08</v>
      </c>
      <c r="L21" s="30">
        <v>2023.09</v>
      </c>
      <c r="M21" s="30">
        <v>2023.1</v>
      </c>
      <c r="N21" s="30">
        <v>2023.11</v>
      </c>
      <c r="O21" s="30">
        <v>2023.12</v>
      </c>
      <c r="P21" s="159"/>
      <c r="Q21" s="11"/>
      <c r="R21" s="194">
        <v>2022.01</v>
      </c>
      <c r="S21" s="194">
        <v>2022.02</v>
      </c>
      <c r="T21" s="194">
        <v>2022.03</v>
      </c>
      <c r="U21" s="194">
        <v>2022.04</v>
      </c>
      <c r="V21" s="194">
        <v>2022.05</v>
      </c>
      <c r="W21" s="194">
        <v>2022.06</v>
      </c>
      <c r="X21" s="194">
        <v>2022.07</v>
      </c>
      <c r="Y21" s="194">
        <v>2022.08</v>
      </c>
      <c r="Z21" s="194">
        <v>2022.09</v>
      </c>
      <c r="AA21" s="194" t="s">
        <v>369</v>
      </c>
      <c r="AB21" s="194">
        <v>2022.11</v>
      </c>
      <c r="AC21" s="194">
        <v>2022.12</v>
      </c>
    </row>
    <row r="22" spans="1:29" x14ac:dyDescent="0.25">
      <c r="A22" s="39"/>
      <c r="B22" s="345" t="s">
        <v>16</v>
      </c>
      <c r="C22" s="12" t="s">
        <v>373</v>
      </c>
      <c r="D22" s="16">
        <f>IFERROR(VLOOKUP("咖啡豆/粉"&amp;"-"&amp;D6,dat_nespresso_mkt_overview!$C:$AT,39,0),"")</f>
        <v>194982252</v>
      </c>
      <c r="E22" s="16">
        <f>IFERROR(VLOOKUP("咖啡豆/粉"&amp;"-"&amp;E6,dat_nespresso_mkt_overview!$C:$AT,39,0),"")</f>
        <v>358591567</v>
      </c>
      <c r="F22" s="16">
        <f>IFERROR(VLOOKUP("咖啡豆/粉"&amp;"-"&amp;F6,dat_nespresso_mkt_overview!$C:$AT,39,0),"")</f>
        <v>476218670</v>
      </c>
      <c r="G22" s="16">
        <f>IFERROR(VLOOKUP("咖啡豆/粉"&amp;"-"&amp;G6,dat_nespresso_mkt_overview!$C:$AT,39,0),"")</f>
        <v>405087855</v>
      </c>
      <c r="H22" s="16">
        <f>IFERROR(VLOOKUP("咖啡豆/粉"&amp;"-"&amp;H6,dat_nespresso_mkt_overview!$C:$AT,39,0),"")</f>
        <v>452982768</v>
      </c>
      <c r="I22" s="16">
        <f>IFERROR(VLOOKUP("咖啡豆/粉"&amp;"-"&amp;I6,dat_nespresso_mkt_overview!$C:$AT,39,0),"")</f>
        <v>476218670</v>
      </c>
      <c r="J22" s="16">
        <f>IFERROR(VLOOKUP("咖啡豆/粉"&amp;"-"&amp;J6,dat_nespresso_mkt_overview!$C:$AT,39,0),"")</f>
        <v>313539310</v>
      </c>
      <c r="K22" s="16">
        <f>IFERROR(VLOOKUP("咖啡豆/粉"&amp;"-"&amp;K6,dat_nespresso_mkt_overview!$C:$AT,39,0),"")</f>
        <v>323559957</v>
      </c>
      <c r="L22" s="16">
        <f>IFERROR(VLOOKUP("咖啡豆/粉"&amp;"-"&amp;L6,dat_nespresso_mkt_overview!$C:$AT,39,0),"")</f>
        <v>310820265</v>
      </c>
      <c r="M22" s="16" t="str">
        <f>IFERROR(VLOOKUP("咖啡豆/粉"&amp;"-"&amp;M6,dat_nespresso_mkt_overview!$C:$AT,39,0),"")</f>
        <v/>
      </c>
      <c r="N22" s="16" t="str">
        <f>IFERROR(VLOOKUP("咖啡豆/粉"&amp;"-"&amp;N6,dat_nespresso_mkt_overview!$C:$AT,39,0),"")</f>
        <v/>
      </c>
      <c r="O22" s="16" t="str">
        <f>IFERROR(VLOOKUP("咖啡豆/粉"&amp;"-"&amp;O6,dat_nespresso_mkt_overview!$C:$AT,39,0),"")</f>
        <v/>
      </c>
      <c r="P22" s="159"/>
      <c r="Q22" s="15" t="s">
        <v>373</v>
      </c>
      <c r="R22" s="16">
        <v>291574815</v>
      </c>
      <c r="S22" s="16">
        <v>246835407</v>
      </c>
      <c r="T22" s="16">
        <v>366215914</v>
      </c>
      <c r="U22" s="16">
        <v>387660161</v>
      </c>
      <c r="V22" s="16">
        <v>460262843</v>
      </c>
      <c r="W22" s="16">
        <v>439455332</v>
      </c>
      <c r="X22" s="16">
        <v>291015970</v>
      </c>
      <c r="Y22" s="16">
        <v>351070652</v>
      </c>
      <c r="Z22" s="16">
        <v>399621466</v>
      </c>
      <c r="AA22" s="16">
        <v>545461667</v>
      </c>
      <c r="AB22" s="16">
        <v>571356323</v>
      </c>
      <c r="AC22" s="16">
        <v>342859802</v>
      </c>
    </row>
    <row r="23" spans="1:29" x14ac:dyDescent="0.25">
      <c r="A23" s="39"/>
      <c r="B23" s="281"/>
      <c r="C23" s="12" t="s">
        <v>374</v>
      </c>
      <c r="D23" s="16">
        <f>IFERROR(VLOOKUP("咖啡豆/粉"&amp;"-"&amp;D6,dat_nespresso_mkt_overview!$C:$AT,40,0),"")</f>
        <v>71593278</v>
      </c>
      <c r="E23" s="16">
        <f>IFERROR(VLOOKUP("咖啡豆/粉"&amp;"-"&amp;E6,dat_nespresso_mkt_overview!$C:$AT,40,0),"")</f>
        <v>96267503</v>
      </c>
      <c r="F23" s="16">
        <f>IFERROR(VLOOKUP("咖啡豆/粉"&amp;"-"&amp;F6,dat_nespresso_mkt_overview!$C:$AT,40,0),"")</f>
        <v>120419999</v>
      </c>
      <c r="G23" s="16">
        <f>IFERROR(VLOOKUP("咖啡豆/粉"&amp;"-"&amp;G6,dat_nespresso_mkt_overview!$C:$AT,40,0),"")</f>
        <v>117908508</v>
      </c>
      <c r="H23" s="16">
        <f>IFERROR(VLOOKUP("咖啡豆/粉"&amp;"-"&amp;H6,dat_nespresso_mkt_overview!$C:$AT,40,0),"")</f>
        <v>124792767</v>
      </c>
      <c r="I23" s="16">
        <f>IFERROR(VLOOKUP("咖啡豆/粉"&amp;"-"&amp;I6,dat_nespresso_mkt_overview!$C:$AT,40,0),"")</f>
        <v>135669063</v>
      </c>
      <c r="J23" s="16">
        <f>IFERROR(VLOOKUP("咖啡豆/粉"&amp;"-"&amp;J6,dat_nespresso_mkt_overview!$C:$AT,40,0),"")</f>
        <v>98546797</v>
      </c>
      <c r="K23" s="16">
        <f>IFERROR(VLOOKUP("咖啡豆/粉"&amp;"-"&amp;K6,dat_nespresso_mkt_overview!$C:$AT,40,0),"")</f>
        <v>114982943</v>
      </c>
      <c r="L23" s="16">
        <f>IFERROR(VLOOKUP("咖啡豆/粉"&amp;"-"&amp;L6,dat_nespresso_mkt_overview!$C:$AT,40,0),"")</f>
        <v>110484818</v>
      </c>
      <c r="M23" s="16" t="str">
        <f>IFERROR(VLOOKUP("咖啡豆/粉"&amp;"-"&amp;M6,dat_nespresso_mkt_overview!$C:$AT,40,0),"")</f>
        <v/>
      </c>
      <c r="N23" s="16" t="str">
        <f>IFERROR(VLOOKUP("咖啡豆/粉"&amp;"-"&amp;N6,dat_nespresso_mkt_overview!$C:$AT,40,0),"")</f>
        <v/>
      </c>
      <c r="O23" s="16" t="str">
        <f>IFERROR(VLOOKUP("咖啡豆/粉"&amp;"-"&amp;O6,dat_nespresso_mkt_overview!$C:$AT,40,0),"")</f>
        <v/>
      </c>
      <c r="P23" s="159"/>
      <c r="Q23" s="15" t="s">
        <v>374</v>
      </c>
      <c r="R23" s="16">
        <v>88567374</v>
      </c>
      <c r="S23" s="16">
        <v>67629057</v>
      </c>
      <c r="T23" s="16">
        <v>103388171</v>
      </c>
      <c r="U23" s="16">
        <v>109017151</v>
      </c>
      <c r="V23" s="16">
        <v>120403945</v>
      </c>
      <c r="W23" s="16">
        <v>128114999</v>
      </c>
      <c r="X23" s="16">
        <v>89222345</v>
      </c>
      <c r="Y23" s="16">
        <v>100816932</v>
      </c>
      <c r="Z23" s="16">
        <v>105214106</v>
      </c>
      <c r="AA23" s="16">
        <v>136280740</v>
      </c>
      <c r="AB23" s="16">
        <v>147210026</v>
      </c>
      <c r="AC23" s="16">
        <v>112971242</v>
      </c>
    </row>
    <row r="24" spans="1:29" x14ac:dyDescent="0.25">
      <c r="A24" s="39"/>
      <c r="B24" s="281"/>
      <c r="C24" s="12" t="s">
        <v>375</v>
      </c>
      <c r="D24" s="16">
        <f>IFERROR(VLOOKUP("咖啡豆/粉"&amp;"-"&amp;D6,dat_nespresso_mkt_overview!$C:$AT,41,0),"")</f>
        <v>21395062</v>
      </c>
      <c r="E24" s="16">
        <f>IFERROR(VLOOKUP("咖啡豆/粉"&amp;"-"&amp;E6,dat_nespresso_mkt_overview!$C:$AT,41,0),"")</f>
        <v>32496195</v>
      </c>
      <c r="F24" s="16">
        <f>IFERROR(VLOOKUP("咖啡豆/粉"&amp;"-"&amp;F6,dat_nespresso_mkt_overview!$C:$AT,41,0),"")</f>
        <v>37619671</v>
      </c>
      <c r="G24" s="16">
        <f>IFERROR(VLOOKUP("咖啡豆/粉"&amp;"-"&amp;G6,dat_nespresso_mkt_overview!$C:$AT,41,0),"")</f>
        <v>34502511</v>
      </c>
      <c r="H24" s="16">
        <f>IFERROR(VLOOKUP("咖啡豆/粉"&amp;"-"&amp;H6,dat_nespresso_mkt_overview!$C:$AT,41,0),"")</f>
        <v>38465427</v>
      </c>
      <c r="I24" s="16">
        <f>IFERROR(VLOOKUP("咖啡豆/粉"&amp;"-"&amp;I6,dat_nespresso_mkt_overview!$C:$AT,41,0),"")</f>
        <v>39483666</v>
      </c>
      <c r="J24" s="16">
        <f>IFERROR(VLOOKUP("咖啡豆/粉"&amp;"-"&amp;J6,dat_nespresso_mkt_overview!$C:$AT,41,0),"")</f>
        <v>22853469</v>
      </c>
      <c r="K24" s="16">
        <f>IFERROR(VLOOKUP("咖啡豆/粉"&amp;"-"&amp;K6,dat_nespresso_mkt_overview!$C:$AT,41,0),"")</f>
        <v>27595163</v>
      </c>
      <c r="L24" s="16">
        <f>IFERROR(VLOOKUP("咖啡豆/粉"&amp;"-"&amp;L6,dat_nespresso_mkt_overview!$C:$AT,41,0),"")</f>
        <v>28099292</v>
      </c>
      <c r="M24" s="16" t="str">
        <f>IFERROR(VLOOKUP("咖啡豆/粉"&amp;"-"&amp;M6,dat_nespresso_mkt_overview!$C:$AT,41,0),"")</f>
        <v/>
      </c>
      <c r="N24" s="16" t="str">
        <f>IFERROR(VLOOKUP("咖啡豆/粉"&amp;"-"&amp;N6,dat_nespresso_mkt_overview!$C:$AT,41,0),"")</f>
        <v/>
      </c>
      <c r="O24" s="16" t="str">
        <f>IFERROR(VLOOKUP("咖啡豆/粉"&amp;"-"&amp;O6,dat_nespresso_mkt_overview!$C:$AT,41,0),"")</f>
        <v/>
      </c>
      <c r="P24" s="159"/>
      <c r="Q24" s="15" t="s">
        <v>375</v>
      </c>
      <c r="R24" s="16">
        <v>33982735</v>
      </c>
      <c r="S24" s="16">
        <v>28010894</v>
      </c>
      <c r="T24" s="16">
        <v>48334461</v>
      </c>
      <c r="U24" s="16">
        <v>46070671</v>
      </c>
      <c r="V24" s="16">
        <v>56532438</v>
      </c>
      <c r="W24" s="16">
        <v>54605147</v>
      </c>
      <c r="X24" s="16">
        <v>30817361</v>
      </c>
      <c r="Y24" s="16">
        <v>35959142</v>
      </c>
      <c r="Z24" s="16">
        <v>40657696</v>
      </c>
      <c r="AA24" s="16">
        <v>53551190</v>
      </c>
      <c r="AB24" s="16">
        <v>59255459</v>
      </c>
      <c r="AC24" s="16">
        <v>37243705</v>
      </c>
    </row>
    <row r="25" spans="1:29" x14ac:dyDescent="0.25">
      <c r="A25" s="39"/>
      <c r="B25" s="281"/>
      <c r="C25" s="12" t="s">
        <v>30</v>
      </c>
      <c r="D25" s="16">
        <f>IFERROR(VLOOKUP("咖啡豆/粉"&amp;"-"&amp;D6,dat_nespresso_mkt_overview!$C:$AT,43,0),"")</f>
        <v>19524123</v>
      </c>
      <c r="E25" s="16">
        <f>IFERROR(VLOOKUP("咖啡豆/粉"&amp;"-"&amp;E6,dat_nespresso_mkt_overview!$C:$AT,43,0),"")</f>
        <v>29879343</v>
      </c>
      <c r="F25" s="16">
        <f>IFERROR(VLOOKUP("咖啡豆/粉"&amp;"-"&amp;F6,dat_nespresso_mkt_overview!$C:$AT,43,0),"")</f>
        <v>39543689</v>
      </c>
      <c r="G25" s="16">
        <f>IFERROR(VLOOKUP("咖啡豆/粉"&amp;"-"&amp;G6,dat_nespresso_mkt_overview!$C:$AT,43,0),"")</f>
        <v>29743139</v>
      </c>
      <c r="H25" s="16">
        <f>IFERROR(VLOOKUP("咖啡豆/粉"&amp;"-"&amp;H6,dat_nespresso_mkt_overview!$C:$AT,43,0),"")</f>
        <v>45111573</v>
      </c>
      <c r="I25" s="16">
        <f>IFERROR(VLOOKUP("咖啡豆/粉"&amp;"-"&amp;I6,dat_nespresso_mkt_overview!$C:$AT,43,0),"")</f>
        <v>54120631</v>
      </c>
      <c r="J25" s="16">
        <f>IFERROR(VLOOKUP("咖啡豆/粉"&amp;"-"&amp;J6,dat_nespresso_mkt_overview!$C:$AT,43,0),"")</f>
        <v>19136257</v>
      </c>
      <c r="K25" s="16">
        <f>IFERROR(VLOOKUP("咖啡豆/粉"&amp;"-"&amp;K6,dat_nespresso_mkt_overview!$C:$AT,43,0),"")</f>
        <v>29016652</v>
      </c>
      <c r="L25" s="16">
        <f>IFERROR(VLOOKUP("咖啡豆/粉"&amp;"-"&amp;L6,dat_nespresso_mkt_overview!$C:$AT,43,0),"")</f>
        <v>27279687</v>
      </c>
      <c r="M25" s="16" t="str">
        <f>IFERROR(VLOOKUP("咖啡豆/粉"&amp;"-"&amp;M6,dat_nespresso_mkt_overview!$C:$AT,43,0),"")</f>
        <v/>
      </c>
      <c r="N25" s="16" t="str">
        <f>IFERROR(VLOOKUP("咖啡豆/粉"&amp;"-"&amp;N6,dat_nespresso_mkt_overview!$C:$AT,43,0),"")</f>
        <v/>
      </c>
      <c r="O25" s="16" t="str">
        <f>IFERROR(VLOOKUP("咖啡豆/粉"&amp;"-"&amp;O6,dat_nespresso_mkt_overview!$C:$AT,43,0),"")</f>
        <v/>
      </c>
      <c r="P25" s="159"/>
      <c r="Q25" s="15" t="s">
        <v>30</v>
      </c>
      <c r="R25" s="16">
        <v>33178433</v>
      </c>
      <c r="S25" s="16">
        <v>25890723</v>
      </c>
      <c r="T25" s="16">
        <v>50211195</v>
      </c>
      <c r="U25" s="16">
        <v>38386466</v>
      </c>
      <c r="V25" s="16">
        <v>65683632</v>
      </c>
      <c r="W25" s="16">
        <v>68961447</v>
      </c>
      <c r="X25" s="16">
        <v>26932215</v>
      </c>
      <c r="Y25" s="16">
        <v>31213408</v>
      </c>
      <c r="Z25" s="16">
        <v>37863326</v>
      </c>
      <c r="AA25" s="16">
        <v>76580369</v>
      </c>
      <c r="AB25" s="16">
        <v>73458219</v>
      </c>
      <c r="AC25" s="16">
        <v>38390805</v>
      </c>
    </row>
    <row r="26" spans="1:29" x14ac:dyDescent="0.25">
      <c r="A26" s="39"/>
      <c r="B26" s="281"/>
      <c r="C26" s="12" t="s">
        <v>376</v>
      </c>
      <c r="D26" s="16">
        <f>IFERROR(VLOOKUP("咖啡豆/粉"&amp;"-"&amp;D6,dat_nespresso_mkt_overview!$C:$AT,42,0),"")</f>
        <v>16219978</v>
      </c>
      <c r="E26" s="16">
        <f>IFERROR(VLOOKUP("咖啡豆/粉"&amp;"-"&amp;E6,dat_nespresso_mkt_overview!$C:$AT,42,0),"")</f>
        <v>28403435</v>
      </c>
      <c r="F26" s="16">
        <f>IFERROR(VLOOKUP("咖啡豆/粉"&amp;"-"&amp;F6,dat_nespresso_mkt_overview!$C:$AT,42,0),"")</f>
        <v>40780529</v>
      </c>
      <c r="G26" s="16">
        <f>IFERROR(VLOOKUP("咖啡豆/粉"&amp;"-"&amp;G6,dat_nespresso_mkt_overview!$C:$AT,42,0),"")</f>
        <v>36293511</v>
      </c>
      <c r="H26" s="16">
        <f>IFERROR(VLOOKUP("咖啡豆/粉"&amp;"-"&amp;H6,dat_nespresso_mkt_overview!$C:$AT,42,0),"")</f>
        <v>49882308</v>
      </c>
      <c r="I26" s="16">
        <f>IFERROR(VLOOKUP("咖啡豆/粉"&amp;"-"&amp;I6,dat_nespresso_mkt_overview!$C:$AT,42,0),"")</f>
        <v>50444869</v>
      </c>
      <c r="J26" s="16">
        <f>IFERROR(VLOOKUP("咖啡豆/粉"&amp;"-"&amp;J6,dat_nespresso_mkt_overview!$C:$AT,42,0),"")</f>
        <v>27549140</v>
      </c>
      <c r="K26" s="16">
        <f>IFERROR(VLOOKUP("咖啡豆/粉"&amp;"-"&amp;K6,dat_nespresso_mkt_overview!$C:$AT,42,0),"")</f>
        <v>33819624</v>
      </c>
      <c r="L26" s="16">
        <f>IFERROR(VLOOKUP("咖啡豆/粉"&amp;"-"&amp;L6,dat_nespresso_mkt_overview!$C:$AT,42,0),"")</f>
        <v>26401437</v>
      </c>
      <c r="M26" s="16" t="str">
        <f>IFERROR(VLOOKUP("咖啡豆/粉"&amp;"-"&amp;M6,dat_nespresso_mkt_overview!$C:$AT,42,0),"")</f>
        <v/>
      </c>
      <c r="N26" s="16" t="str">
        <f>IFERROR(VLOOKUP("咖啡豆/粉"&amp;"-"&amp;N6,dat_nespresso_mkt_overview!$C:$AT,42,0),"")</f>
        <v/>
      </c>
      <c r="O26" s="16" t="str">
        <f>IFERROR(VLOOKUP("咖啡豆/粉"&amp;"-"&amp;O6,dat_nespresso_mkt_overview!$C:$AT,42,0),"")</f>
        <v/>
      </c>
      <c r="P26" s="159"/>
      <c r="Q26" s="15" t="s">
        <v>376</v>
      </c>
      <c r="R26" s="16">
        <v>28588707</v>
      </c>
      <c r="S26" s="16">
        <v>24314396</v>
      </c>
      <c r="T26" s="16">
        <v>52906949</v>
      </c>
      <c r="U26" s="16">
        <v>50645760</v>
      </c>
      <c r="V26" s="16">
        <v>66505249</v>
      </c>
      <c r="W26" s="16">
        <v>76094104</v>
      </c>
      <c r="X26" s="16">
        <v>42512183</v>
      </c>
      <c r="Y26" s="16">
        <v>48754915</v>
      </c>
      <c r="Z26" s="16">
        <v>54621165</v>
      </c>
      <c r="AA26" s="16">
        <v>78342832</v>
      </c>
      <c r="AB26" s="16">
        <v>67357018</v>
      </c>
      <c r="AC26" s="16">
        <v>39543431</v>
      </c>
    </row>
    <row r="27" spans="1:29" x14ac:dyDescent="0.25">
      <c r="A27" s="39"/>
      <c r="B27" s="281"/>
      <c r="C27" s="12" t="s">
        <v>377</v>
      </c>
      <c r="D27" s="16">
        <f>IFERROR(VLOOKUP("咖啡豆/粉"&amp;"-"&amp;D6,dat_nespresso_mkt_overview!$C:$AT,44,0),"")</f>
        <v>14039817</v>
      </c>
      <c r="E27" s="16">
        <f>IFERROR(VLOOKUP("咖啡豆/粉"&amp;"-"&amp;E6,dat_nespresso_mkt_overview!$C:$AT,44,0),"")</f>
        <v>24260027</v>
      </c>
      <c r="F27" s="16">
        <f>IFERROR(VLOOKUP("咖啡豆/粉"&amp;"-"&amp;F6,dat_nespresso_mkt_overview!$C:$AT,44,0),"")</f>
        <v>24162770</v>
      </c>
      <c r="G27" s="16">
        <f>IFERROR(VLOOKUP("咖啡豆/粉"&amp;"-"&amp;G6,dat_nespresso_mkt_overview!$C:$AT,44,0),"")</f>
        <v>22649475</v>
      </c>
      <c r="H27" s="16">
        <f>IFERROR(VLOOKUP("咖啡豆/粉"&amp;"-"&amp;H6,dat_nespresso_mkt_overview!$C:$AT,44,0),"")</f>
        <v>21785922</v>
      </c>
      <c r="I27" s="16">
        <f>IFERROR(VLOOKUP("咖啡豆/粉"&amp;"-"&amp;I6,dat_nespresso_mkt_overview!$C:$AT,44,0),"")</f>
        <v>24541115</v>
      </c>
      <c r="J27" s="16">
        <f>IFERROR(VLOOKUP("咖啡豆/粉"&amp;"-"&amp;J6,dat_nespresso_mkt_overview!$C:$AT,44,0),"")</f>
        <v>18080637</v>
      </c>
      <c r="K27" s="16">
        <f>IFERROR(VLOOKUP("咖啡豆/粉"&amp;"-"&amp;K6,dat_nespresso_mkt_overview!$C:$AT,44,0),"")</f>
        <v>18982252</v>
      </c>
      <c r="L27" s="16">
        <f>IFERROR(VLOOKUP("咖啡豆/粉"&amp;"-"&amp;L6,dat_nespresso_mkt_overview!$C:$AT,44,0),"")</f>
        <v>18414148</v>
      </c>
      <c r="M27" s="16" t="str">
        <f>IFERROR(VLOOKUP("咖啡豆/粉"&amp;"-"&amp;M6,dat_nespresso_mkt_overview!$C:$AT,44,0),"")</f>
        <v/>
      </c>
      <c r="N27" s="16" t="str">
        <f>IFERROR(VLOOKUP("咖啡豆/粉"&amp;"-"&amp;N6,dat_nespresso_mkt_overview!$C:$AT,44,0),"")</f>
        <v/>
      </c>
      <c r="O27" s="16" t="str">
        <f>IFERROR(VLOOKUP("咖啡豆/粉"&amp;"-"&amp;O6,dat_nespresso_mkt_overview!$C:$AT,44,0),"")</f>
        <v/>
      </c>
      <c r="P27" s="159"/>
      <c r="Q27" s="15" t="s">
        <v>377</v>
      </c>
      <c r="R27" s="16">
        <v>30250739</v>
      </c>
      <c r="S27" s="16">
        <v>26185020</v>
      </c>
      <c r="T27" s="16">
        <v>35103148</v>
      </c>
      <c r="U27" s="16">
        <v>33316192</v>
      </c>
      <c r="V27" s="16">
        <v>38059800</v>
      </c>
      <c r="W27" s="16">
        <v>38731902</v>
      </c>
      <c r="X27" s="16">
        <v>29837498</v>
      </c>
      <c r="Y27" s="16">
        <v>28503195</v>
      </c>
      <c r="Z27" s="16">
        <v>27593379</v>
      </c>
      <c r="AA27" s="16">
        <v>33981913</v>
      </c>
      <c r="AB27" s="16">
        <v>35230195</v>
      </c>
      <c r="AC27" s="16">
        <v>24255827</v>
      </c>
    </row>
    <row r="28" spans="1:29" x14ac:dyDescent="0.25">
      <c r="A28" s="39"/>
      <c r="B28" s="283"/>
      <c r="C28" s="160" t="s">
        <v>32</v>
      </c>
      <c r="D28" s="161">
        <f t="shared" ref="D28:O28" si="7">IFERROR(D7-SUM(D22:D27),"-")</f>
        <v>44952727</v>
      </c>
      <c r="E28" s="161">
        <f t="shared" si="7"/>
        <v>52988906</v>
      </c>
      <c r="F28" s="161">
        <f t="shared" si="7"/>
        <v>63956309</v>
      </c>
      <c r="G28" s="161">
        <f t="shared" si="7"/>
        <v>68902772</v>
      </c>
      <c r="H28" s="161">
        <f t="shared" si="7"/>
        <v>68454222</v>
      </c>
      <c r="I28" s="161">
        <f t="shared" si="7"/>
        <v>72681518</v>
      </c>
      <c r="J28" s="161">
        <f t="shared" si="7"/>
        <v>67502269</v>
      </c>
      <c r="K28" s="161">
        <f t="shared" si="7"/>
        <v>72136993</v>
      </c>
      <c r="L28" s="161">
        <f t="shared" si="7"/>
        <v>63867704</v>
      </c>
      <c r="M28" s="161" t="str">
        <f t="shared" si="7"/>
        <v>-</v>
      </c>
      <c r="N28" s="161" t="str">
        <f t="shared" si="7"/>
        <v>-</v>
      </c>
      <c r="O28" s="161" t="str">
        <f t="shared" si="7"/>
        <v>-</v>
      </c>
      <c r="P28" s="159"/>
      <c r="Q28" s="15" t="s">
        <v>32</v>
      </c>
      <c r="R28" s="19">
        <f t="shared" ref="R28:AC28" si="8">R7-SUM(R22:R27)</f>
        <v>73774123</v>
      </c>
      <c r="S28" s="19">
        <f t="shared" si="8"/>
        <v>43987266</v>
      </c>
      <c r="T28" s="19">
        <f t="shared" si="8"/>
        <v>58748446</v>
      </c>
      <c r="U28" s="19">
        <f t="shared" si="8"/>
        <v>62116906</v>
      </c>
      <c r="V28" s="19">
        <f t="shared" si="8"/>
        <v>69023449</v>
      </c>
      <c r="W28" s="19">
        <f t="shared" si="8"/>
        <v>77830528</v>
      </c>
      <c r="X28" s="19">
        <f t="shared" si="8"/>
        <v>76312226</v>
      </c>
      <c r="Y28" s="19">
        <f t="shared" si="8"/>
        <v>81447854</v>
      </c>
      <c r="Z28" s="19">
        <f t="shared" si="8"/>
        <v>68911277</v>
      </c>
      <c r="AA28" s="19">
        <f t="shared" si="8"/>
        <v>64620393</v>
      </c>
      <c r="AB28" s="19">
        <f t="shared" si="8"/>
        <v>67219054</v>
      </c>
      <c r="AC28" s="19">
        <f t="shared" si="8"/>
        <v>66296166</v>
      </c>
    </row>
    <row r="29" spans="1:29" x14ac:dyDescent="0.25">
      <c r="B29" s="345" t="s">
        <v>24</v>
      </c>
      <c r="C29" s="12" t="str">
        <f t="shared" ref="C29:C35" si="9">C22</f>
        <v>速溶咖啡</v>
      </c>
      <c r="D29" s="17">
        <f t="shared" ref="D29:O35" si="10">IF(D22&lt;&gt;0,IFERROR(D22/R22-1,""),"")</f>
        <v>-0.33127882804281295</v>
      </c>
      <c r="E29" s="17">
        <f t="shared" si="10"/>
        <v>0.45275579123055065</v>
      </c>
      <c r="F29" s="17">
        <f t="shared" si="10"/>
        <v>0.30037677718178024</v>
      </c>
      <c r="G29" s="17">
        <f t="shared" si="10"/>
        <v>4.4956112990934827E-2</v>
      </c>
      <c r="H29" s="17">
        <f t="shared" si="10"/>
        <v>-1.581721207940312E-2</v>
      </c>
      <c r="I29" s="17">
        <f t="shared" si="10"/>
        <v>8.3656597890590545E-2</v>
      </c>
      <c r="J29" s="17">
        <f t="shared" si="10"/>
        <v>7.7395546368125512E-2</v>
      </c>
      <c r="K29" s="17">
        <f t="shared" si="10"/>
        <v>-7.8362275067071163E-2</v>
      </c>
      <c r="L29" s="17">
        <f t="shared" si="10"/>
        <v>-0.22221329071446827</v>
      </c>
      <c r="M29" s="17" t="str">
        <f t="shared" si="10"/>
        <v/>
      </c>
      <c r="N29" s="17" t="str">
        <f t="shared" si="10"/>
        <v/>
      </c>
      <c r="O29" s="17" t="str">
        <f t="shared" si="10"/>
        <v/>
      </c>
    </row>
    <row r="30" spans="1:29" x14ac:dyDescent="0.25">
      <c r="B30" s="281"/>
      <c r="C30" s="12" t="str">
        <f t="shared" si="9"/>
        <v>咖啡豆</v>
      </c>
      <c r="D30" s="17">
        <f t="shared" si="10"/>
        <v>-0.19165179267932231</v>
      </c>
      <c r="E30" s="17">
        <f t="shared" si="10"/>
        <v>0.42346363043329149</v>
      </c>
      <c r="F30" s="17">
        <f t="shared" si="10"/>
        <v>0.16473671828472525</v>
      </c>
      <c r="G30" s="17">
        <f t="shared" si="10"/>
        <v>8.1559249333162276E-2</v>
      </c>
      <c r="H30" s="17">
        <f t="shared" si="10"/>
        <v>3.645081562734509E-2</v>
      </c>
      <c r="I30" s="17">
        <f t="shared" si="10"/>
        <v>5.8963150754893334E-2</v>
      </c>
      <c r="J30" s="17">
        <f t="shared" si="10"/>
        <v>0.10450803551509424</v>
      </c>
      <c r="K30" s="17">
        <f t="shared" si="10"/>
        <v>0.14051222070514902</v>
      </c>
      <c r="L30" s="17">
        <f t="shared" si="10"/>
        <v>5.0095107969648112E-2</v>
      </c>
      <c r="M30" s="17" t="str">
        <f t="shared" si="10"/>
        <v/>
      </c>
      <c r="N30" s="17" t="str">
        <f t="shared" si="10"/>
        <v/>
      </c>
      <c r="O30" s="17" t="str">
        <f t="shared" si="10"/>
        <v/>
      </c>
    </row>
    <row r="31" spans="1:29" x14ac:dyDescent="0.25">
      <c r="B31" s="281"/>
      <c r="C31" s="12" t="str">
        <f t="shared" si="9"/>
        <v>挂耳咖啡</v>
      </c>
      <c r="D31" s="17">
        <f t="shared" si="10"/>
        <v>-0.37041377040429502</v>
      </c>
      <c r="E31" s="17">
        <f t="shared" si="10"/>
        <v>0.16012702057992145</v>
      </c>
      <c r="F31" s="17">
        <f t="shared" si="10"/>
        <v>-0.22168013831787636</v>
      </c>
      <c r="G31" s="17">
        <f t="shared" si="10"/>
        <v>-0.25109597383550153</v>
      </c>
      <c r="H31" s="17">
        <f t="shared" si="10"/>
        <v>-0.31958662387778147</v>
      </c>
      <c r="I31" s="17">
        <f t="shared" si="10"/>
        <v>-0.27692409655082517</v>
      </c>
      <c r="J31" s="17">
        <f t="shared" si="10"/>
        <v>-0.25842225750608561</v>
      </c>
      <c r="K31" s="17">
        <f t="shared" si="10"/>
        <v>-0.23259673437147077</v>
      </c>
      <c r="L31" s="17">
        <f t="shared" si="10"/>
        <v>-0.30888134930223299</v>
      </c>
      <c r="M31" s="17" t="str">
        <f t="shared" si="10"/>
        <v/>
      </c>
      <c r="N31" s="17" t="str">
        <f t="shared" si="10"/>
        <v/>
      </c>
      <c r="O31" s="17" t="str">
        <f t="shared" si="10"/>
        <v/>
      </c>
    </row>
    <row r="32" spans="1:29" x14ac:dyDescent="0.25">
      <c r="B32" s="281"/>
      <c r="C32" s="12" t="str">
        <f t="shared" si="9"/>
        <v>胶囊咖啡</v>
      </c>
      <c r="D32" s="17">
        <f t="shared" si="10"/>
        <v>-0.41154173857457343</v>
      </c>
      <c r="E32" s="17">
        <f t="shared" si="10"/>
        <v>0.1540559527827785</v>
      </c>
      <c r="F32" s="17">
        <f t="shared" si="10"/>
        <v>-0.21245274086784827</v>
      </c>
      <c r="G32" s="17">
        <f t="shared" si="10"/>
        <v>-0.22516599991257336</v>
      </c>
      <c r="H32" s="17">
        <f t="shared" si="10"/>
        <v>-0.31319916961960936</v>
      </c>
      <c r="I32" s="17">
        <f t="shared" si="10"/>
        <v>-0.21520453304873377</v>
      </c>
      <c r="J32" s="17">
        <f t="shared" si="10"/>
        <v>-0.28946590542218675</v>
      </c>
      <c r="K32" s="17">
        <f t="shared" si="10"/>
        <v>-7.0378601401038909E-2</v>
      </c>
      <c r="L32" s="17">
        <f t="shared" si="10"/>
        <v>-0.27952216876034608</v>
      </c>
      <c r="M32" s="17" t="str">
        <f t="shared" si="10"/>
        <v/>
      </c>
      <c r="N32" s="17" t="str">
        <f t="shared" si="10"/>
        <v/>
      </c>
      <c r="O32" s="17" t="str">
        <f t="shared" si="10"/>
        <v/>
      </c>
    </row>
    <row r="33" spans="2:15" x14ac:dyDescent="0.25">
      <c r="B33" s="281"/>
      <c r="C33" s="12" t="str">
        <f t="shared" si="9"/>
        <v>咖啡液</v>
      </c>
      <c r="D33" s="17">
        <f t="shared" si="10"/>
        <v>-0.43264387577934182</v>
      </c>
      <c r="E33" s="17">
        <f t="shared" si="10"/>
        <v>0.16817357914216746</v>
      </c>
      <c r="F33" s="17">
        <f t="shared" si="10"/>
        <v>-0.22920278392919613</v>
      </c>
      <c r="G33" s="17">
        <f t="shared" si="10"/>
        <v>-0.28338500597088478</v>
      </c>
      <c r="H33" s="17">
        <f t="shared" si="10"/>
        <v>-0.24994930851247543</v>
      </c>
      <c r="I33" s="17">
        <f t="shared" si="10"/>
        <v>-0.3370725674094277</v>
      </c>
      <c r="J33" s="17">
        <f t="shared" si="10"/>
        <v>-0.35197070449193357</v>
      </c>
      <c r="K33" s="17">
        <f t="shared" si="10"/>
        <v>-0.30633405883283771</v>
      </c>
      <c r="L33" s="17">
        <f t="shared" si="10"/>
        <v>-0.51664456442845919</v>
      </c>
      <c r="M33" s="17" t="str">
        <f t="shared" si="10"/>
        <v/>
      </c>
      <c r="N33" s="17" t="str">
        <f t="shared" si="10"/>
        <v/>
      </c>
      <c r="O33" s="17" t="str">
        <f t="shared" si="10"/>
        <v/>
      </c>
    </row>
    <row r="34" spans="2:15" x14ac:dyDescent="0.25">
      <c r="B34" s="281"/>
      <c r="C34" s="12" t="str">
        <f t="shared" si="9"/>
        <v>咖啡粉</v>
      </c>
      <c r="D34" s="17">
        <f t="shared" si="10"/>
        <v>-0.53588515639237766</v>
      </c>
      <c r="E34" s="17">
        <f t="shared" si="10"/>
        <v>-7.3515047916709597E-2</v>
      </c>
      <c r="F34" s="17">
        <f t="shared" si="10"/>
        <v>-0.31166372884847815</v>
      </c>
      <c r="G34" s="17">
        <f t="shared" si="10"/>
        <v>-0.32016615224212897</v>
      </c>
      <c r="H34" s="17">
        <f t="shared" si="10"/>
        <v>-0.42758706036290262</v>
      </c>
      <c r="I34" s="17">
        <f t="shared" si="10"/>
        <v>-0.36638497639491086</v>
      </c>
      <c r="J34" s="17">
        <f t="shared" si="10"/>
        <v>-0.39402972058850239</v>
      </c>
      <c r="K34" s="17">
        <f t="shared" si="10"/>
        <v>-0.33403072883583751</v>
      </c>
      <c r="L34" s="17">
        <f t="shared" si="10"/>
        <v>-0.33266063572714311</v>
      </c>
      <c r="M34" s="17" t="str">
        <f t="shared" si="10"/>
        <v/>
      </c>
      <c r="N34" s="17" t="str">
        <f t="shared" si="10"/>
        <v/>
      </c>
      <c r="O34" s="17" t="str">
        <f t="shared" si="10"/>
        <v/>
      </c>
    </row>
    <row r="35" spans="2:15" s="164" customFormat="1" x14ac:dyDescent="0.25">
      <c r="B35" s="283"/>
      <c r="C35" s="162" t="str">
        <f t="shared" si="9"/>
        <v>其他</v>
      </c>
      <c r="D35" s="163">
        <f t="shared" si="10"/>
        <v>-0.39067080472105375</v>
      </c>
      <c r="E35" s="163">
        <f t="shared" si="10"/>
        <v>0.20464195251416628</v>
      </c>
      <c r="F35" s="163">
        <f t="shared" si="10"/>
        <v>8.8646821398475906E-2</v>
      </c>
      <c r="G35" s="163">
        <f t="shared" si="10"/>
        <v>0.10924346425110087</v>
      </c>
      <c r="H35" s="163">
        <f t="shared" si="10"/>
        <v>-8.2468640476078825E-3</v>
      </c>
      <c r="I35" s="163">
        <f t="shared" si="10"/>
        <v>-6.615668854257295E-2</v>
      </c>
      <c r="J35" s="163">
        <f t="shared" si="10"/>
        <v>-0.11544620648334902</v>
      </c>
      <c r="K35" s="163">
        <f t="shared" si="10"/>
        <v>-0.11431683638957513</v>
      </c>
      <c r="L35" s="163">
        <f t="shared" si="10"/>
        <v>-7.318937073245646E-2</v>
      </c>
      <c r="M35" s="163" t="str">
        <f t="shared" si="10"/>
        <v/>
      </c>
      <c r="N35" s="163" t="str">
        <f t="shared" si="10"/>
        <v/>
      </c>
      <c r="O35" s="163" t="str">
        <f t="shared" si="10"/>
        <v/>
      </c>
    </row>
    <row r="36" spans="2:15" s="164" customFormat="1" x14ac:dyDescent="0.25">
      <c r="B36" s="345" t="s">
        <v>33</v>
      </c>
      <c r="C36" s="12" t="str">
        <f t="shared" ref="C36:C49" si="11">C22</f>
        <v>速溶咖啡</v>
      </c>
      <c r="D36" s="33">
        <f t="shared" ref="D36:O36" si="12">IFERROR(D22/D$7,"")</f>
        <v>0.50948148649720992</v>
      </c>
      <c r="E36" s="33">
        <f t="shared" si="12"/>
        <v>0.57569283163178553</v>
      </c>
      <c r="F36" s="33">
        <f t="shared" si="12"/>
        <v>0.59326983781895537</v>
      </c>
      <c r="G36" s="33">
        <f t="shared" si="12"/>
        <v>0.56648690052902606</v>
      </c>
      <c r="H36" s="33">
        <f t="shared" si="12"/>
        <v>0.56518640674683962</v>
      </c>
      <c r="I36" s="33">
        <f t="shared" si="12"/>
        <v>0.55818244084272861</v>
      </c>
      <c r="J36" s="33">
        <f t="shared" si="12"/>
        <v>0.5527767183925173</v>
      </c>
      <c r="K36" s="33">
        <f t="shared" si="12"/>
        <v>0.52179213807185598</v>
      </c>
      <c r="L36" s="33">
        <f t="shared" si="12"/>
        <v>0.53098326114194228</v>
      </c>
      <c r="M36" s="33" t="str">
        <f t="shared" si="12"/>
        <v/>
      </c>
      <c r="N36" s="33" t="str">
        <f t="shared" si="12"/>
        <v/>
      </c>
      <c r="O36" s="33" t="str">
        <f t="shared" si="12"/>
        <v/>
      </c>
    </row>
    <row r="37" spans="2:15" s="164" customFormat="1" x14ac:dyDescent="0.25">
      <c r="B37" s="281"/>
      <c r="C37" s="12" t="str">
        <f t="shared" si="11"/>
        <v>咖啡豆</v>
      </c>
      <c r="D37" s="33">
        <f t="shared" ref="D37:O37" si="13">IFERROR(D23/D$7,"")</f>
        <v>0.18707061450212398</v>
      </c>
      <c r="E37" s="33">
        <f t="shared" si="13"/>
        <v>0.15455051511624479</v>
      </c>
      <c r="F37" s="33">
        <f t="shared" si="13"/>
        <v>0.15001837974325696</v>
      </c>
      <c r="G37" s="33">
        <f t="shared" si="13"/>
        <v>0.16488676325021365</v>
      </c>
      <c r="H37" s="33">
        <f t="shared" si="13"/>
        <v>0.15570388224729464</v>
      </c>
      <c r="I37" s="33">
        <f t="shared" si="13"/>
        <v>0.15901957126583449</v>
      </c>
      <c r="J37" s="33">
        <f t="shared" si="13"/>
        <v>0.1737401764829857</v>
      </c>
      <c r="K37" s="33">
        <f t="shared" si="13"/>
        <v>0.18542837076024318</v>
      </c>
      <c r="L37" s="33">
        <f t="shared" si="13"/>
        <v>0.18874441461631844</v>
      </c>
      <c r="M37" s="33" t="str">
        <f t="shared" si="13"/>
        <v/>
      </c>
      <c r="N37" s="33" t="str">
        <f t="shared" si="13"/>
        <v/>
      </c>
      <c r="O37" s="33" t="str">
        <f t="shared" si="13"/>
        <v/>
      </c>
    </row>
    <row r="38" spans="2:15" s="164" customFormat="1" x14ac:dyDescent="0.25">
      <c r="B38" s="281"/>
      <c r="C38" s="12" t="str">
        <f t="shared" si="11"/>
        <v>挂耳咖啡</v>
      </c>
      <c r="D38" s="33">
        <f t="shared" ref="D38:O38" si="14">IFERROR(D24/D$7,"")</f>
        <v>5.5904513768052944E-2</v>
      </c>
      <c r="E38" s="33">
        <f t="shared" si="14"/>
        <v>5.2170291324248205E-2</v>
      </c>
      <c r="F38" s="33">
        <f t="shared" si="14"/>
        <v>4.6866319023091761E-2</v>
      </c>
      <c r="G38" s="33">
        <f t="shared" si="14"/>
        <v>4.8249337213179665E-2</v>
      </c>
      <c r="H38" s="33">
        <f t="shared" si="14"/>
        <v>4.7993296888752437E-2</v>
      </c>
      <c r="I38" s="33">
        <f t="shared" si="14"/>
        <v>4.6279346967432113E-2</v>
      </c>
      <c r="J38" s="33">
        <f t="shared" si="14"/>
        <v>4.0291169862257857E-2</v>
      </c>
      <c r="K38" s="33">
        <f t="shared" si="14"/>
        <v>4.4501610260170021E-2</v>
      </c>
      <c r="L38" s="33">
        <f t="shared" si="14"/>
        <v>4.8002834377416446E-2</v>
      </c>
      <c r="M38" s="33" t="str">
        <f t="shared" si="14"/>
        <v/>
      </c>
      <c r="N38" s="33" t="str">
        <f t="shared" si="14"/>
        <v/>
      </c>
      <c r="O38" s="33" t="str">
        <f t="shared" si="14"/>
        <v/>
      </c>
    </row>
    <row r="39" spans="2:15" s="164" customFormat="1" x14ac:dyDescent="0.25">
      <c r="B39" s="281"/>
      <c r="C39" s="12" t="str">
        <f t="shared" si="11"/>
        <v>胶囊咖啡</v>
      </c>
      <c r="D39" s="33">
        <f t="shared" ref="D39:O39" si="15">IFERROR(D25/D$7,"")</f>
        <v>5.1015818653045227E-2</v>
      </c>
      <c r="E39" s="33">
        <f t="shared" si="15"/>
        <v>4.7969124658660385E-2</v>
      </c>
      <c r="F39" s="33">
        <f t="shared" si="15"/>
        <v>4.9263246986501412E-2</v>
      </c>
      <c r="G39" s="33">
        <f t="shared" si="15"/>
        <v>4.1593689902438565E-2</v>
      </c>
      <c r="H39" s="33">
        <f t="shared" si="15"/>
        <v>5.6285690422925201E-2</v>
      </c>
      <c r="I39" s="33">
        <f t="shared" si="15"/>
        <v>6.3435534586513881E-2</v>
      </c>
      <c r="J39" s="33">
        <f t="shared" si="15"/>
        <v>3.373764312607512E-2</v>
      </c>
      <c r="K39" s="33">
        <f t="shared" si="15"/>
        <v>4.6793988437719425E-2</v>
      </c>
      <c r="L39" s="33">
        <f t="shared" si="15"/>
        <v>4.660267941728783E-2</v>
      </c>
      <c r="M39" s="33" t="str">
        <f t="shared" si="15"/>
        <v/>
      </c>
      <c r="N39" s="33" t="str">
        <f t="shared" si="15"/>
        <v/>
      </c>
      <c r="O39" s="33" t="str">
        <f t="shared" si="15"/>
        <v/>
      </c>
    </row>
    <row r="40" spans="2:15" s="164" customFormat="1" x14ac:dyDescent="0.25">
      <c r="B40" s="281"/>
      <c r="C40" s="12" t="str">
        <f t="shared" si="11"/>
        <v>咖啡液</v>
      </c>
      <c r="D40" s="33">
        <f t="shared" ref="D40:O40" si="16">IFERROR(D26/D$7,"")</f>
        <v>4.2382208727346327E-2</v>
      </c>
      <c r="E40" s="33">
        <f t="shared" si="16"/>
        <v>4.5599661085223911E-2</v>
      </c>
      <c r="F40" s="33">
        <f t="shared" si="16"/>
        <v>5.0804093476640062E-2</v>
      </c>
      <c r="G40" s="33">
        <f t="shared" si="16"/>
        <v>5.0753924863301852E-2</v>
      </c>
      <c r="H40" s="33">
        <f t="shared" si="16"/>
        <v>6.2238134450975702E-2</v>
      </c>
      <c r="I40" s="33">
        <f t="shared" si="16"/>
        <v>5.9127123483864445E-2</v>
      </c>
      <c r="J40" s="33">
        <f t="shared" si="16"/>
        <v>4.856974139458313E-2</v>
      </c>
      <c r="K40" s="33">
        <f t="shared" si="16"/>
        <v>5.453954834017441E-2</v>
      </c>
      <c r="L40" s="33">
        <f t="shared" si="16"/>
        <v>4.5102339505094811E-2</v>
      </c>
      <c r="M40" s="33" t="str">
        <f t="shared" si="16"/>
        <v/>
      </c>
      <c r="N40" s="33" t="str">
        <f t="shared" si="16"/>
        <v/>
      </c>
      <c r="O40" s="33" t="str">
        <f t="shared" si="16"/>
        <v/>
      </c>
    </row>
    <row r="41" spans="2:15" s="164" customFormat="1" x14ac:dyDescent="0.25">
      <c r="B41" s="281"/>
      <c r="C41" s="12" t="str">
        <f t="shared" si="11"/>
        <v>咖啡粉</v>
      </c>
      <c r="D41" s="33">
        <f t="shared" ref="D41:O41" si="17">IFERROR(D27/D$7,"")</f>
        <v>3.6685527846446235E-2</v>
      </c>
      <c r="E41" s="33">
        <f t="shared" si="17"/>
        <v>3.8947719144476062E-2</v>
      </c>
      <c r="F41" s="33">
        <f t="shared" si="17"/>
        <v>3.0101807304524036E-2</v>
      </c>
      <c r="G41" s="33">
        <f t="shared" si="17"/>
        <v>3.1673699255584109E-2</v>
      </c>
      <c r="H41" s="33">
        <f t="shared" si="17"/>
        <v>2.7182285602632288E-2</v>
      </c>
      <c r="I41" s="33">
        <f t="shared" si="17"/>
        <v>2.8764977802533655E-2</v>
      </c>
      <c r="J41" s="33">
        <f t="shared" si="17"/>
        <v>3.1876561785207501E-2</v>
      </c>
      <c r="K41" s="33">
        <f t="shared" si="17"/>
        <v>3.06119148621928E-2</v>
      </c>
      <c r="L41" s="33">
        <f t="shared" si="17"/>
        <v>3.1457422366557644E-2</v>
      </c>
      <c r="M41" s="33" t="str">
        <f t="shared" si="17"/>
        <v/>
      </c>
      <c r="N41" s="33" t="str">
        <f t="shared" si="17"/>
        <v/>
      </c>
      <c r="O41" s="33" t="str">
        <f t="shared" si="17"/>
        <v/>
      </c>
    </row>
    <row r="42" spans="2:15" s="164" customFormat="1" x14ac:dyDescent="0.25">
      <c r="B42" s="283"/>
      <c r="C42" s="160" t="str">
        <f t="shared" si="11"/>
        <v>其他</v>
      </c>
      <c r="D42" s="165">
        <f t="shared" ref="D42:O42" si="18">IFERROR(D28/D$7,"")</f>
        <v>0.11745983000577541</v>
      </c>
      <c r="E42" s="165">
        <f t="shared" si="18"/>
        <v>8.506985703936118E-2</v>
      </c>
      <c r="F42" s="165">
        <f t="shared" si="18"/>
        <v>7.9676315647030385E-2</v>
      </c>
      <c r="G42" s="165">
        <f t="shared" si="18"/>
        <v>9.6355684986256046E-2</v>
      </c>
      <c r="H42" s="165">
        <f t="shared" si="18"/>
        <v>8.541030364058011E-2</v>
      </c>
      <c r="I42" s="165">
        <f t="shared" si="18"/>
        <v>8.5191005051092838E-2</v>
      </c>
      <c r="J42" s="165">
        <f t="shared" si="18"/>
        <v>0.11900798895637343</v>
      </c>
      <c r="K42" s="165">
        <f t="shared" si="18"/>
        <v>0.11633242926764423</v>
      </c>
      <c r="L42" s="165">
        <f t="shared" si="18"/>
        <v>0.10910704857538253</v>
      </c>
      <c r="M42" s="165" t="str">
        <f t="shared" si="18"/>
        <v/>
      </c>
      <c r="N42" s="165" t="str">
        <f t="shared" si="18"/>
        <v/>
      </c>
      <c r="O42" s="165" t="str">
        <f t="shared" si="18"/>
        <v/>
      </c>
    </row>
    <row r="43" spans="2:15" x14ac:dyDescent="0.25">
      <c r="B43" s="345" t="s">
        <v>45</v>
      </c>
      <c r="C43" s="12" t="str">
        <f t="shared" si="11"/>
        <v>速溶咖啡</v>
      </c>
      <c r="D43" s="17">
        <f t="shared" ref="D43:O49" si="19">IFERROR(D22/D$7-R22/R$7,"")</f>
        <v>6.6942734887039945E-3</v>
      </c>
      <c r="E43" s="17">
        <f t="shared" si="19"/>
        <v>4.2401412131282346E-2</v>
      </c>
      <c r="F43" s="17">
        <f t="shared" si="19"/>
        <v>8.1014039143666783E-2</v>
      </c>
      <c r="G43" s="17">
        <f t="shared" si="19"/>
        <v>3.34106252897447E-2</v>
      </c>
      <c r="H43" s="17">
        <f t="shared" si="19"/>
        <v>4.0054763996383302E-2</v>
      </c>
      <c r="I43" s="17">
        <f t="shared" si="19"/>
        <v>6.0944848139522168E-2</v>
      </c>
      <c r="J43" s="17">
        <f t="shared" si="19"/>
        <v>5.67125059916464E-2</v>
      </c>
      <c r="K43" s="17">
        <f t="shared" si="19"/>
        <v>3.8101188531844965E-3</v>
      </c>
      <c r="L43" s="17">
        <f t="shared" si="19"/>
        <v>-1.310255744093014E-2</v>
      </c>
      <c r="M43" s="17" t="str">
        <f t="shared" si="19"/>
        <v/>
      </c>
      <c r="N43" s="17" t="str">
        <f t="shared" si="19"/>
        <v/>
      </c>
      <c r="O43" s="17" t="str">
        <f t="shared" si="19"/>
        <v/>
      </c>
    </row>
    <row r="44" spans="2:15" x14ac:dyDescent="0.25">
      <c r="B44" s="281"/>
      <c r="C44" s="12" t="str">
        <f t="shared" si="11"/>
        <v>咖啡豆</v>
      </c>
      <c r="D44" s="17">
        <f t="shared" si="19"/>
        <v>3.4346370685174238E-2</v>
      </c>
      <c r="E44" s="17">
        <f t="shared" si="19"/>
        <v>8.4369723091124171E-3</v>
      </c>
      <c r="F44" s="17">
        <f t="shared" si="19"/>
        <v>5.4009885143703196E-3</v>
      </c>
      <c r="G44" s="17">
        <f t="shared" si="19"/>
        <v>1.4975932479346032E-2</v>
      </c>
      <c r="H44" s="17">
        <f t="shared" si="19"/>
        <v>1.8330374059310012E-2</v>
      </c>
      <c r="I44" s="17">
        <f t="shared" si="19"/>
        <v>1.4059232744026096E-2</v>
      </c>
      <c r="J44" s="17">
        <f t="shared" si="19"/>
        <v>2.165226082329258E-2</v>
      </c>
      <c r="K44" s="17">
        <f t="shared" si="19"/>
        <v>3.6679514336917046E-2</v>
      </c>
      <c r="L44" s="17">
        <f t="shared" si="19"/>
        <v>4.5495095298033611E-2</v>
      </c>
      <c r="M44" s="17" t="str">
        <f t="shared" si="19"/>
        <v/>
      </c>
      <c r="N44" s="17" t="str">
        <f t="shared" si="19"/>
        <v/>
      </c>
      <c r="O44" s="17" t="str">
        <f t="shared" si="19"/>
        <v/>
      </c>
    </row>
    <row r="45" spans="2:15" x14ac:dyDescent="0.25">
      <c r="B45" s="281"/>
      <c r="C45" s="12" t="str">
        <f t="shared" si="11"/>
        <v>挂耳咖啡</v>
      </c>
      <c r="D45" s="17">
        <f t="shared" si="19"/>
        <v>-2.6948018863413234E-3</v>
      </c>
      <c r="E45" s="17">
        <f t="shared" si="19"/>
        <v>-8.3476449163095712E-3</v>
      </c>
      <c r="F45" s="17">
        <f t="shared" si="19"/>
        <v>-2.0742998258228208E-2</v>
      </c>
      <c r="G45" s="17">
        <f t="shared" si="19"/>
        <v>-1.5103011480846633E-2</v>
      </c>
      <c r="H45" s="17">
        <f t="shared" si="19"/>
        <v>-1.6506743657923456E-2</v>
      </c>
      <c r="I45" s="17">
        <f t="shared" si="19"/>
        <v>-1.5505616978538889E-2</v>
      </c>
      <c r="J45" s="17">
        <f t="shared" si="19"/>
        <v>-1.2239933199674841E-2</v>
      </c>
      <c r="K45" s="17">
        <f t="shared" si="19"/>
        <v>-8.5537758178748577E-3</v>
      </c>
      <c r="L45" s="17">
        <f t="shared" si="19"/>
        <v>-7.3527400647572308E-3</v>
      </c>
      <c r="M45" s="17" t="str">
        <f t="shared" si="19"/>
        <v/>
      </c>
      <c r="N45" s="17" t="str">
        <f t="shared" si="19"/>
        <v/>
      </c>
      <c r="O45" s="17" t="str">
        <f t="shared" si="19"/>
        <v/>
      </c>
    </row>
    <row r="46" spans="2:15" x14ac:dyDescent="0.25">
      <c r="B46" s="281"/>
      <c r="C46" s="12" t="str">
        <f t="shared" si="11"/>
        <v>胶囊咖啡</v>
      </c>
      <c r="D46" s="17">
        <f t="shared" si="19"/>
        <v>-6.1965707642624504E-3</v>
      </c>
      <c r="E46" s="17">
        <f t="shared" si="19"/>
        <v>-7.9681518786733699E-3</v>
      </c>
      <c r="F46" s="17">
        <f t="shared" si="19"/>
        <v>-2.0971209829500452E-2</v>
      </c>
      <c r="G46" s="17">
        <f t="shared" si="19"/>
        <v>-1.119201359129577E-2</v>
      </c>
      <c r="H46" s="17">
        <f t="shared" si="19"/>
        <v>-1.8655300575073828E-2</v>
      </c>
      <c r="I46" s="17">
        <f t="shared" si="19"/>
        <v>-1.4593383027369483E-2</v>
      </c>
      <c r="J46" s="17">
        <f t="shared" si="19"/>
        <v>-1.217086155903175E-2</v>
      </c>
      <c r="K46" s="17">
        <f t="shared" si="19"/>
        <v>7.4062564470465941E-4</v>
      </c>
      <c r="L46" s="17">
        <f t="shared" si="19"/>
        <v>-4.9483519304129864E-3</v>
      </c>
      <c r="M46" s="17" t="str">
        <f t="shared" si="19"/>
        <v/>
      </c>
      <c r="N46" s="17" t="str">
        <f t="shared" si="19"/>
        <v/>
      </c>
      <c r="O46" s="17" t="str">
        <f t="shared" si="19"/>
        <v/>
      </c>
    </row>
    <row r="47" spans="2:15" x14ac:dyDescent="0.25">
      <c r="B47" s="281"/>
      <c r="C47" s="12" t="str">
        <f t="shared" si="11"/>
        <v>咖啡液</v>
      </c>
      <c r="D47" s="17">
        <f t="shared" si="19"/>
        <v>-6.9157264048315542E-3</v>
      </c>
      <c r="E47" s="17">
        <f t="shared" si="19"/>
        <v>-6.9319384722794294E-3</v>
      </c>
      <c r="F47" s="17">
        <f t="shared" si="19"/>
        <v>-2.3201132346145341E-2</v>
      </c>
      <c r="G47" s="17">
        <f t="shared" si="19"/>
        <v>-1.8889685219867322E-2</v>
      </c>
      <c r="H47" s="17">
        <f t="shared" si="19"/>
        <v>-1.3640271095000864E-2</v>
      </c>
      <c r="I47" s="17">
        <f t="shared" si="19"/>
        <v>-2.6972296267555103E-2</v>
      </c>
      <c r="J47" s="17">
        <f t="shared" si="19"/>
        <v>-2.3896290546333007E-2</v>
      </c>
      <c r="K47" s="17">
        <f t="shared" si="19"/>
        <v>-1.7395172419493926E-2</v>
      </c>
      <c r="L47" s="17">
        <f t="shared" si="19"/>
        <v>-2.9264539652931042E-2</v>
      </c>
      <c r="M47" s="17" t="str">
        <f t="shared" si="19"/>
        <v/>
      </c>
      <c r="N47" s="17" t="str">
        <f t="shared" si="19"/>
        <v/>
      </c>
      <c r="O47" s="17" t="str">
        <f t="shared" si="19"/>
        <v/>
      </c>
    </row>
    <row r="48" spans="2:15" x14ac:dyDescent="0.25">
      <c r="B48" s="281"/>
      <c r="C48" s="12" t="str">
        <f t="shared" si="11"/>
        <v>咖啡粉</v>
      </c>
      <c r="D48" s="17">
        <f t="shared" si="19"/>
        <v>-1.547839019722197E-2</v>
      </c>
      <c r="E48" s="17">
        <f t="shared" si="19"/>
        <v>-1.7625390261376182E-2</v>
      </c>
      <c r="F48" s="17">
        <f t="shared" si="19"/>
        <v>-1.8999803049735055E-2</v>
      </c>
      <c r="G48" s="17">
        <f t="shared" si="19"/>
        <v>-1.4139807839659402E-2</v>
      </c>
      <c r="H48" s="17">
        <f t="shared" si="19"/>
        <v>-1.6241609245107608E-2</v>
      </c>
      <c r="I48" s="17">
        <f t="shared" si="19"/>
        <v>-1.5059630317812253E-2</v>
      </c>
      <c r="J48" s="17">
        <f t="shared" si="19"/>
        <v>-1.8984272228068678E-2</v>
      </c>
      <c r="K48" s="17">
        <f t="shared" si="19"/>
        <v>-1.1442704104600077E-2</v>
      </c>
      <c r="L48" s="17">
        <f t="shared" si="19"/>
        <v>-6.1110454911786072E-3</v>
      </c>
      <c r="M48" s="17" t="str">
        <f t="shared" si="19"/>
        <v/>
      </c>
      <c r="N48" s="17" t="str">
        <f t="shared" si="19"/>
        <v/>
      </c>
      <c r="O48" s="17" t="str">
        <f t="shared" si="19"/>
        <v/>
      </c>
    </row>
    <row r="49" spans="2:46" s="164" customFormat="1" x14ac:dyDescent="0.25">
      <c r="B49" s="283"/>
      <c r="C49" s="162" t="str">
        <f t="shared" si="11"/>
        <v>其他</v>
      </c>
      <c r="D49" s="163">
        <f t="shared" si="19"/>
        <v>-9.7551549212208516E-3</v>
      </c>
      <c r="E49" s="163">
        <f t="shared" si="19"/>
        <v>-9.9652589117560919E-3</v>
      </c>
      <c r="F49" s="163">
        <f t="shared" si="19"/>
        <v>-2.4998841744281047E-3</v>
      </c>
      <c r="G49" s="163">
        <f t="shared" si="19"/>
        <v>1.0937960362578339E-2</v>
      </c>
      <c r="H49" s="163">
        <f t="shared" si="19"/>
        <v>6.6587865174124183E-3</v>
      </c>
      <c r="I49" s="163">
        <f t="shared" si="19"/>
        <v>-2.8731542922724729E-3</v>
      </c>
      <c r="J49" s="163">
        <f t="shared" si="19"/>
        <v>-1.1073409281830676E-2</v>
      </c>
      <c r="K49" s="163">
        <f t="shared" si="19"/>
        <v>-3.8386064928372654E-3</v>
      </c>
      <c r="L49" s="163">
        <f t="shared" si="19"/>
        <v>1.5284139282176382E-2</v>
      </c>
      <c r="M49" s="163" t="str">
        <f t="shared" si="19"/>
        <v/>
      </c>
      <c r="N49" s="163" t="str">
        <f t="shared" si="19"/>
        <v/>
      </c>
      <c r="O49" s="163" t="str">
        <f t="shared" si="19"/>
        <v/>
      </c>
    </row>
    <row r="50" spans="2:46" x14ac:dyDescent="0.25">
      <c r="C50" s="159"/>
      <c r="D50" s="159"/>
      <c r="E50" s="159"/>
      <c r="F50" s="159"/>
      <c r="G50" s="159"/>
      <c r="H50" s="159"/>
      <c r="I50" s="159"/>
      <c r="J50" s="159"/>
      <c r="K50" s="159"/>
      <c r="L50" s="159"/>
      <c r="M50" s="159"/>
      <c r="N50" s="159"/>
      <c r="O50" s="159"/>
      <c r="P50" s="159"/>
      <c r="Q50" s="159"/>
      <c r="R50" s="159"/>
    </row>
    <row r="51" spans="2:46" s="5" customFormat="1" ht="22.75" customHeight="1" x14ac:dyDescent="0.25">
      <c r="B51" s="270" t="s">
        <v>378</v>
      </c>
      <c r="C51" s="271"/>
      <c r="D51" s="271"/>
      <c r="E51" s="271"/>
      <c r="F51" s="271"/>
      <c r="N51" s="6"/>
      <c r="O51" s="6"/>
      <c r="P51" s="6"/>
    </row>
    <row r="52" spans="2:46" s="2" customFormat="1" ht="16.25" customHeight="1" x14ac:dyDescent="0.25">
      <c r="B52" s="7"/>
      <c r="C52" s="7"/>
      <c r="D52" s="7"/>
      <c r="K52" s="3"/>
      <c r="L52" s="3"/>
      <c r="M52" s="3"/>
      <c r="AG52" s="166"/>
    </row>
    <row r="53" spans="2:46" ht="16.25" customHeight="1" x14ac:dyDescent="0.25">
      <c r="B53" s="272" t="s">
        <v>379</v>
      </c>
      <c r="C53" s="273"/>
      <c r="D53" s="273"/>
      <c r="E53" s="273"/>
      <c r="F53" s="273"/>
      <c r="G53" s="273"/>
      <c r="H53" s="273"/>
      <c r="I53" s="273"/>
      <c r="J53" s="273"/>
      <c r="K53" s="273"/>
      <c r="L53" s="273"/>
      <c r="M53" s="273"/>
      <c r="N53" s="273"/>
      <c r="O53" s="274"/>
      <c r="Q53" s="299" t="s">
        <v>380</v>
      </c>
      <c r="R53" s="273"/>
      <c r="S53" s="273"/>
      <c r="T53" s="273"/>
      <c r="U53" s="273"/>
      <c r="V53" s="273"/>
      <c r="W53" s="273"/>
      <c r="X53" s="273"/>
      <c r="Y53" s="273"/>
      <c r="Z53" s="273"/>
      <c r="AA53" s="273"/>
      <c r="AB53" s="273"/>
      <c r="AC53" s="274"/>
      <c r="AG53" s="167"/>
      <c r="AH53" s="166"/>
      <c r="AI53" s="167"/>
      <c r="AJ53" s="167"/>
      <c r="AK53" s="167"/>
      <c r="AL53" s="167"/>
      <c r="AM53" s="167"/>
      <c r="AN53" s="167"/>
      <c r="AO53" s="167"/>
      <c r="AP53" s="167"/>
      <c r="AQ53" s="167"/>
      <c r="AR53" s="167"/>
      <c r="AS53" s="167"/>
      <c r="AT53" s="167"/>
    </row>
    <row r="54" spans="2:46" ht="16.25" customHeight="1" x14ac:dyDescent="0.25">
      <c r="B54" s="10"/>
      <c r="C54" s="10"/>
      <c r="D54" s="30">
        <v>2023.01</v>
      </c>
      <c r="E54" s="30">
        <v>2023.02</v>
      </c>
      <c r="F54" s="30">
        <v>2023.03</v>
      </c>
      <c r="G54" s="30">
        <v>2023.04</v>
      </c>
      <c r="H54" s="30">
        <v>2023.05</v>
      </c>
      <c r="I54" s="30">
        <v>2023.06</v>
      </c>
      <c r="J54" s="30">
        <v>2023.07</v>
      </c>
      <c r="K54" s="30">
        <v>2023.08</v>
      </c>
      <c r="L54" s="30">
        <v>2023.09</v>
      </c>
      <c r="M54" s="30">
        <v>2023.1</v>
      </c>
      <c r="N54" s="30">
        <v>2023.11</v>
      </c>
      <c r="O54" s="30">
        <v>2023.12</v>
      </c>
      <c r="Q54" s="11"/>
      <c r="R54" s="194">
        <v>2022.01</v>
      </c>
      <c r="S54" s="194">
        <v>2022.02</v>
      </c>
      <c r="T54" s="194">
        <v>2022.03</v>
      </c>
      <c r="U54" s="194">
        <v>2022.04</v>
      </c>
      <c r="V54" s="194">
        <v>2022.05</v>
      </c>
      <c r="W54" s="194">
        <v>2022.06</v>
      </c>
      <c r="X54" s="194">
        <v>2022.07</v>
      </c>
      <c r="Y54" s="194">
        <v>2022.08</v>
      </c>
      <c r="Z54" s="194">
        <v>2022.09</v>
      </c>
      <c r="AA54" s="194" t="s">
        <v>369</v>
      </c>
      <c r="AB54" s="194">
        <v>2022.11</v>
      </c>
      <c r="AC54" s="194">
        <v>2022.12</v>
      </c>
      <c r="AG54" s="167"/>
    </row>
    <row r="55" spans="2:46" x14ac:dyDescent="0.25">
      <c r="B55" s="277" t="s">
        <v>16</v>
      </c>
      <c r="C55" s="12" t="s">
        <v>106</v>
      </c>
      <c r="D55" s="16">
        <f>IFERROR(VLOOKUP("胶囊咖啡"&amp;"-"&amp;D6,dat_nespresso_mkt_overview!$C:$H,2,0),"")</f>
        <v>19524123</v>
      </c>
      <c r="E55" s="16">
        <f>IFERROR(VLOOKUP("胶囊咖啡"&amp;"-"&amp;E6,dat_nespresso_mkt_overview!$C:$H,2,0),"")</f>
        <v>29879343</v>
      </c>
      <c r="F55" s="16">
        <f>IFERROR(VLOOKUP("胶囊咖啡"&amp;"-"&amp;F6,dat_nespresso_mkt_overview!$C:$H,2,0),"")</f>
        <v>39543689</v>
      </c>
      <c r="G55" s="16">
        <f>IFERROR(VLOOKUP("胶囊咖啡"&amp;"-"&amp;G6,dat_nespresso_mkt_overview!$C:$H,2,0),"")</f>
        <v>29743139</v>
      </c>
      <c r="H55" s="16">
        <f>IFERROR(VLOOKUP("胶囊咖啡"&amp;"-"&amp;H6,dat_nespresso_mkt_overview!$C:$H,2,0),"")</f>
        <v>45111573</v>
      </c>
      <c r="I55" s="16">
        <f>IFERROR(VLOOKUP("胶囊咖啡"&amp;"-"&amp;I6,dat_nespresso_mkt_overview!$C:$H,2,0),"")</f>
        <v>54120631</v>
      </c>
      <c r="J55" s="16">
        <f>IFERROR(VLOOKUP("胶囊咖啡"&amp;"-"&amp;J6,dat_nespresso_mkt_overview!$C:$H,2,0),"")</f>
        <v>19136257</v>
      </c>
      <c r="K55" s="16">
        <f>IFERROR(VLOOKUP("胶囊咖啡"&amp;"-"&amp;K6,dat_nespresso_mkt_overview!$C:$H,2,0),"")</f>
        <v>29016652</v>
      </c>
      <c r="L55" s="16">
        <f>IFERROR(VLOOKUP("胶囊咖啡"&amp;"-"&amp;L6,dat_nespresso_mkt_overview!$C:$H,2,0),"")</f>
        <v>27279687</v>
      </c>
      <c r="M55" s="16" t="str">
        <f>IFERROR(VLOOKUP("胶囊咖啡"&amp;"-"&amp;M6,dat_nespresso_mkt_overview!$C:$H,2,0),"")</f>
        <v/>
      </c>
      <c r="N55" s="16" t="str">
        <f>IFERROR(VLOOKUP("胶囊咖啡"&amp;"-"&amp;N6,dat_nespresso_mkt_overview!$C:$H,2,0),"")</f>
        <v/>
      </c>
      <c r="O55" s="16" t="str">
        <f>IFERROR(VLOOKUP("胶囊咖啡"&amp;"-"&amp;O6,dat_nespresso_mkt_overview!$C:$H,2,0),"")</f>
        <v/>
      </c>
      <c r="Q55" s="15" t="s">
        <v>106</v>
      </c>
      <c r="R55" s="16">
        <v>33178433</v>
      </c>
      <c r="S55" s="16">
        <v>25890723</v>
      </c>
      <c r="T55" s="16">
        <v>50211195</v>
      </c>
      <c r="U55" s="16">
        <v>38386466</v>
      </c>
      <c r="V55" s="16">
        <v>65683632</v>
      </c>
      <c r="W55" s="16">
        <v>68961447</v>
      </c>
      <c r="X55" s="16">
        <v>26932215</v>
      </c>
      <c r="Y55" s="16">
        <v>31213408</v>
      </c>
      <c r="Z55" s="16">
        <v>37863326</v>
      </c>
      <c r="AA55" s="16">
        <v>76580369</v>
      </c>
      <c r="AB55" s="16">
        <v>73458219</v>
      </c>
      <c r="AC55" s="16">
        <v>38390805</v>
      </c>
      <c r="AG55" s="167"/>
    </row>
    <row r="56" spans="2:46" x14ac:dyDescent="0.25">
      <c r="B56" s="281"/>
      <c r="C56" s="12" t="s">
        <v>107</v>
      </c>
      <c r="D56" s="16">
        <f>IFERROR(VLOOKUP("胶囊咖啡"&amp;"-"&amp;D6,dat_nespresso_mkt_overview!$C:$H,3,0),"")</f>
        <v>88279</v>
      </c>
      <c r="E56" s="16">
        <f>IFERROR(VLOOKUP("胶囊咖啡"&amp;"-"&amp;E6,dat_nespresso_mkt_overview!$C:$H,3,0),"")</f>
        <v>158689</v>
      </c>
      <c r="F56" s="16">
        <f>IFERROR(VLOOKUP("胶囊咖啡"&amp;"-"&amp;F6,dat_nespresso_mkt_overview!$C:$H,3,0),"")</f>
        <v>188091</v>
      </c>
      <c r="G56" s="16">
        <f>IFERROR(VLOOKUP("胶囊咖啡"&amp;"-"&amp;G6,dat_nespresso_mkt_overview!$C:$H,3,0),"")</f>
        <v>175701</v>
      </c>
      <c r="H56" s="16">
        <f>IFERROR(VLOOKUP("胶囊咖啡"&amp;"-"&amp;H6,dat_nespresso_mkt_overview!$C:$H,3,0),"")</f>
        <v>208008</v>
      </c>
      <c r="I56" s="16">
        <f>IFERROR(VLOOKUP("胶囊咖啡"&amp;"-"&amp;I6,dat_nespresso_mkt_overview!$C:$H,3,0),"")</f>
        <v>230187</v>
      </c>
      <c r="J56" s="16">
        <f>IFERROR(VLOOKUP("胶囊咖啡"&amp;"-"&amp;J6,dat_nespresso_mkt_overview!$C:$H,3,0),"")</f>
        <v>144678</v>
      </c>
      <c r="K56" s="16">
        <f>IFERROR(VLOOKUP("胶囊咖啡"&amp;"-"&amp;K6,dat_nespresso_mkt_overview!$C:$H,3,0),"")</f>
        <v>209619</v>
      </c>
      <c r="L56" s="16">
        <f>IFERROR(VLOOKUP("胶囊咖啡"&amp;"-"&amp;L6,dat_nespresso_mkt_overview!$C:$H,3,0),"")</f>
        <v>167180</v>
      </c>
      <c r="M56" s="16" t="str">
        <f>IFERROR(VLOOKUP("胶囊咖啡"&amp;"-"&amp;M6,dat_nespresso_mkt_overview!$C:$H,3,0),"")</f>
        <v/>
      </c>
      <c r="N56" s="16" t="str">
        <f>IFERROR(VLOOKUP("胶囊咖啡"&amp;"-"&amp;N6,dat_nespresso_mkt_overview!$C:$H,3,0),"")</f>
        <v/>
      </c>
      <c r="O56" s="16" t="str">
        <f>IFERROR(VLOOKUP("胶囊咖啡"&amp;"-"&amp;O6,dat_nespresso_mkt_overview!$C:$H,3,0),"")</f>
        <v/>
      </c>
      <c r="Q56" s="15" t="s">
        <v>107</v>
      </c>
      <c r="R56" s="16">
        <v>138842</v>
      </c>
      <c r="S56" s="16">
        <v>119352</v>
      </c>
      <c r="T56" s="16">
        <v>214463</v>
      </c>
      <c r="U56" s="16">
        <v>195076</v>
      </c>
      <c r="V56" s="16">
        <v>241310</v>
      </c>
      <c r="W56" s="16">
        <v>249892</v>
      </c>
      <c r="X56" s="16">
        <v>135501</v>
      </c>
      <c r="Y56" s="16">
        <v>149593</v>
      </c>
      <c r="Z56" s="16">
        <v>167527</v>
      </c>
      <c r="AA56" s="16">
        <v>243512</v>
      </c>
      <c r="AB56" s="16">
        <v>252725</v>
      </c>
      <c r="AC56" s="16">
        <v>151103</v>
      </c>
      <c r="AG56" s="167"/>
    </row>
    <row r="57" spans="2:46" x14ac:dyDescent="0.25">
      <c r="B57" s="281"/>
      <c r="C57" s="12" t="s">
        <v>108</v>
      </c>
      <c r="D57" s="16">
        <f>IFERROR(VLOOKUP("胶囊咖啡"&amp;"-"&amp;D6,dat_nespresso_mkt_overview!$C:$H,4,0),"")</f>
        <v>1020506</v>
      </c>
      <c r="E57" s="16">
        <f>IFERROR(VLOOKUP("胶囊咖啡"&amp;"-"&amp;E6,dat_nespresso_mkt_overview!$C:$H,4,0),"")</f>
        <v>1270121</v>
      </c>
      <c r="F57" s="16">
        <f>IFERROR(VLOOKUP("胶囊咖啡"&amp;"-"&amp;F6,dat_nespresso_mkt_overview!$C:$H,4,0),"")</f>
        <v>1367930</v>
      </c>
      <c r="G57" s="16">
        <f>IFERROR(VLOOKUP("胶囊咖啡"&amp;"-"&amp;G6,dat_nespresso_mkt_overview!$C:$H,4,0),"")</f>
        <v>1396704</v>
      </c>
      <c r="H57" s="16">
        <f>IFERROR(VLOOKUP("胶囊咖啡"&amp;"-"&amp;H6,dat_nespresso_mkt_overview!$C:$H,4,0),"")</f>
        <v>1746878</v>
      </c>
      <c r="I57" s="16">
        <f>IFERROR(VLOOKUP("胶囊咖啡"&amp;"-"&amp;I6,dat_nespresso_mkt_overview!$C:$H,4,0),"")</f>
        <v>2024802</v>
      </c>
      <c r="J57" s="16">
        <f>IFERROR(VLOOKUP("胶囊咖啡"&amp;"-"&amp;J6,dat_nespresso_mkt_overview!$C:$H,4,0),"")</f>
        <v>1258707</v>
      </c>
      <c r="K57" s="16">
        <f>IFERROR(VLOOKUP("胶囊咖啡"&amp;"-"&amp;K6,dat_nespresso_mkt_overview!$C:$H,4,0),"")</f>
        <v>1512737</v>
      </c>
      <c r="L57" s="16">
        <f>IFERROR(VLOOKUP("胶囊咖啡"&amp;"-"&amp;L6,dat_nespresso_mkt_overview!$C:$H,4,0),"")</f>
        <v>1284769</v>
      </c>
      <c r="M57" s="16" t="str">
        <f>IFERROR(VLOOKUP("胶囊咖啡"&amp;"-"&amp;M6,dat_nespresso_mkt_overview!$C:$H,4,0),"")</f>
        <v/>
      </c>
      <c r="N57" s="16" t="str">
        <f>IFERROR(VLOOKUP("胶囊咖啡"&amp;"-"&amp;N6,dat_nespresso_mkt_overview!$C:$H,4,0),"")</f>
        <v/>
      </c>
      <c r="O57" s="16" t="str">
        <f>IFERROR(VLOOKUP("胶囊咖啡"&amp;"-"&amp;O6,dat_nespresso_mkt_overview!$C:$H,4,0),"")</f>
        <v/>
      </c>
      <c r="Q57" s="15" t="s">
        <v>108</v>
      </c>
      <c r="R57" s="16">
        <v>1178120</v>
      </c>
      <c r="S57" s="16">
        <v>1054197</v>
      </c>
      <c r="T57" s="16">
        <v>1737572</v>
      </c>
      <c r="U57" s="16">
        <v>1738172</v>
      </c>
      <c r="V57" s="16">
        <v>1785360</v>
      </c>
      <c r="W57" s="16">
        <v>1634412</v>
      </c>
      <c r="X57" s="16">
        <v>1320699</v>
      </c>
      <c r="Y57" s="16">
        <v>1358088</v>
      </c>
      <c r="Z57" s="16">
        <v>1420107</v>
      </c>
      <c r="AA57" s="16">
        <v>1950695</v>
      </c>
      <c r="AB57" s="16">
        <v>1893041</v>
      </c>
      <c r="AC57" s="16">
        <v>1303785</v>
      </c>
      <c r="AG57" s="167"/>
    </row>
    <row r="58" spans="2:46" x14ac:dyDescent="0.25">
      <c r="B58" s="281"/>
      <c r="C58" s="12" t="s">
        <v>21</v>
      </c>
      <c r="D58" s="17">
        <f t="shared" ref="D58:O58" si="20">IFERROR(D56/D57,"")</f>
        <v>8.6505125888529807E-2</v>
      </c>
      <c r="E58" s="17">
        <f t="shared" si="20"/>
        <v>0.12494006476548297</v>
      </c>
      <c r="F58" s="17">
        <f t="shared" si="20"/>
        <v>0.13750045689472415</v>
      </c>
      <c r="G58" s="17">
        <f t="shared" si="20"/>
        <v>0.12579687607395698</v>
      </c>
      <c r="H58" s="17">
        <f t="shared" si="20"/>
        <v>0.11907414255603425</v>
      </c>
      <c r="I58" s="17">
        <f t="shared" si="20"/>
        <v>0.11368370833296293</v>
      </c>
      <c r="J58" s="17">
        <f t="shared" si="20"/>
        <v>0.11494176166494664</v>
      </c>
      <c r="K58" s="17">
        <f t="shared" si="20"/>
        <v>0.13856936136288067</v>
      </c>
      <c r="L58" s="17">
        <f t="shared" si="20"/>
        <v>0.13012455935658473</v>
      </c>
      <c r="M58" s="17" t="str">
        <f t="shared" si="20"/>
        <v/>
      </c>
      <c r="N58" s="17" t="str">
        <f t="shared" si="20"/>
        <v/>
      </c>
      <c r="O58" s="17" t="str">
        <f t="shared" si="20"/>
        <v/>
      </c>
      <c r="Q58" s="15" t="s">
        <v>21</v>
      </c>
      <c r="R58" s="38">
        <v>0.11799999999999999</v>
      </c>
      <c r="S58" s="38">
        <v>0.113</v>
      </c>
      <c r="T58" s="38">
        <v>0.123</v>
      </c>
      <c r="U58" s="38">
        <v>0.112</v>
      </c>
      <c r="V58" s="38">
        <v>0.13500000000000001</v>
      </c>
      <c r="W58" s="38">
        <v>0.153</v>
      </c>
      <c r="X58" s="38">
        <v>0.10299999999999999</v>
      </c>
      <c r="Y58" s="38">
        <v>0.11</v>
      </c>
      <c r="Z58" s="38">
        <v>0.11799999999999999</v>
      </c>
      <c r="AA58" s="38">
        <v>0.125</v>
      </c>
      <c r="AB58" s="38">
        <v>0.13400000000000001</v>
      </c>
      <c r="AC58" s="38">
        <v>0.11600000000000001</v>
      </c>
      <c r="AG58" s="167"/>
    </row>
    <row r="59" spans="2:46" x14ac:dyDescent="0.25">
      <c r="B59" s="283"/>
      <c r="C59" s="12" t="s">
        <v>22</v>
      </c>
      <c r="D59" s="18">
        <f t="shared" ref="D59:O59" si="21">IFERROR(D55/D56,"")</f>
        <v>221.16384417585155</v>
      </c>
      <c r="E59" s="18">
        <f t="shared" si="21"/>
        <v>188.2886841558016</v>
      </c>
      <c r="F59" s="18">
        <f t="shared" si="21"/>
        <v>210.23700761865268</v>
      </c>
      <c r="G59" s="18">
        <f t="shared" si="21"/>
        <v>169.28269617133654</v>
      </c>
      <c r="H59" s="18">
        <f t="shared" si="21"/>
        <v>216.87422118380061</v>
      </c>
      <c r="I59" s="18">
        <f t="shared" si="21"/>
        <v>235.11593182933876</v>
      </c>
      <c r="J59" s="18">
        <f t="shared" si="21"/>
        <v>132.26791219121083</v>
      </c>
      <c r="K59" s="18">
        <f t="shared" si="21"/>
        <v>138.42567706171673</v>
      </c>
      <c r="L59" s="18">
        <f t="shared" si="21"/>
        <v>163.1755413326953</v>
      </c>
      <c r="M59" s="18" t="str">
        <f t="shared" si="21"/>
        <v/>
      </c>
      <c r="N59" s="18" t="str">
        <f t="shared" si="21"/>
        <v/>
      </c>
      <c r="O59" s="18" t="str">
        <f t="shared" si="21"/>
        <v/>
      </c>
      <c r="Q59" s="15" t="s">
        <v>22</v>
      </c>
      <c r="R59" s="16">
        <v>239</v>
      </c>
      <c r="S59" s="16">
        <v>217</v>
      </c>
      <c r="T59" s="16">
        <v>234</v>
      </c>
      <c r="U59" s="16">
        <v>197</v>
      </c>
      <c r="V59" s="16">
        <v>272</v>
      </c>
      <c r="W59" s="16">
        <v>276</v>
      </c>
      <c r="X59" s="16">
        <v>199</v>
      </c>
      <c r="Y59" s="16">
        <v>209</v>
      </c>
      <c r="Z59" s="16">
        <v>226</v>
      </c>
      <c r="AA59" s="16">
        <v>314</v>
      </c>
      <c r="AB59" s="16">
        <v>291</v>
      </c>
      <c r="AC59" s="16">
        <v>254</v>
      </c>
      <c r="AG59" s="167"/>
    </row>
    <row r="60" spans="2:46" x14ac:dyDescent="0.25">
      <c r="B60" s="277" t="s">
        <v>24</v>
      </c>
      <c r="C60" s="12" t="s">
        <v>106</v>
      </c>
      <c r="D60" s="17">
        <f t="shared" ref="D60:O62" si="22">IFERROR(D55/R55-1,"")</f>
        <v>-0.41154173857457343</v>
      </c>
      <c r="E60" s="17">
        <f t="shared" si="22"/>
        <v>0.1540559527827785</v>
      </c>
      <c r="F60" s="17">
        <f t="shared" si="22"/>
        <v>-0.21245274086784827</v>
      </c>
      <c r="G60" s="17">
        <f t="shared" si="22"/>
        <v>-0.22516599991257336</v>
      </c>
      <c r="H60" s="17">
        <f t="shared" si="22"/>
        <v>-0.31319916961960936</v>
      </c>
      <c r="I60" s="17">
        <f t="shared" si="22"/>
        <v>-0.21520453304873377</v>
      </c>
      <c r="J60" s="17">
        <f t="shared" si="22"/>
        <v>-0.28946590542218675</v>
      </c>
      <c r="K60" s="17">
        <f t="shared" si="22"/>
        <v>-7.0378601401038909E-2</v>
      </c>
      <c r="L60" s="17">
        <f t="shared" si="22"/>
        <v>-0.27952216876034608</v>
      </c>
      <c r="M60" s="17" t="str">
        <f t="shared" si="22"/>
        <v/>
      </c>
      <c r="N60" s="17" t="str">
        <f t="shared" si="22"/>
        <v/>
      </c>
      <c r="O60" s="17" t="str">
        <f t="shared" si="22"/>
        <v/>
      </c>
      <c r="AG60" s="167"/>
    </row>
    <row r="61" spans="2:46" x14ac:dyDescent="0.25">
      <c r="B61" s="281"/>
      <c r="C61" s="12" t="s">
        <v>107</v>
      </c>
      <c r="D61" s="17">
        <f t="shared" si="22"/>
        <v>-0.36417654600193028</v>
      </c>
      <c r="E61" s="17">
        <f t="shared" si="22"/>
        <v>0.3295881091225954</v>
      </c>
      <c r="F61" s="17">
        <f t="shared" si="22"/>
        <v>-0.12296759814047176</v>
      </c>
      <c r="G61" s="17">
        <f t="shared" si="22"/>
        <v>-9.9320264922389212E-2</v>
      </c>
      <c r="H61" s="17">
        <f t="shared" si="22"/>
        <v>-0.13800505573743316</v>
      </c>
      <c r="I61" s="17">
        <f t="shared" si="22"/>
        <v>-7.8854064956061065E-2</v>
      </c>
      <c r="J61" s="17">
        <f t="shared" si="22"/>
        <v>6.7726437443266008E-2</v>
      </c>
      <c r="K61" s="17">
        <f t="shared" si="22"/>
        <v>0.40126209114062816</v>
      </c>
      <c r="L61" s="17">
        <f t="shared" si="22"/>
        <v>-2.0713079085759034E-3</v>
      </c>
      <c r="M61" s="17" t="str">
        <f t="shared" si="22"/>
        <v/>
      </c>
      <c r="N61" s="17" t="str">
        <f t="shared" si="22"/>
        <v/>
      </c>
      <c r="O61" s="17" t="str">
        <f t="shared" si="22"/>
        <v/>
      </c>
      <c r="AG61" s="167"/>
    </row>
    <row r="62" spans="2:46" x14ac:dyDescent="0.25">
      <c r="B62" s="281"/>
      <c r="C62" s="12" t="s">
        <v>108</v>
      </c>
      <c r="D62" s="17">
        <f t="shared" si="22"/>
        <v>-0.13378433436322279</v>
      </c>
      <c r="E62" s="17">
        <f t="shared" si="22"/>
        <v>0.20482319718231023</v>
      </c>
      <c r="F62" s="17">
        <f t="shared" si="22"/>
        <v>-0.21273478163782567</v>
      </c>
      <c r="G62" s="17">
        <f t="shared" si="22"/>
        <v>-0.19645236489829543</v>
      </c>
      <c r="H62" s="17">
        <f t="shared" si="22"/>
        <v>-2.1554196352556398E-2</v>
      </c>
      <c r="I62" s="17">
        <f t="shared" si="22"/>
        <v>0.238856542903503</v>
      </c>
      <c r="J62" s="17">
        <f t="shared" si="22"/>
        <v>-4.6938780145968195E-2</v>
      </c>
      <c r="K62" s="17">
        <f t="shared" si="22"/>
        <v>0.11387259146682682</v>
      </c>
      <c r="L62" s="17">
        <f t="shared" si="22"/>
        <v>-9.5301269552223844E-2</v>
      </c>
      <c r="M62" s="17" t="str">
        <f t="shared" si="22"/>
        <v/>
      </c>
      <c r="N62" s="17" t="str">
        <f t="shared" si="22"/>
        <v/>
      </c>
      <c r="O62" s="17" t="str">
        <f t="shared" si="22"/>
        <v/>
      </c>
      <c r="AG62" s="167"/>
    </row>
    <row r="63" spans="2:46" x14ac:dyDescent="0.25">
      <c r="B63" s="281"/>
      <c r="C63" s="12" t="s">
        <v>21</v>
      </c>
      <c r="D63" s="17">
        <f t="shared" ref="D63:O63" si="23">IFERROR(D58-R58,"")</f>
        <v>-3.1494874111470186E-2</v>
      </c>
      <c r="E63" s="17">
        <f t="shared" si="23"/>
        <v>1.1940064765482969E-2</v>
      </c>
      <c r="F63" s="17">
        <f t="shared" si="23"/>
        <v>1.4500456894724151E-2</v>
      </c>
      <c r="G63" s="17">
        <f t="shared" si="23"/>
        <v>1.3796876073956979E-2</v>
      </c>
      <c r="H63" s="17">
        <f t="shared" si="23"/>
        <v>-1.5925857443965755E-2</v>
      </c>
      <c r="I63" s="17">
        <f t="shared" si="23"/>
        <v>-3.9316291667037068E-2</v>
      </c>
      <c r="J63" s="17">
        <f t="shared" si="23"/>
        <v>1.1941761664946648E-2</v>
      </c>
      <c r="K63" s="17">
        <f t="shared" si="23"/>
        <v>2.8569361362880671E-2</v>
      </c>
      <c r="L63" s="17">
        <f t="shared" si="23"/>
        <v>1.2124559356584741E-2</v>
      </c>
      <c r="M63" s="17" t="str">
        <f t="shared" si="23"/>
        <v/>
      </c>
      <c r="N63" s="17" t="str">
        <f t="shared" si="23"/>
        <v/>
      </c>
      <c r="O63" s="17" t="str">
        <f t="shared" si="23"/>
        <v/>
      </c>
      <c r="AG63" s="167"/>
    </row>
    <row r="64" spans="2:46" x14ac:dyDescent="0.25">
      <c r="B64" s="283"/>
      <c r="C64" s="12" t="s">
        <v>22</v>
      </c>
      <c r="D64" s="17">
        <f t="shared" ref="D64:O64" si="24">IFERROR(D59/R59-1,"")</f>
        <v>-7.4628267046646268E-2</v>
      </c>
      <c r="E64" s="17">
        <f t="shared" si="24"/>
        <v>-0.13231021126358711</v>
      </c>
      <c r="F64" s="17">
        <f t="shared" si="24"/>
        <v>-0.10155124949293726</v>
      </c>
      <c r="G64" s="17">
        <f t="shared" si="24"/>
        <v>-0.14069697374956069</v>
      </c>
      <c r="H64" s="17">
        <f t="shared" si="24"/>
        <v>-0.20266830447132123</v>
      </c>
      <c r="I64" s="17">
        <f t="shared" si="24"/>
        <v>-0.14813068177775812</v>
      </c>
      <c r="J64" s="17">
        <f t="shared" si="24"/>
        <v>-0.33533712466728227</v>
      </c>
      <c r="K64" s="17">
        <f t="shared" si="24"/>
        <v>-0.33767618630757545</v>
      </c>
      <c r="L64" s="17">
        <f t="shared" si="24"/>
        <v>-0.27798433038630399</v>
      </c>
      <c r="M64" s="17" t="str">
        <f t="shared" si="24"/>
        <v/>
      </c>
      <c r="N64" s="17" t="str">
        <f t="shared" si="24"/>
        <v/>
      </c>
      <c r="O64" s="17" t="str">
        <f t="shared" si="24"/>
        <v/>
      </c>
      <c r="AG64" s="167"/>
    </row>
    <row r="66" spans="2:29" s="5" customFormat="1" ht="23.5" customHeight="1" x14ac:dyDescent="0.25">
      <c r="B66" s="270" t="s">
        <v>381</v>
      </c>
      <c r="C66" s="271"/>
      <c r="D66" s="271"/>
      <c r="E66" s="271"/>
      <c r="F66" s="271"/>
      <c r="N66" s="6"/>
      <c r="O66" s="6"/>
      <c r="P66" s="6"/>
    </row>
    <row r="68" spans="2:29" ht="16.25" customHeight="1" x14ac:dyDescent="0.25">
      <c r="B68" s="272" t="s">
        <v>382</v>
      </c>
      <c r="C68" s="273"/>
      <c r="D68" s="273"/>
      <c r="E68" s="273"/>
      <c r="F68" s="273"/>
      <c r="G68" s="273"/>
      <c r="H68" s="273"/>
      <c r="I68" s="273"/>
      <c r="J68" s="273"/>
      <c r="K68" s="273"/>
      <c r="L68" s="273"/>
      <c r="M68" s="273"/>
      <c r="N68" s="273"/>
      <c r="O68" s="274"/>
      <c r="Q68" s="299" t="s">
        <v>383</v>
      </c>
      <c r="R68" s="273"/>
      <c r="S68" s="273"/>
      <c r="T68" s="273"/>
      <c r="U68" s="273"/>
      <c r="V68" s="273"/>
      <c r="W68" s="273"/>
      <c r="X68" s="273"/>
      <c r="Y68" s="273"/>
      <c r="Z68" s="273"/>
      <c r="AA68" s="273"/>
      <c r="AB68" s="273"/>
      <c r="AC68" s="274"/>
    </row>
    <row r="69" spans="2:29" ht="16.25" customHeight="1" x14ac:dyDescent="0.25">
      <c r="B69" s="10"/>
      <c r="C69" s="10"/>
      <c r="D69" s="30">
        <v>2023.01</v>
      </c>
      <c r="E69" s="30">
        <v>2023.02</v>
      </c>
      <c r="F69" s="30">
        <v>2023.03</v>
      </c>
      <c r="G69" s="30">
        <v>2023.04</v>
      </c>
      <c r="H69" s="30">
        <v>2023.05</v>
      </c>
      <c r="I69" s="30">
        <v>2023.06</v>
      </c>
      <c r="J69" s="30">
        <v>2023.07</v>
      </c>
      <c r="K69" s="30">
        <v>2023.08</v>
      </c>
      <c r="L69" s="30">
        <v>2023.09</v>
      </c>
      <c r="M69" s="30">
        <v>2023.1</v>
      </c>
      <c r="N69" s="30">
        <v>2023.11</v>
      </c>
      <c r="O69" s="30">
        <v>2023.12</v>
      </c>
      <c r="Q69" s="11"/>
      <c r="R69" s="194">
        <v>2022.01</v>
      </c>
      <c r="S69" s="194">
        <v>2022.02</v>
      </c>
      <c r="T69" s="194">
        <v>2022.03</v>
      </c>
      <c r="U69" s="194">
        <v>2022.04</v>
      </c>
      <c r="V69" s="194">
        <v>2022.05</v>
      </c>
      <c r="W69" s="194">
        <v>2022.06</v>
      </c>
      <c r="X69" s="194">
        <v>2022.07</v>
      </c>
      <c r="Y69" s="194">
        <v>2022.08</v>
      </c>
      <c r="Z69" s="194">
        <v>2022.09</v>
      </c>
      <c r="AA69" s="194" t="s">
        <v>369</v>
      </c>
      <c r="AB69" s="194">
        <v>2022.11</v>
      </c>
      <c r="AC69" s="194">
        <v>2022.12</v>
      </c>
    </row>
    <row r="70" spans="2:29" x14ac:dyDescent="0.25">
      <c r="B70" s="277" t="s">
        <v>16</v>
      </c>
      <c r="C70" s="12" t="s">
        <v>112</v>
      </c>
      <c r="D70" s="16">
        <f>IFERROR(VLOOKUP("胶囊咖啡"&amp;"-"&amp;D6,dat_nespresso_mkt_overview!$C:$AB,17,0),"")</f>
        <v>5568862</v>
      </c>
      <c r="E70" s="16">
        <f>IFERROR(VLOOKUP("胶囊咖啡"&amp;"-"&amp;E6,dat_nespresso_mkt_overview!$C:$AB,17,0),"")</f>
        <v>6946246</v>
      </c>
      <c r="F70" s="16">
        <f>IFERROR(VLOOKUP("胶囊咖啡"&amp;"-"&amp;F6,dat_nespresso_mkt_overview!$C:$AB,17,0),"")</f>
        <v>15667759</v>
      </c>
      <c r="G70" s="16">
        <f>IFERROR(VLOOKUP("胶囊咖啡"&amp;"-"&amp;G6,dat_nespresso_mkt_overview!$C:$AB,17,0),"")</f>
        <v>7457398</v>
      </c>
      <c r="H70" s="16">
        <f>IFERROR(VLOOKUP("胶囊咖啡"&amp;"-"&amp;H6,dat_nespresso_mkt_overview!$C:$AB,17,0),"")</f>
        <v>19120756</v>
      </c>
      <c r="I70" s="16">
        <f>IFERROR(VLOOKUP("胶囊咖啡"&amp;"-"&amp;I6,dat_nespresso_mkt_overview!$C:$AB,17,0),"")</f>
        <v>23595396</v>
      </c>
      <c r="J70" s="16">
        <f>IFERROR(VLOOKUP("胶囊咖啡"&amp;"-"&amp;J6,dat_nespresso_mkt_overview!$C:$AB,17,0),"")</f>
        <v>5236567</v>
      </c>
      <c r="K70" s="16">
        <f>IFERROR(VLOOKUP("胶囊咖啡"&amp;"-"&amp;K6,dat_nespresso_mkt_overview!$C:$AB,17,0),"")</f>
        <v>8220867</v>
      </c>
      <c r="L70" s="16">
        <f>IFERROR(VLOOKUP("胶囊咖啡"&amp;"-"&amp;L6,dat_nespresso_mkt_overview!$C:$AB,17,0),"")</f>
        <v>8910257</v>
      </c>
      <c r="M70" s="16" t="str">
        <f>IFERROR(VLOOKUP("胶囊咖啡"&amp;"-"&amp;M6,dat_nespresso_mkt_overview!$C:$AB,17,0),"")</f>
        <v/>
      </c>
      <c r="N70" s="16" t="str">
        <f>IFERROR(VLOOKUP("胶囊咖啡"&amp;"-"&amp;N6,dat_nespresso_mkt_overview!$C:$AB,17,0),"")</f>
        <v/>
      </c>
      <c r="O70" s="16">
        <v>6283862</v>
      </c>
      <c r="Q70" s="15" t="s">
        <v>112</v>
      </c>
      <c r="R70" s="16">
        <v>10327853</v>
      </c>
      <c r="S70" s="16">
        <v>8387275</v>
      </c>
      <c r="T70" s="16">
        <v>19940039</v>
      </c>
      <c r="U70" s="16">
        <v>9312276</v>
      </c>
      <c r="V70" s="16">
        <v>27342919</v>
      </c>
      <c r="W70" s="16">
        <v>27889765</v>
      </c>
      <c r="X70" s="16">
        <v>7616213</v>
      </c>
      <c r="Y70" s="16">
        <v>8476618</v>
      </c>
      <c r="Z70" s="16">
        <v>14232303</v>
      </c>
      <c r="AA70" s="16">
        <v>35445962</v>
      </c>
      <c r="AB70" s="16">
        <v>32675839</v>
      </c>
      <c r="AC70" s="16">
        <v>14210983</v>
      </c>
    </row>
    <row r="71" spans="2:29" x14ac:dyDescent="0.25">
      <c r="B71" s="281"/>
      <c r="C71" s="12" t="s">
        <v>113</v>
      </c>
      <c r="D71" s="16">
        <f>IFERROR(VLOOKUP("胶囊咖啡"&amp;"-"&amp;D6,dat_nespresso_mkt_overview!$C:$AB,22,0),"")</f>
        <v>4467706</v>
      </c>
      <c r="E71" s="16">
        <f>IFERROR(VLOOKUP("胶囊咖啡"&amp;"-"&amp;E6,dat_nespresso_mkt_overview!$C:$AB,22,0),"")</f>
        <v>5624427</v>
      </c>
      <c r="F71" s="16">
        <f>IFERROR(VLOOKUP("胶囊咖啡"&amp;"-"&amp;F6,dat_nespresso_mkt_overview!$C:$AB,22,0),"")</f>
        <v>6915587</v>
      </c>
      <c r="G71" s="16">
        <f>IFERROR(VLOOKUP("胶囊咖啡"&amp;"-"&amp;G6,dat_nespresso_mkt_overview!$C:$AB,22,0),"")</f>
        <v>6816093</v>
      </c>
      <c r="H71" s="16">
        <f>IFERROR(VLOOKUP("胶囊咖啡"&amp;"-"&amp;H6,dat_nespresso_mkt_overview!$C:$AB,22,0),"")</f>
        <v>7336126</v>
      </c>
      <c r="I71" s="16">
        <f>IFERROR(VLOOKUP("胶囊咖啡"&amp;"-"&amp;I6,dat_nespresso_mkt_overview!$C:$AB,22,0),"")</f>
        <v>10540679</v>
      </c>
      <c r="J71" s="16">
        <f>IFERROR(VLOOKUP("胶囊咖啡"&amp;"-"&amp;J6,dat_nespresso_mkt_overview!$C:$AB,22,0),"")</f>
        <v>3941574</v>
      </c>
      <c r="K71" s="16">
        <f>IFERROR(VLOOKUP("胶囊咖啡"&amp;"-"&amp;K6,dat_nespresso_mkt_overview!$C:$AB,22,0),"")</f>
        <v>5408924</v>
      </c>
      <c r="L71" s="16">
        <f>IFERROR(VLOOKUP("胶囊咖啡"&amp;"-"&amp;L6,dat_nespresso_mkt_overview!$C:$AB,22,0),"")</f>
        <v>5291538</v>
      </c>
      <c r="M71" s="16" t="str">
        <f>IFERROR(VLOOKUP("胶囊咖啡"&amp;"-"&amp;M6,dat_nespresso_mkt_overview!$C:$AB,22,0),"")</f>
        <v/>
      </c>
      <c r="N71" s="16" t="str">
        <f>IFERROR(VLOOKUP("胶囊咖啡"&amp;"-"&amp;N6,dat_nespresso_mkt_overview!$C:$AB,22,0),"")</f>
        <v/>
      </c>
      <c r="O71" s="16">
        <v>4454395</v>
      </c>
      <c r="Q71" s="15" t="s">
        <v>113</v>
      </c>
      <c r="R71" s="16">
        <v>6971316</v>
      </c>
      <c r="S71" s="16">
        <v>4592960</v>
      </c>
      <c r="T71" s="16">
        <v>8381916</v>
      </c>
      <c r="U71" s="16">
        <v>8907352</v>
      </c>
      <c r="V71" s="16">
        <v>11409477</v>
      </c>
      <c r="W71" s="16">
        <v>12702053</v>
      </c>
      <c r="X71" s="16">
        <v>5096189</v>
      </c>
      <c r="Y71" s="16">
        <v>6422622</v>
      </c>
      <c r="Z71" s="16">
        <v>6606298</v>
      </c>
      <c r="AA71" s="16">
        <v>12118360</v>
      </c>
      <c r="AB71" s="16">
        <v>12145050</v>
      </c>
      <c r="AC71" s="16">
        <v>7327821</v>
      </c>
    </row>
    <row r="72" spans="2:29" x14ac:dyDescent="0.25">
      <c r="B72" s="281"/>
      <c r="C72" s="12" t="s">
        <v>384</v>
      </c>
      <c r="D72" s="16">
        <f>IFERROR(VLOOKUP("胶囊咖啡"&amp;"-"&amp;D6,dat_nespresso_mkt_overview!$C:$AB,24,0),"")</f>
        <v>7270051</v>
      </c>
      <c r="E72" s="16">
        <f>IFERROR(VLOOKUP("胶囊咖啡"&amp;"-"&amp;E6,dat_nespresso_mkt_overview!$C:$AB,24,0),"")</f>
        <v>13883876</v>
      </c>
      <c r="F72" s="16">
        <f>IFERROR(VLOOKUP("胶囊咖啡"&amp;"-"&amp;F6,dat_nespresso_mkt_overview!$C:$AB,24,0),"")</f>
        <v>13350921</v>
      </c>
      <c r="G72" s="16">
        <f>IFERROR(VLOOKUP("胶囊咖啡"&amp;"-"&amp;G6,dat_nespresso_mkt_overview!$C:$AB,24,0),"")</f>
        <v>12052769</v>
      </c>
      <c r="H72" s="16">
        <f>IFERROR(VLOOKUP("胶囊咖啡"&amp;"-"&amp;H6,dat_nespresso_mkt_overview!$C:$AB,24,0),"")</f>
        <v>14842204</v>
      </c>
      <c r="I72" s="16">
        <f>IFERROR(VLOOKUP("胶囊咖啡"&amp;"-"&amp;I6,dat_nespresso_mkt_overview!$C:$AB,24,0),"")</f>
        <v>16029396</v>
      </c>
      <c r="J72" s="16">
        <f>IFERROR(VLOOKUP("胶囊咖啡"&amp;"-"&amp;J6,dat_nespresso_mkt_overview!$C:$AB,24,0),"")</f>
        <v>7529057</v>
      </c>
      <c r="K72" s="16">
        <f>IFERROR(VLOOKUP("胶囊咖啡"&amp;"-"&amp;K6,dat_nespresso_mkt_overview!$C:$AB,24,0),"")</f>
        <v>12239036</v>
      </c>
      <c r="L72" s="16">
        <f>IFERROR(VLOOKUP("胶囊咖啡"&amp;"-"&amp;L6,dat_nespresso_mkt_overview!$C:$AB,24,0),"")</f>
        <v>10040886</v>
      </c>
      <c r="M72" s="16" t="str">
        <f>IFERROR(VLOOKUP("胶囊咖啡"&amp;"-"&amp;M6,dat_nespresso_mkt_overview!$C:$AB,24,0),"")</f>
        <v/>
      </c>
      <c r="N72" s="16" t="str">
        <f>IFERROR(VLOOKUP("胶囊咖啡"&amp;"-"&amp;N6,dat_nespresso_mkt_overview!$C:$AB,24,0),"")</f>
        <v/>
      </c>
      <c r="O72" s="16">
        <v>11005256</v>
      </c>
      <c r="Q72" s="15" t="s">
        <v>384</v>
      </c>
      <c r="R72" s="16">
        <v>11755297</v>
      </c>
      <c r="S72" s="16">
        <v>9269499</v>
      </c>
      <c r="T72" s="16">
        <v>16348105</v>
      </c>
      <c r="U72" s="16">
        <v>15704335</v>
      </c>
      <c r="V72" s="16">
        <v>21430007</v>
      </c>
      <c r="W72" s="16">
        <v>22229236</v>
      </c>
      <c r="X72" s="16">
        <v>10035734</v>
      </c>
      <c r="Y72" s="16">
        <v>12290350</v>
      </c>
      <c r="Z72" s="16">
        <v>12790798</v>
      </c>
      <c r="AA72" s="16">
        <v>23859962</v>
      </c>
      <c r="AB72" s="16">
        <v>23099338</v>
      </c>
      <c r="AC72" s="16">
        <v>12747585</v>
      </c>
    </row>
    <row r="73" spans="2:29" x14ac:dyDescent="0.25">
      <c r="B73" s="281"/>
      <c r="C73" s="12" t="s">
        <v>116</v>
      </c>
      <c r="D73" s="16">
        <f>IFERROR(VLOOKUP("胶囊咖啡"&amp;"-"&amp;D6,dat_nespresso_mkt_overview!$C:$AB,26,0),"")</f>
        <v>1010134</v>
      </c>
      <c r="E73" s="16">
        <f>IFERROR(VLOOKUP("胶囊咖啡"&amp;"-"&amp;E6,dat_nespresso_mkt_overview!$C:$AB,26,0),"")</f>
        <v>1641462</v>
      </c>
      <c r="F73" s="16">
        <f>IFERROR(VLOOKUP("胶囊咖啡"&amp;"-"&amp;F6,dat_nespresso_mkt_overview!$C:$AB,26,0),"")</f>
        <v>1605971</v>
      </c>
      <c r="G73" s="16">
        <f>IFERROR(VLOOKUP("胶囊咖啡"&amp;"-"&amp;G6,dat_nespresso_mkt_overview!$C:$AB,26,0),"")</f>
        <v>1517028</v>
      </c>
      <c r="H73" s="16">
        <f>IFERROR(VLOOKUP("胶囊咖啡"&amp;"-"&amp;H6,dat_nespresso_mkt_overview!$C:$AB,26,0),"")</f>
        <v>1886627</v>
      </c>
      <c r="I73" s="16">
        <f>IFERROR(VLOOKUP("胶囊咖啡"&amp;"-"&amp;I6,dat_nespresso_mkt_overview!$C:$AB,26,0),"")</f>
        <v>1903390</v>
      </c>
      <c r="J73" s="16">
        <f>IFERROR(VLOOKUP("胶囊咖啡"&amp;"-"&amp;J6,dat_nespresso_mkt_overview!$C:$AB,26,0),"")</f>
        <v>1100591</v>
      </c>
      <c r="K73" s="16">
        <f>IFERROR(VLOOKUP("胶囊咖啡"&amp;"-"&amp;K6,dat_nespresso_mkt_overview!$C:$AB,26,0),"")</f>
        <v>1489594</v>
      </c>
      <c r="L73" s="16">
        <f>IFERROR(VLOOKUP("胶囊咖啡"&amp;"-"&amp;L6,dat_nespresso_mkt_overview!$C:$AB,26,0),"")</f>
        <v>1503017</v>
      </c>
      <c r="M73" s="16" t="str">
        <f>IFERROR(VLOOKUP("胶囊咖啡"&amp;"-"&amp;M6,dat_nespresso_mkt_overview!$C:$AB,26,0),"")</f>
        <v/>
      </c>
      <c r="N73" s="16" t="str">
        <f>IFERROR(VLOOKUP("胶囊咖啡"&amp;"-"&amp;N6,dat_nespresso_mkt_overview!$C:$AB,26,0),"")</f>
        <v/>
      </c>
      <c r="O73" s="16">
        <v>2311611</v>
      </c>
      <c r="Q73" s="15" t="s">
        <v>116</v>
      </c>
      <c r="R73" s="16">
        <v>2225674</v>
      </c>
      <c r="S73" s="16">
        <v>2056712</v>
      </c>
      <c r="T73" s="16">
        <v>2945941</v>
      </c>
      <c r="U73" s="16">
        <v>2176635</v>
      </c>
      <c r="V73" s="16">
        <v>2888992</v>
      </c>
      <c r="W73" s="16">
        <v>3092090</v>
      </c>
      <c r="X73" s="16">
        <v>1749472</v>
      </c>
      <c r="Y73" s="16">
        <v>1872907</v>
      </c>
      <c r="Z73" s="16">
        <v>1884567</v>
      </c>
      <c r="AA73" s="16">
        <v>2163861</v>
      </c>
      <c r="AB73" s="16">
        <v>2774428</v>
      </c>
      <c r="AC73" s="16">
        <v>1828168</v>
      </c>
    </row>
    <row r="74" spans="2:29" x14ac:dyDescent="0.25">
      <c r="B74" s="283"/>
      <c r="C74" s="12" t="s">
        <v>117</v>
      </c>
      <c r="D74" s="19">
        <f t="shared" ref="D74:N74" si="25">IFERROR(D55-SUM(D70:D73),"")</f>
        <v>1207370</v>
      </c>
      <c r="E74" s="19">
        <f t="shared" si="25"/>
        <v>1783332</v>
      </c>
      <c r="F74" s="19">
        <f t="shared" si="25"/>
        <v>2003451</v>
      </c>
      <c r="G74" s="19">
        <f t="shared" si="25"/>
        <v>1899851</v>
      </c>
      <c r="H74" s="19">
        <f t="shared" si="25"/>
        <v>1925860</v>
      </c>
      <c r="I74" s="19">
        <f t="shared" si="25"/>
        <v>2051770</v>
      </c>
      <c r="J74" s="19">
        <f t="shared" si="25"/>
        <v>1328468</v>
      </c>
      <c r="K74" s="19">
        <f t="shared" si="25"/>
        <v>1658231</v>
      </c>
      <c r="L74" s="19">
        <f t="shared" si="25"/>
        <v>1533989</v>
      </c>
      <c r="M74" s="19" t="str">
        <f t="shared" si="25"/>
        <v/>
      </c>
      <c r="N74" s="19" t="str">
        <f t="shared" si="25"/>
        <v/>
      </c>
      <c r="O74" s="19">
        <f>SUM(dat_nespresso_mkt_rk_brand!G62:G101)</f>
        <v>4036568</v>
      </c>
      <c r="Q74" s="15" t="s">
        <v>117</v>
      </c>
      <c r="R74" s="19">
        <f>R55-SUM(R70:R73)</f>
        <v>1898293</v>
      </c>
      <c r="S74" s="19">
        <f>X55-SUM(S70:S73)</f>
        <v>2625769</v>
      </c>
      <c r="T74" s="19">
        <v>2595211</v>
      </c>
      <c r="U74" s="19">
        <v>-9168386</v>
      </c>
      <c r="V74" s="19">
        <f t="shared" ref="V74:AC74" si="26">V55-SUM(V70:V73)</f>
        <v>2612237</v>
      </c>
      <c r="W74" s="19">
        <f t="shared" si="26"/>
        <v>3048303</v>
      </c>
      <c r="X74" s="19">
        <f t="shared" si="26"/>
        <v>2434607</v>
      </c>
      <c r="Y74" s="19">
        <f t="shared" si="26"/>
        <v>2150911</v>
      </c>
      <c r="Z74" s="19">
        <f t="shared" si="26"/>
        <v>2349360</v>
      </c>
      <c r="AA74" s="19">
        <f t="shared" si="26"/>
        <v>2992224</v>
      </c>
      <c r="AB74" s="19">
        <f t="shared" si="26"/>
        <v>2763564</v>
      </c>
      <c r="AC74" s="19">
        <f t="shared" si="26"/>
        <v>2276248</v>
      </c>
    </row>
    <row r="75" spans="2:29" x14ac:dyDescent="0.25">
      <c r="B75" s="277" t="s">
        <v>33</v>
      </c>
      <c r="C75" s="12" t="s">
        <v>112</v>
      </c>
      <c r="D75" s="33">
        <f t="shared" ref="D75:O75" si="27">IFERROR(D70/D$55,"")</f>
        <v>0.28522981544420717</v>
      </c>
      <c r="E75" s="33">
        <f t="shared" si="27"/>
        <v>0.23247653069212398</v>
      </c>
      <c r="F75" s="33">
        <f t="shared" si="27"/>
        <v>0.39621389395410228</v>
      </c>
      <c r="G75" s="33">
        <f t="shared" si="27"/>
        <v>0.25072666338277205</v>
      </c>
      <c r="H75" s="33">
        <f t="shared" si="27"/>
        <v>0.423854783339078</v>
      </c>
      <c r="I75" s="33">
        <f t="shared" si="27"/>
        <v>0.43597784364339731</v>
      </c>
      <c r="J75" s="33">
        <f t="shared" si="27"/>
        <v>0.27364635623361455</v>
      </c>
      <c r="K75" s="33">
        <f t="shared" si="27"/>
        <v>0.28331549070513029</v>
      </c>
      <c r="L75" s="33">
        <f t="shared" si="27"/>
        <v>0.32662607162611507</v>
      </c>
      <c r="M75" s="33" t="str">
        <f t="shared" si="27"/>
        <v/>
      </c>
      <c r="N75" s="33" t="str">
        <f t="shared" si="27"/>
        <v/>
      </c>
      <c r="O75" s="33" t="str">
        <f t="shared" si="27"/>
        <v/>
      </c>
      <c r="Q75" s="14"/>
      <c r="R75" s="14"/>
      <c r="S75" s="14"/>
      <c r="T75" s="14"/>
      <c r="U75" s="14"/>
      <c r="V75" s="14"/>
      <c r="W75" s="14"/>
      <c r="X75" s="14"/>
      <c r="Y75" s="14"/>
      <c r="Z75" s="14"/>
      <c r="AA75" s="14"/>
      <c r="AB75" s="14"/>
    </row>
    <row r="76" spans="2:29" x14ac:dyDescent="0.25">
      <c r="B76" s="281"/>
      <c r="C76" s="12" t="s">
        <v>113</v>
      </c>
      <c r="D76" s="33">
        <f t="shared" ref="D76:O76" si="28">IFERROR(D71/D$55,"")</f>
        <v>0.2288300478336466</v>
      </c>
      <c r="E76" s="33">
        <f t="shared" si="28"/>
        <v>0.18823797430887285</v>
      </c>
      <c r="F76" s="33">
        <f t="shared" si="28"/>
        <v>0.17488472054289117</v>
      </c>
      <c r="G76" s="33">
        <f t="shared" si="28"/>
        <v>0.22916522025466107</v>
      </c>
      <c r="H76" s="33">
        <f t="shared" si="28"/>
        <v>0.16262181768744796</v>
      </c>
      <c r="I76" s="33">
        <f t="shared" si="28"/>
        <v>0.19476267747136947</v>
      </c>
      <c r="J76" s="33">
        <f t="shared" si="28"/>
        <v>0.20597413590337965</v>
      </c>
      <c r="K76" s="33">
        <f t="shared" si="28"/>
        <v>0.18640758416925565</v>
      </c>
      <c r="L76" s="33">
        <f t="shared" si="28"/>
        <v>0.19397355988725237</v>
      </c>
      <c r="M76" s="33" t="str">
        <f t="shared" si="28"/>
        <v/>
      </c>
      <c r="N76" s="33" t="str">
        <f t="shared" si="28"/>
        <v/>
      </c>
      <c r="O76" s="33" t="str">
        <f t="shared" si="28"/>
        <v/>
      </c>
      <c r="Q76" s="14"/>
      <c r="R76" s="14"/>
      <c r="S76" s="14"/>
      <c r="T76" s="14"/>
      <c r="U76" s="14"/>
      <c r="V76" s="14"/>
      <c r="W76" s="14"/>
      <c r="X76" s="14"/>
      <c r="Y76" s="14"/>
      <c r="Z76" s="14"/>
      <c r="AA76" s="14"/>
      <c r="AB76" s="14"/>
    </row>
    <row r="77" spans="2:29" x14ac:dyDescent="0.25">
      <c r="B77" s="281"/>
      <c r="C77" s="12" t="s">
        <v>115</v>
      </c>
      <c r="D77" s="33">
        <f t="shared" ref="D77:O77" si="29">IFERROR(D72/D$55,"")</f>
        <v>0.37236248716523657</v>
      </c>
      <c r="E77" s="33">
        <f t="shared" si="29"/>
        <v>0.464664701630153</v>
      </c>
      <c r="F77" s="33">
        <f t="shared" si="29"/>
        <v>0.33762457013052072</v>
      </c>
      <c r="G77" s="33">
        <f t="shared" si="29"/>
        <v>0.40522854699364447</v>
      </c>
      <c r="H77" s="33">
        <f t="shared" si="29"/>
        <v>0.32901100566810204</v>
      </c>
      <c r="I77" s="33">
        <f t="shared" si="29"/>
        <v>0.29617903013732416</v>
      </c>
      <c r="J77" s="33">
        <f t="shared" si="29"/>
        <v>0.39344460100008061</v>
      </c>
      <c r="K77" s="33">
        <f t="shared" si="29"/>
        <v>0.42179352738558534</v>
      </c>
      <c r="L77" s="33">
        <f t="shared" si="29"/>
        <v>0.36807189173394839</v>
      </c>
      <c r="M77" s="33" t="str">
        <f t="shared" si="29"/>
        <v/>
      </c>
      <c r="N77" s="33" t="str">
        <f t="shared" si="29"/>
        <v/>
      </c>
      <c r="O77" s="33" t="str">
        <f t="shared" si="29"/>
        <v/>
      </c>
      <c r="Q77" s="14"/>
      <c r="R77" s="14"/>
      <c r="S77" s="14"/>
      <c r="T77" s="14"/>
      <c r="U77" s="14"/>
      <c r="V77" s="14"/>
      <c r="W77" s="14"/>
      <c r="X77" s="14"/>
      <c r="Y77" s="14"/>
      <c r="Z77" s="14"/>
      <c r="AA77" s="14"/>
      <c r="AB77" s="14"/>
    </row>
    <row r="78" spans="2:29" x14ac:dyDescent="0.25">
      <c r="B78" s="281"/>
      <c r="C78" s="12" t="s">
        <v>116</v>
      </c>
      <c r="D78" s="33">
        <f t="shared" ref="D78:O78" si="30">IFERROR(D73/D$55,"")</f>
        <v>5.1737740025505886E-2</v>
      </c>
      <c r="E78" s="33">
        <f t="shared" si="30"/>
        <v>5.4936348500032282E-2</v>
      </c>
      <c r="F78" s="33">
        <f t="shared" si="30"/>
        <v>4.0612574107590213E-2</v>
      </c>
      <c r="G78" s="33">
        <f t="shared" si="30"/>
        <v>5.1004300521205914E-2</v>
      </c>
      <c r="H78" s="33">
        <f t="shared" si="30"/>
        <v>4.1821352582850524E-2</v>
      </c>
      <c r="I78" s="33">
        <f t="shared" si="30"/>
        <v>3.5169397784737579E-2</v>
      </c>
      <c r="J78" s="33">
        <f t="shared" si="30"/>
        <v>5.7513389373898979E-2</v>
      </c>
      <c r="K78" s="33">
        <f t="shared" si="30"/>
        <v>5.1335832955504306E-2</v>
      </c>
      <c r="L78" s="33">
        <f t="shared" si="30"/>
        <v>5.5096563241359774E-2</v>
      </c>
      <c r="M78" s="33" t="str">
        <f t="shared" si="30"/>
        <v/>
      </c>
      <c r="N78" s="33" t="str">
        <f t="shared" si="30"/>
        <v/>
      </c>
      <c r="O78" s="33" t="str">
        <f t="shared" si="30"/>
        <v/>
      </c>
      <c r="Q78" s="14"/>
      <c r="R78" s="14"/>
      <c r="S78" s="14"/>
      <c r="T78" s="14"/>
      <c r="U78" s="14"/>
      <c r="V78" s="14"/>
      <c r="W78" s="14"/>
      <c r="X78" s="14"/>
      <c r="Y78" s="14"/>
      <c r="Z78" s="14"/>
      <c r="AA78" s="14"/>
      <c r="AB78" s="14"/>
    </row>
    <row r="79" spans="2:29" x14ac:dyDescent="0.25">
      <c r="B79" s="283"/>
      <c r="C79" s="12" t="s">
        <v>117</v>
      </c>
      <c r="D79" s="33">
        <f t="shared" ref="D79:O79" si="31">IFERROR(D74/D$55,"")</f>
        <v>6.1839909531403794E-2</v>
      </c>
      <c r="E79" s="33">
        <f t="shared" si="31"/>
        <v>5.9684444868817896E-2</v>
      </c>
      <c r="F79" s="33">
        <f t="shared" si="31"/>
        <v>5.0664241264895646E-2</v>
      </c>
      <c r="G79" s="33">
        <f t="shared" si="31"/>
        <v>6.3875268847716438E-2</v>
      </c>
      <c r="H79" s="33">
        <f t="shared" si="31"/>
        <v>4.2691040722521466E-2</v>
      </c>
      <c r="I79" s="33">
        <f t="shared" si="31"/>
        <v>3.791105096317151E-2</v>
      </c>
      <c r="J79" s="33">
        <f t="shared" si="31"/>
        <v>6.9421517489026197E-2</v>
      </c>
      <c r="K79" s="33">
        <f t="shared" si="31"/>
        <v>5.7147564784524416E-2</v>
      </c>
      <c r="L79" s="33">
        <f t="shared" si="31"/>
        <v>5.623191351132438E-2</v>
      </c>
      <c r="M79" s="33" t="str">
        <f t="shared" si="31"/>
        <v/>
      </c>
      <c r="N79" s="33" t="str">
        <f t="shared" si="31"/>
        <v/>
      </c>
      <c r="O79" s="33" t="str">
        <f t="shared" si="31"/>
        <v/>
      </c>
      <c r="Q79" s="14"/>
      <c r="R79" s="14"/>
      <c r="S79" s="14"/>
      <c r="T79" s="14"/>
      <c r="U79" s="14"/>
      <c r="V79" s="14"/>
      <c r="W79" s="14"/>
      <c r="X79" s="14"/>
      <c r="Y79" s="14"/>
      <c r="Z79" s="14"/>
      <c r="AA79" s="14"/>
      <c r="AB79" s="14"/>
    </row>
    <row r="81" spans="2:16" ht="16.25" customHeight="1" x14ac:dyDescent="0.25">
      <c r="B81" s="272" t="s">
        <v>385</v>
      </c>
      <c r="C81" s="273"/>
      <c r="D81" s="273"/>
      <c r="E81" s="273"/>
      <c r="F81" s="273"/>
      <c r="G81" s="273"/>
      <c r="H81" s="273"/>
      <c r="I81" s="273"/>
      <c r="J81" s="273"/>
      <c r="K81" s="273"/>
      <c r="L81" s="273"/>
      <c r="M81" s="273"/>
      <c r="N81" s="273"/>
      <c r="O81" s="274"/>
    </row>
    <row r="82" spans="2:16" ht="16.25" customHeight="1" x14ac:dyDescent="0.25">
      <c r="B82" s="10"/>
      <c r="C82" s="10"/>
      <c r="D82" s="30">
        <v>2023.01</v>
      </c>
      <c r="E82" s="30">
        <v>2023.02</v>
      </c>
      <c r="F82" s="30">
        <v>2023.03</v>
      </c>
      <c r="G82" s="30">
        <v>2023.04</v>
      </c>
      <c r="H82" s="30">
        <v>2023.05</v>
      </c>
      <c r="I82" s="30">
        <v>2023.06</v>
      </c>
      <c r="J82" s="30">
        <v>2023.07</v>
      </c>
      <c r="K82" s="30">
        <v>2023.08</v>
      </c>
      <c r="L82" s="30">
        <v>2023.09</v>
      </c>
      <c r="M82" s="30">
        <v>2023.1</v>
      </c>
      <c r="N82" s="30">
        <v>2023.11</v>
      </c>
      <c r="O82" s="30">
        <v>2023.12</v>
      </c>
    </row>
    <row r="83" spans="2:16" x14ac:dyDescent="0.25">
      <c r="B83" s="276" t="s">
        <v>386</v>
      </c>
      <c r="C83" s="12" t="s">
        <v>120</v>
      </c>
      <c r="D83" s="33">
        <f t="shared" ref="D83:O83" si="32">IFERROR(SUM(D70:D71)/D$55,"")</f>
        <v>0.5140598632778538</v>
      </c>
      <c r="E83" s="33">
        <f t="shared" si="32"/>
        <v>0.42071450500099683</v>
      </c>
      <c r="F83" s="33">
        <f t="shared" si="32"/>
        <v>0.5710986144969934</v>
      </c>
      <c r="G83" s="33">
        <f t="shared" si="32"/>
        <v>0.47989188363743318</v>
      </c>
      <c r="H83" s="33">
        <f t="shared" si="32"/>
        <v>0.58647660102652599</v>
      </c>
      <c r="I83" s="33">
        <f t="shared" si="32"/>
        <v>0.63074052111476675</v>
      </c>
      <c r="J83" s="33">
        <f t="shared" si="32"/>
        <v>0.4796204921369942</v>
      </c>
      <c r="K83" s="33">
        <f t="shared" si="32"/>
        <v>0.46972307487438592</v>
      </c>
      <c r="L83" s="33">
        <f t="shared" si="32"/>
        <v>0.52059963151336741</v>
      </c>
      <c r="M83" s="33" t="str">
        <f t="shared" si="32"/>
        <v/>
      </c>
      <c r="N83" s="33" t="str">
        <f t="shared" si="32"/>
        <v/>
      </c>
      <c r="O83" s="33" t="str">
        <f t="shared" si="32"/>
        <v/>
      </c>
    </row>
    <row r="84" spans="2:16" x14ac:dyDescent="0.25">
      <c r="B84" s="283"/>
      <c r="C84" s="12" t="s">
        <v>121</v>
      </c>
      <c r="D84" s="33">
        <f t="shared" ref="D84:O84" si="33">IFERROR(SUM(R70:R71)/R$55,"")</f>
        <v>0.52139801177469713</v>
      </c>
      <c r="E84" s="33">
        <f t="shared" si="33"/>
        <v>0.50134694963906568</v>
      </c>
      <c r="F84" s="33">
        <f t="shared" si="33"/>
        <v>0.56405658140580006</v>
      </c>
      <c r="G84" s="33">
        <f t="shared" si="33"/>
        <v>0.47463676390527848</v>
      </c>
      <c r="H84" s="33">
        <f t="shared" si="33"/>
        <v>0.58998558423200476</v>
      </c>
      <c r="I84" s="33">
        <f t="shared" si="33"/>
        <v>0.58861610023931199</v>
      </c>
      <c r="J84" s="33">
        <f t="shared" si="33"/>
        <v>0.47201472288855556</v>
      </c>
      <c r="K84" s="33">
        <f t="shared" si="33"/>
        <v>0.47733461210003086</v>
      </c>
      <c r="L84" s="33">
        <f t="shared" si="33"/>
        <v>0.55036372134872669</v>
      </c>
      <c r="M84" s="33">
        <f t="shared" si="33"/>
        <v>0.62110332740757623</v>
      </c>
      <c r="N84" s="33">
        <f t="shared" si="33"/>
        <v>0.61015485551045012</v>
      </c>
      <c r="O84" s="33">
        <f t="shared" si="33"/>
        <v>0.56104069711484295</v>
      </c>
    </row>
    <row r="85" spans="2:16" x14ac:dyDescent="0.25">
      <c r="B85" s="276" t="s">
        <v>122</v>
      </c>
      <c r="C85" s="12" t="s">
        <v>120</v>
      </c>
      <c r="D85" s="33">
        <f t="shared" ref="D85:O85" si="34">IFERROR(SUM(D70:D72)/D$55,"")</f>
        <v>0.88642235044309037</v>
      </c>
      <c r="E85" s="33">
        <f t="shared" si="34"/>
        <v>0.88537920663114977</v>
      </c>
      <c r="F85" s="33">
        <f t="shared" si="34"/>
        <v>0.90872318462751411</v>
      </c>
      <c r="G85" s="33">
        <f t="shared" si="34"/>
        <v>0.88512043063107759</v>
      </c>
      <c r="H85" s="33">
        <f t="shared" si="34"/>
        <v>0.91548760669462803</v>
      </c>
      <c r="I85" s="33">
        <f t="shared" si="34"/>
        <v>0.92691955125209091</v>
      </c>
      <c r="J85" s="33">
        <f t="shared" si="34"/>
        <v>0.87306509313707481</v>
      </c>
      <c r="K85" s="33">
        <f t="shared" si="34"/>
        <v>0.89151660225997131</v>
      </c>
      <c r="L85" s="33">
        <f t="shared" si="34"/>
        <v>0.8886715232473158</v>
      </c>
      <c r="M85" s="33" t="str">
        <f t="shared" si="34"/>
        <v/>
      </c>
      <c r="N85" s="33" t="str">
        <f t="shared" si="34"/>
        <v/>
      </c>
      <c r="O85" s="33" t="str">
        <f t="shared" si="34"/>
        <v/>
      </c>
    </row>
    <row r="86" spans="2:16" x14ac:dyDescent="0.25">
      <c r="B86" s="283"/>
      <c r="C86" s="12" t="s">
        <v>121</v>
      </c>
      <c r="D86" s="33">
        <f t="shared" ref="D86:O86" si="35">IFERROR(SUM(R70:R72)/R$55,"")</f>
        <v>0.87570338237493017</v>
      </c>
      <c r="E86" s="33">
        <f t="shared" si="35"/>
        <v>0.85937090285195972</v>
      </c>
      <c r="F86" s="33">
        <f t="shared" si="35"/>
        <v>0.88964343509450428</v>
      </c>
      <c r="G86" s="33">
        <f t="shared" si="35"/>
        <v>0.88374801160388139</v>
      </c>
      <c r="H86" s="33">
        <f t="shared" si="35"/>
        <v>0.91624657722946867</v>
      </c>
      <c r="I86" s="33">
        <f t="shared" si="35"/>
        <v>0.91095904643648207</v>
      </c>
      <c r="J86" s="33">
        <f t="shared" si="35"/>
        <v>0.84464408144669867</v>
      </c>
      <c r="K86" s="33">
        <f t="shared" si="35"/>
        <v>0.87108687394852879</v>
      </c>
      <c r="L86" s="33">
        <f t="shared" si="35"/>
        <v>0.88817868245383413</v>
      </c>
      <c r="M86" s="33">
        <f t="shared" si="35"/>
        <v>0.93267093032680481</v>
      </c>
      <c r="N86" s="33">
        <f t="shared" si="35"/>
        <v>0.92461031487844814</v>
      </c>
      <c r="O86" s="33">
        <f t="shared" si="35"/>
        <v>0.89308856638979051</v>
      </c>
    </row>
    <row r="87" spans="2:16" x14ac:dyDescent="0.25">
      <c r="F87" s="1" t="str">
        <f>IFERROR(D91/D$90,"-")</f>
        <v>-</v>
      </c>
    </row>
    <row r="88" spans="2:16" ht="16.25" customHeight="1" x14ac:dyDescent="0.25">
      <c r="B88" s="300" t="s">
        <v>123</v>
      </c>
      <c r="C88" s="301"/>
      <c r="D88" s="301"/>
      <c r="E88" s="301"/>
      <c r="F88" s="301"/>
      <c r="G88" s="301"/>
      <c r="H88" s="301"/>
      <c r="I88" s="301"/>
      <c r="J88" s="301"/>
      <c r="K88" s="301"/>
      <c r="L88" s="301"/>
      <c r="M88" s="301"/>
    </row>
    <row r="89" spans="2:16" ht="16.25" customHeight="1" x14ac:dyDescent="0.25">
      <c r="B89" s="348" t="s">
        <v>124</v>
      </c>
      <c r="C89" s="10" t="s">
        <v>125</v>
      </c>
      <c r="D89" s="10" t="s">
        <v>126</v>
      </c>
      <c r="E89" s="10" t="s">
        <v>127</v>
      </c>
      <c r="F89" s="10" t="s">
        <v>128</v>
      </c>
      <c r="G89" s="10" t="s">
        <v>129</v>
      </c>
      <c r="H89" s="10" t="s">
        <v>107</v>
      </c>
      <c r="I89" s="10" t="s">
        <v>24</v>
      </c>
      <c r="J89" s="10" t="s">
        <v>22</v>
      </c>
      <c r="K89" s="10" t="s">
        <v>24</v>
      </c>
      <c r="L89" s="10" t="s">
        <v>108</v>
      </c>
      <c r="M89" s="10" t="s">
        <v>24</v>
      </c>
      <c r="O89" s="20" t="s">
        <v>130</v>
      </c>
    </row>
    <row r="90" spans="2:16" x14ac:dyDescent="0.25">
      <c r="B90" s="283"/>
      <c r="C90" s="12" t="s">
        <v>131</v>
      </c>
      <c r="D90" s="34" t="str">
        <f>N55</f>
        <v/>
      </c>
      <c r="E90" s="169" t="str">
        <f>N60</f>
        <v/>
      </c>
      <c r="F90" s="169" t="s">
        <v>132</v>
      </c>
      <c r="G90" s="169" t="s">
        <v>132</v>
      </c>
      <c r="H90" s="34" t="str">
        <f>N56</f>
        <v/>
      </c>
      <c r="I90" s="169" t="str">
        <f>N61</f>
        <v/>
      </c>
      <c r="J90" s="34" t="str">
        <f>N59</f>
        <v/>
      </c>
      <c r="K90" s="35" t="str">
        <f>N64</f>
        <v/>
      </c>
      <c r="L90" s="34" t="str">
        <f>N57</f>
        <v/>
      </c>
      <c r="M90" s="35" t="str">
        <f>N62</f>
        <v/>
      </c>
      <c r="O90" s="34">
        <f>AB55</f>
        <v>73458219</v>
      </c>
    </row>
    <row r="91" spans="2:16" x14ac:dyDescent="0.25">
      <c r="B91" s="36">
        <f>IFERROR(VLOOKUP("胶囊咖啡-1",dat_nespresso_mkt_rk_brand!$C:$AA,25,0),"")</f>
        <v>0</v>
      </c>
      <c r="C91" s="22" t="str">
        <f>IFERROR(VLOOKUP("胶囊咖啡-1",dat_nespresso_mkt_rk_brand!$C:$AA,4,0),"")</f>
        <v>NESPRESSO/奈斯派索</v>
      </c>
      <c r="D91" s="16">
        <f>IFERROR(VLOOKUP("胶囊咖啡-1",dat_nespresso_mkt_rk_brand!$C:$AA,5,0),"")</f>
        <v>6283862</v>
      </c>
      <c r="E91" s="37">
        <f>IFERROR(VLOOKUP("胶囊咖啡-1",dat_nespresso_mkt_rk_brand!$C:$AA,7,0),"")</f>
        <v>-0.55781651417076494</v>
      </c>
      <c r="F91" s="37">
        <f>dat_nespresso_mkt_rk_brand!J52</f>
        <v>0.24374872988180293</v>
      </c>
      <c r="G91" s="37">
        <f>dat_nespresso_mkt_rk_brand!AD52</f>
        <v>25780081</v>
      </c>
      <c r="H91" s="16">
        <f>IFERROR(VLOOKUP("胶囊咖啡-1",dat_nespresso_mkt_rk_brand!$C:$AA,10,0),"")</f>
        <v>18143</v>
      </c>
      <c r="I91" s="37">
        <f>IFERROR(VLOOKUP("胶囊咖啡-1",dat_nespresso_mkt_rk_brand!$C:$AA,11,0),"")</f>
        <v>-0.43270679446718391</v>
      </c>
      <c r="J91" s="16">
        <f>IFERROR(VLOOKUP("胶囊咖啡-1",dat_nespresso_mkt_rk_brand!$C:$AA,12,0),"")</f>
        <v>346</v>
      </c>
      <c r="K91" s="37">
        <f>IFERROR(VLOOKUP("胶囊咖啡-1",dat_nespresso_mkt_rk_brand!$C:$AA,13,0),"")</f>
        <v>-0.22053801893515509</v>
      </c>
      <c r="L91" s="16">
        <f>IFERROR(VLOOKUP("胶囊咖啡-1",dat_nespresso_mkt_rk_brand!$C:$AA,14,0),"")</f>
        <v>233801</v>
      </c>
      <c r="M91" s="37">
        <f>IFERROR(VLOOKUP("胶囊咖啡-1",dat_nespresso_mkt_rk_brand!$C:$AA,15,0),"")</f>
        <v>-0.47437652734781599</v>
      </c>
      <c r="O91" s="14">
        <f>IFERROR(VLOOKUP("胶囊咖啡-1",dat_nespresso_mkt_rk_brand!$C:$AA,18,0),"")</f>
        <v>14210983</v>
      </c>
      <c r="P91" s="225">
        <f t="shared" ref="P91:P100" si="36">O91/O90</f>
        <v>0.19345667773404635</v>
      </c>
    </row>
    <row r="92" spans="2:16" x14ac:dyDescent="0.25">
      <c r="B92" s="36">
        <f>IFERROR(VLOOKUP("胶囊咖啡-2",dat_nespresso_mkt_rk_brand!$C:$AA,25,0),"")</f>
        <v>0</v>
      </c>
      <c r="C92" s="22" t="str">
        <f>IFERROR(VLOOKUP("胶囊咖啡-2",dat_nespresso_mkt_rk_brand!$C:$AA,4,0),"")</f>
        <v>starbucks/星巴克</v>
      </c>
      <c r="D92" s="16">
        <f>IFERROR(VLOOKUP("胶囊咖啡-2",dat_nespresso_mkt_rk_brand!$C:$AA,5,0),"")</f>
        <v>4454395</v>
      </c>
      <c r="E92" s="37">
        <f>IFERROR(VLOOKUP("胶囊咖啡-2",dat_nespresso_mkt_rk_brand!$C:$AA,7,0),"")</f>
        <v>-0.39212557184461788</v>
      </c>
      <c r="F92" s="37">
        <f>dat_nespresso_mkt_rk_brand!J53</f>
        <v>0.17278436790016291</v>
      </c>
      <c r="G92" s="37">
        <f>dat_nespresso_mkt_rk_brand!AD53</f>
        <v>0</v>
      </c>
      <c r="H92" s="16">
        <f>IFERROR(VLOOKUP("胶囊咖啡-2",dat_nespresso_mkt_rk_brand!$C:$AA,10,0),"")</f>
        <v>25186</v>
      </c>
      <c r="I92" s="37">
        <f>IFERROR(VLOOKUP("胶囊咖啡-2",dat_nespresso_mkt_rk_brand!$C:$AA,11,0),"")</f>
        <v>-0.24626224438371411</v>
      </c>
      <c r="J92" s="16">
        <f>IFERROR(VLOOKUP("胶囊咖啡-2",dat_nespresso_mkt_rk_brand!$C:$AA,12,0),"")</f>
        <v>177</v>
      </c>
      <c r="K92" s="37">
        <f>IFERROR(VLOOKUP("胶囊咖啡-2",dat_nespresso_mkt_rk_brand!$C:$AA,13,0),"")</f>
        <v>-0.19351999601192879</v>
      </c>
      <c r="L92" s="16">
        <f>IFERROR(VLOOKUP("胶囊咖啡-2",dat_nespresso_mkt_rk_brand!$C:$AA,14,0),"")</f>
        <v>299471</v>
      </c>
      <c r="M92" s="37">
        <f>IFERROR(VLOOKUP("胶囊咖啡-2",dat_nespresso_mkt_rk_brand!$C:$AA,15,0),"")</f>
        <v>-6.2533064952871684E-2</v>
      </c>
      <c r="O92" s="14">
        <f>IFERROR(VLOOKUP("胶囊咖啡-2",dat_nespresso_mkt_rk_brand!$C:$AA,18,0),"")</f>
        <v>7327821</v>
      </c>
      <c r="P92" s="225">
        <f t="shared" si="36"/>
        <v>0.51564490647832029</v>
      </c>
    </row>
    <row r="93" spans="2:16" x14ac:dyDescent="0.25">
      <c r="B93" s="36">
        <f>IFERROR(VLOOKUP("胶囊咖啡-3",dat_nespresso_mkt_rk_brand!$C:$AA,25,0),"")</f>
        <v>1</v>
      </c>
      <c r="C93" s="22" t="str">
        <f>IFERROR(VLOOKUP("胶囊咖啡-3",dat_nespresso_mkt_rk_brand!$C:$AA,4,0),"")</f>
        <v>Nestle/雀巢</v>
      </c>
      <c r="D93" s="16">
        <f>IFERROR(VLOOKUP("胶囊咖啡-3",dat_nespresso_mkt_rk_brand!$C:$AA,5,0),"")</f>
        <v>2449331</v>
      </c>
      <c r="E93" s="37">
        <f>IFERROR(VLOOKUP("胶囊咖啡-3",dat_nespresso_mkt_rk_brand!$C:$AA,7,0),"")</f>
        <v>-7.0886449520939587E-2</v>
      </c>
      <c r="F93" s="37">
        <f>dat_nespresso_mkt_rk_brand!J54</f>
        <v>9.5008661920030435E-2</v>
      </c>
      <c r="G93" s="37">
        <f>dat_nespresso_mkt_rk_brand!AD54</f>
        <v>0</v>
      </c>
      <c r="H93" s="16">
        <f>IFERROR(VLOOKUP("胶囊咖啡-3",dat_nespresso_mkt_rk_brand!$C:$AA,10,0),"")</f>
        <v>11615</v>
      </c>
      <c r="I93" s="37">
        <f>IFERROR(VLOOKUP("胶囊咖啡-3",dat_nespresso_mkt_rk_brand!$C:$AA,11,0),"")</f>
        <v>-1.795297202392766E-2</v>
      </c>
      <c r="J93" s="16">
        <f>IFERROR(VLOOKUP("胶囊咖啡-3",dat_nespresso_mkt_rk_brand!$C:$AA,12,0),"")</f>
        <v>211</v>
      </c>
      <c r="K93" s="37">
        <f>IFERROR(VLOOKUP("胶囊咖啡-3",dat_nespresso_mkt_rk_brand!$C:$AA,13,0),"")</f>
        <v>-5.3901163578799267E-2</v>
      </c>
      <c r="L93" s="16">
        <f>IFERROR(VLOOKUP("胶囊咖啡-3",dat_nespresso_mkt_rk_brand!$C:$AA,14,0),"")</f>
        <v>73743</v>
      </c>
      <c r="M93" s="37">
        <f>IFERROR(VLOOKUP("胶囊咖啡-3",dat_nespresso_mkt_rk_brand!$C:$AA,15,0),"")</f>
        <v>-0.1320574838459094</v>
      </c>
      <c r="O93" s="14">
        <f>IFERROR(VLOOKUP("胶囊咖啡-3",dat_nespresso_mkt_rk_brand!$C:$AA,18,0),"")</f>
        <v>2636202</v>
      </c>
      <c r="P93" s="225">
        <f t="shared" si="36"/>
        <v>0.35975251033015138</v>
      </c>
    </row>
    <row r="94" spans="2:16" x14ac:dyDescent="0.25">
      <c r="B94" s="36">
        <f>IFERROR(VLOOKUP("胶囊咖啡-4",dat_nespresso_mkt_rk_brand!$C:$AA,25,0),"")</f>
        <v>2</v>
      </c>
      <c r="C94" s="22" t="str">
        <f>IFERROR(VLOOKUP("胶囊咖啡-4",dat_nespresso_mkt_rk_brand!$C:$AA,4,0),"")</f>
        <v>Peet's</v>
      </c>
      <c r="D94" s="16">
        <f>IFERROR(VLOOKUP("胶囊咖啡-4",dat_nespresso_mkt_rk_brand!$C:$AA,5,0),"")</f>
        <v>1974258</v>
      </c>
      <c r="E94" s="37">
        <f>IFERROR(VLOOKUP("胶囊咖啡-4",dat_nespresso_mkt_rk_brand!$C:$AA,7,0),"")</f>
        <v>0.22137309185393689</v>
      </c>
      <c r="F94" s="37">
        <f>dat_nespresso_mkt_rk_brand!J55</f>
        <v>7.6580752403376862E-2</v>
      </c>
      <c r="G94" s="37">
        <f>dat_nespresso_mkt_rk_brand!AD55</f>
        <v>0</v>
      </c>
      <c r="H94" s="16">
        <f>IFERROR(VLOOKUP("胶囊咖啡-4",dat_nespresso_mkt_rk_brand!$C:$AA,10,0),"")</f>
        <v>9162</v>
      </c>
      <c r="I94" s="37">
        <f>IFERROR(VLOOKUP("胶囊咖啡-4",dat_nespresso_mkt_rk_brand!$C:$AA,11,0),"")</f>
        <v>0.3307693764603214</v>
      </c>
      <c r="J94" s="16">
        <f>IFERROR(VLOOKUP("胶囊咖啡-4",dat_nespresso_mkt_rk_brand!$C:$AA,12,0),"")</f>
        <v>215</v>
      </c>
      <c r="K94" s="37">
        <f>IFERROR(VLOOKUP("胶囊咖啡-4",dat_nespresso_mkt_rk_brand!$C:$AA,13,0),"")</f>
        <v>-8.2205291571530406E-2</v>
      </c>
      <c r="L94" s="16">
        <f>IFERROR(VLOOKUP("胶囊咖啡-4",dat_nespresso_mkt_rk_brand!$C:$AA,14,0),"")</f>
        <v>71974</v>
      </c>
      <c r="M94" s="37">
        <f>IFERROR(VLOOKUP("胶囊咖啡-4",dat_nespresso_mkt_rk_brand!$C:$AA,15,0),"")</f>
        <v>-0.25882522552209908</v>
      </c>
      <c r="O94" s="14">
        <f>IFERROR(VLOOKUP("胶囊咖啡-4",dat_nespresso_mkt_rk_brand!$C:$AA,18,0),"")</f>
        <v>1616425</v>
      </c>
      <c r="P94" s="225">
        <f t="shared" si="36"/>
        <v>0.61316431745367006</v>
      </c>
    </row>
    <row r="95" spans="2:16" x14ac:dyDescent="0.25">
      <c r="B95" s="36">
        <f>IFERROR(VLOOKUP("胶囊咖啡-5",dat_nespresso_mkt_rk_brand!$C:$AA,25,0),"")</f>
        <v>-2</v>
      </c>
      <c r="C95" s="22" t="str">
        <f>IFERROR(VLOOKUP("胶囊咖啡-5",dat_nespresso_mkt_rk_brand!$C:$AA,4,0),"")</f>
        <v>DOLCEGUSTO</v>
      </c>
      <c r="D95" s="16">
        <f>IFERROR(VLOOKUP("胶囊咖啡-5",dat_nespresso_mkt_rk_brand!$C:$AA,5,0),"")</f>
        <v>1782962</v>
      </c>
      <c r="E95" s="37">
        <f>IFERROR(VLOOKUP("胶囊咖啡-5",dat_nespresso_mkt_rk_brand!$C:$AA,7,0),"")</f>
        <v>-0.4952153435156863</v>
      </c>
      <c r="F95" s="37">
        <f>dat_nespresso_mkt_rk_brand!J56</f>
        <v>6.9160449883768793E-2</v>
      </c>
      <c r="G95" s="37">
        <f>dat_nespresso_mkt_rk_brand!AD56</f>
        <v>0</v>
      </c>
      <c r="H95" s="16">
        <f>IFERROR(VLOOKUP("胶囊咖啡-5",dat_nespresso_mkt_rk_brand!$C:$AA,10,0),"")</f>
        <v>9441</v>
      </c>
      <c r="I95" s="37">
        <f>IFERROR(VLOOKUP("胶囊咖啡-5",dat_nespresso_mkt_rk_brand!$C:$AA,11,0),"")</f>
        <v>-0.30951759529884543</v>
      </c>
      <c r="J95" s="16">
        <f>IFERROR(VLOOKUP("胶囊咖啡-5",dat_nespresso_mkt_rk_brand!$C:$AA,12,0),"")</f>
        <v>189</v>
      </c>
      <c r="K95" s="37">
        <f>IFERROR(VLOOKUP("胶囊咖啡-5",dat_nespresso_mkt_rk_brand!$C:$AA,13,0),"")</f>
        <v>-0.26893914595435942</v>
      </c>
      <c r="L95" s="16">
        <f>IFERROR(VLOOKUP("胶囊咖啡-5",dat_nespresso_mkt_rk_brand!$C:$AA,14,0),"")</f>
        <v>56873</v>
      </c>
      <c r="M95" s="37">
        <f>IFERROR(VLOOKUP("胶囊咖啡-5",dat_nespresso_mkt_rk_brand!$C:$AA,15,0),"")</f>
        <v>-0.43804715135466282</v>
      </c>
      <c r="O95" s="14">
        <f>IFERROR(VLOOKUP("胶囊咖啡-5",dat_nespresso_mkt_rk_brand!$C:$AA,18,0),"")</f>
        <v>3532124</v>
      </c>
      <c r="P95" s="225">
        <f t="shared" si="36"/>
        <v>2.1851456145506285</v>
      </c>
    </row>
    <row r="96" spans="2:16" x14ac:dyDescent="0.25">
      <c r="B96" s="36">
        <f>IFERROR(VLOOKUP("胶囊咖啡-6",dat_nespresso_mkt_rk_brand!$C:$AA,25,0),"")</f>
        <v>-1</v>
      </c>
      <c r="C96" s="22" t="str">
        <f>IFERROR(VLOOKUP("胶囊咖啡-6",dat_nespresso_mkt_rk_brand!$C:$AA,4,0),"")</f>
        <v>Illy</v>
      </c>
      <c r="D96" s="16">
        <f>IFERROR(VLOOKUP("胶囊咖啡-6",dat_nespresso_mkt_rk_brand!$C:$AA,5,0),"")</f>
        <v>1682764</v>
      </c>
      <c r="E96" s="37">
        <f>IFERROR(VLOOKUP("胶囊咖啡-6",dat_nespresso_mkt_rk_brand!$C:$AA,7,0),"")</f>
        <v>-0.1606684868865362</v>
      </c>
      <c r="F96" s="37">
        <f>dat_nespresso_mkt_rk_brand!J57</f>
        <v>6.5273805772759208E-2</v>
      </c>
      <c r="G96" s="37">
        <f>dat_nespresso_mkt_rk_brand!AD57</f>
        <v>0</v>
      </c>
      <c r="H96" s="16">
        <f>IFERROR(VLOOKUP("胶囊咖啡-6",dat_nespresso_mkt_rk_brand!$C:$AA,10,0),"")</f>
        <v>6442</v>
      </c>
      <c r="I96" s="37">
        <f>IFERROR(VLOOKUP("胶囊咖啡-6",dat_nespresso_mkt_rk_brand!$C:$AA,11,0),"")</f>
        <v>-0.29187422010821529</v>
      </c>
      <c r="J96" s="16">
        <f>IFERROR(VLOOKUP("胶囊咖啡-6",dat_nespresso_mkt_rk_brand!$C:$AA,12,0),"")</f>
        <v>261</v>
      </c>
      <c r="K96" s="37">
        <f>IFERROR(VLOOKUP("胶囊咖啡-6",dat_nespresso_mkt_rk_brand!$C:$AA,13,0),"")</f>
        <v>0.18528591522501831</v>
      </c>
      <c r="L96" s="16">
        <f>IFERROR(VLOOKUP("胶囊咖啡-6",dat_nespresso_mkt_rk_brand!$C:$AA,14,0),"")</f>
        <v>54318</v>
      </c>
      <c r="M96" s="37">
        <f>IFERROR(VLOOKUP("胶囊咖啡-6",dat_nespresso_mkt_rk_brand!$C:$AA,15,0),"")</f>
        <v>-0.2208228138627496</v>
      </c>
      <c r="O96" s="14">
        <f>IFERROR(VLOOKUP("胶囊咖啡-6",dat_nespresso_mkt_rk_brand!$C:$AA,18,0),"")</f>
        <v>2004886</v>
      </c>
      <c r="P96" s="225">
        <f t="shared" si="36"/>
        <v>0.56761484024909659</v>
      </c>
    </row>
    <row r="97" spans="2:16" x14ac:dyDescent="0.25">
      <c r="B97" s="36">
        <f>IFERROR(VLOOKUP("胶囊咖啡-7",dat_nespresso_mkt_rk_brand!$C:$AA,25,0),"")</f>
        <v>13</v>
      </c>
      <c r="C97" s="22" t="str">
        <f>IFERROR(VLOOKUP("胶囊咖啡-7",dat_nespresso_mkt_rk_brand!$C:$AA,4,0),"")</f>
        <v>TASOGARE/隅田川</v>
      </c>
      <c r="D97" s="16">
        <f>IFERROR(VLOOKUP("胶囊咖啡-7",dat_nespresso_mkt_rk_brand!$C:$AA,5,0),"")</f>
        <v>1154398</v>
      </c>
      <c r="E97" s="37">
        <f>IFERROR(VLOOKUP("胶囊咖啡-7",dat_nespresso_mkt_rk_brand!$C:$AA,7,0),"")</f>
        <v>10.359501692513581</v>
      </c>
      <c r="F97" s="37">
        <f>dat_nespresso_mkt_rk_brand!J58</f>
        <v>4.477868009801831E-2</v>
      </c>
      <c r="G97" s="37">
        <f>dat_nespresso_mkt_rk_brand!AD58</f>
        <v>0</v>
      </c>
      <c r="H97" s="16">
        <f>IFERROR(VLOOKUP("胶囊咖啡-7",dat_nespresso_mkt_rk_brand!$C:$AA,10,0),"")</f>
        <v>5028</v>
      </c>
      <c r="I97" s="37">
        <f>IFERROR(VLOOKUP("胶囊咖啡-7",dat_nespresso_mkt_rk_brand!$C:$AA,11,0),"")</f>
        <v>-4.108410596675674E-2</v>
      </c>
      <c r="J97" s="16">
        <f>IFERROR(VLOOKUP("胶囊咖啡-7",dat_nespresso_mkt_rk_brand!$C:$AA,12,0),"")</f>
        <v>230</v>
      </c>
      <c r="K97" s="37">
        <f>IFERROR(VLOOKUP("胶囊咖啡-7",dat_nespresso_mkt_rk_brand!$C:$AA,13,0),"")</f>
        <v>10.8461918956573</v>
      </c>
      <c r="L97" s="16">
        <f>IFERROR(VLOOKUP("胶囊咖啡-7",dat_nespresso_mkt_rk_brand!$C:$AA,14,0),"")</f>
        <v>171603</v>
      </c>
      <c r="M97" s="37">
        <f>IFERROR(VLOOKUP("胶囊咖啡-7",dat_nespresso_mkt_rk_brand!$C:$AA,15,0),"")</f>
        <v>2.9633008453046328</v>
      </c>
      <c r="O97" s="14">
        <f>IFERROR(VLOOKUP("胶囊咖啡-7",dat_nespresso_mkt_rk_brand!$C:$AA,18,0),"")</f>
        <v>101624</v>
      </c>
      <c r="P97" s="225">
        <f t="shared" si="36"/>
        <v>5.0688168803612772E-2</v>
      </c>
    </row>
    <row r="98" spans="2:16" x14ac:dyDescent="0.25">
      <c r="B98" s="36">
        <f>IFERROR(VLOOKUP("胶囊咖啡-8",dat_nespresso_mkt_rk_brand!$C:$AA,25,0),"")</f>
        <v>-1</v>
      </c>
      <c r="C98" s="22" t="str">
        <f>IFERROR(VLOOKUP("胶囊咖啡-8",dat_nespresso_mkt_rk_brand!$C:$AA,4,0),"")</f>
        <v>L'OR（法国）</v>
      </c>
      <c r="D98" s="16">
        <f>IFERROR(VLOOKUP("胶囊咖啡-8",dat_nespresso_mkt_rk_brand!$C:$AA,5,0),"")</f>
        <v>805050</v>
      </c>
      <c r="E98" s="37">
        <f>IFERROR(VLOOKUP("胶囊咖啡-8",dat_nespresso_mkt_rk_brand!$C:$AA,7,0),"")</f>
        <v>-0.48049023188701329</v>
      </c>
      <c r="F98" s="37">
        <f>dat_nespresso_mkt_rk_brand!J59</f>
        <v>3.1227597772093888E-2</v>
      </c>
      <c r="G98" s="37">
        <f>dat_nespresso_mkt_rk_brand!AD59</f>
        <v>0</v>
      </c>
      <c r="H98" s="16">
        <f>IFERROR(VLOOKUP("胶囊咖啡-8",dat_nespresso_mkt_rk_brand!$C:$AA,10,0),"")</f>
        <v>4828</v>
      </c>
      <c r="I98" s="37">
        <f>IFERROR(VLOOKUP("胶囊咖啡-8",dat_nespresso_mkt_rk_brand!$C:$AA,11,0),"")</f>
        <v>-0.47062012661935798</v>
      </c>
      <c r="J98" s="16">
        <f>IFERROR(VLOOKUP("胶囊咖啡-8",dat_nespresso_mkt_rk_brand!$C:$AA,12,0),"")</f>
        <v>167</v>
      </c>
      <c r="K98" s="37">
        <f>IFERROR(VLOOKUP("胶囊咖啡-8",dat_nespresso_mkt_rk_brand!$C:$AA,13,0),"")</f>
        <v>-1.86446553107967E-2</v>
      </c>
      <c r="L98" s="16">
        <f>IFERROR(VLOOKUP("胶囊咖啡-8",dat_nespresso_mkt_rk_brand!$C:$AA,14,0),"")</f>
        <v>57891</v>
      </c>
      <c r="M98" s="37">
        <f>IFERROR(VLOOKUP("胶囊咖啡-8",dat_nespresso_mkt_rk_brand!$C:$AA,15,0),"")</f>
        <v>-0.25226679755108372</v>
      </c>
      <c r="O98" s="14">
        <f>IFERROR(VLOOKUP("胶囊咖啡-8",dat_nespresso_mkt_rk_brand!$C:$AA,18,0),"")</f>
        <v>1549634</v>
      </c>
      <c r="P98" s="225">
        <f t="shared" si="36"/>
        <v>15.248701094229709</v>
      </c>
    </row>
    <row r="99" spans="2:16" x14ac:dyDescent="0.25">
      <c r="B99" s="36">
        <f>IFERROR(VLOOKUP("胶囊咖啡-9",dat_nespresso_mkt_rk_brand!$C:$AA,25,0),"")</f>
        <v>-1</v>
      </c>
      <c r="C99" s="22" t="str">
        <f>IFERROR(VLOOKUP("胶囊咖啡-9",dat_nespresso_mkt_rk_brand!$C:$AA,4,0),"")</f>
        <v>agf</v>
      </c>
      <c r="D99" s="16">
        <f>IFERROR(VLOOKUP("胶囊咖啡-9",dat_nespresso_mkt_rk_brand!$C:$AA,5,0),"")</f>
        <v>792537</v>
      </c>
      <c r="E99" s="37">
        <f>IFERROR(VLOOKUP("胶囊咖啡-9",dat_nespresso_mkt_rk_brand!$C:$AA,7,0),"")</f>
        <v>0.1127386835898012</v>
      </c>
      <c r="F99" s="37">
        <f>dat_nespresso_mkt_rk_brand!J60</f>
        <v>3.0742223036459817E-2</v>
      </c>
      <c r="G99" s="37">
        <f>dat_nespresso_mkt_rk_brand!AD60</f>
        <v>0</v>
      </c>
      <c r="H99" s="16">
        <f>IFERROR(VLOOKUP("胶囊咖啡-9",dat_nespresso_mkt_rk_brand!$C:$AA,10,0),"")</f>
        <v>30612</v>
      </c>
      <c r="I99" s="37">
        <f>IFERROR(VLOOKUP("胶囊咖啡-9",dat_nespresso_mkt_rk_brand!$C:$AA,11,0),"")</f>
        <v>1.8065257054135</v>
      </c>
      <c r="J99" s="16">
        <f>IFERROR(VLOOKUP("胶囊咖啡-9",dat_nespresso_mkt_rk_brand!$C:$AA,12,0),"")</f>
        <v>26</v>
      </c>
      <c r="K99" s="37">
        <f>IFERROR(VLOOKUP("胶囊咖啡-9",dat_nespresso_mkt_rk_brand!$C:$AA,13,0),"")</f>
        <v>-0.60351737329772448</v>
      </c>
      <c r="L99" s="16">
        <f>IFERROR(VLOOKUP("胶囊咖啡-9",dat_nespresso_mkt_rk_brand!$C:$AA,14,0),"")</f>
        <v>155390</v>
      </c>
      <c r="M99" s="37">
        <f>IFERROR(VLOOKUP("胶囊咖啡-9",dat_nespresso_mkt_rk_brand!$C:$AA,15,0),"")</f>
        <v>0.81783086299879515</v>
      </c>
      <c r="O99" s="14">
        <f>IFERROR(VLOOKUP("胶囊咖啡-9",dat_nespresso_mkt_rk_brand!$C:$AA,18,0),"")</f>
        <v>712240</v>
      </c>
      <c r="P99" s="225">
        <f t="shared" si="36"/>
        <v>0.45961820662169262</v>
      </c>
    </row>
    <row r="100" spans="2:16" x14ac:dyDescent="0.25">
      <c r="B100" s="36">
        <f>IFERROR(VLOOKUP("胶囊咖啡-10",dat_nespresso_mkt_rk_brand!$C:$AA,25,0),"")</f>
        <v>0</v>
      </c>
      <c r="C100" s="22" t="str">
        <f>IFERROR(VLOOKUP("胶囊咖啡-10",dat_nespresso_mkt_rk_brand!$C:$AA,4,0),"")</f>
        <v>Nescafe/雀巢咖啡</v>
      </c>
      <c r="D100" s="16">
        <f>IFERROR(VLOOKUP("胶囊咖啡-10",dat_nespresso_mkt_rk_brand!$C:$AA,5,0),"")</f>
        <v>363956</v>
      </c>
      <c r="E100" s="37">
        <f>IFERROR(VLOOKUP("胶囊咖啡-10",dat_nespresso_mkt_rk_brand!$C:$AA,7,0),"")</f>
        <v>0.10499646297662529</v>
      </c>
      <c r="F100" s="37">
        <f>dat_nespresso_mkt_rk_brand!J61</f>
        <v>1.4117721352388304E-2</v>
      </c>
      <c r="G100" s="37">
        <f>dat_nespresso_mkt_rk_brand!AD61</f>
        <v>0</v>
      </c>
      <c r="H100" s="16">
        <f>IFERROR(VLOOKUP("胶囊咖啡-10",dat_nespresso_mkt_rk_brand!$C:$AA,10,0),"")</f>
        <v>2214</v>
      </c>
      <c r="I100" s="37">
        <f>IFERROR(VLOOKUP("胶囊咖啡-10",dat_nespresso_mkt_rk_brand!$C:$AA,11,0),"")</f>
        <v>0.11408003036662361</v>
      </c>
      <c r="J100" s="16">
        <f>IFERROR(VLOOKUP("胶囊咖啡-10",dat_nespresso_mkt_rk_brand!$C:$AA,12,0),"")</f>
        <v>164</v>
      </c>
      <c r="K100" s="37">
        <f>IFERROR(VLOOKUP("胶囊咖啡-10",dat_nespresso_mkt_rk_brand!$C:$AA,13,0),"")</f>
        <v>-8.1534244779606409E-3</v>
      </c>
      <c r="L100" s="16">
        <f>IFERROR(VLOOKUP("胶囊咖啡-10",dat_nespresso_mkt_rk_brand!$C:$AA,14,0),"")</f>
        <v>23802</v>
      </c>
      <c r="M100" s="37">
        <f>IFERROR(VLOOKUP("胶囊咖啡-10",dat_nespresso_mkt_rk_brand!$C:$AA,15,0),"")</f>
        <v>0.21111280720500691</v>
      </c>
      <c r="O100" s="14">
        <f>IFERROR(VLOOKUP("胶囊咖啡-10",dat_nespresso_mkt_rk_brand!$C:$AA,18,0),"")</f>
        <v>329373</v>
      </c>
      <c r="P100" s="225">
        <f t="shared" si="36"/>
        <v>0.46244664719757383</v>
      </c>
    </row>
    <row r="101" spans="2:16" x14ac:dyDescent="0.25">
      <c r="F101" s="258"/>
    </row>
    <row r="102" spans="2:16" s="5" customFormat="1" ht="23.5" customHeight="1" x14ac:dyDescent="0.25">
      <c r="B102" s="270" t="s">
        <v>387</v>
      </c>
      <c r="C102" s="271"/>
      <c r="D102" s="271"/>
      <c r="E102" s="271"/>
      <c r="F102" s="271"/>
      <c r="N102" s="6"/>
      <c r="O102" s="6"/>
      <c r="P102" s="6"/>
    </row>
    <row r="104" spans="2:16" ht="16.25" customHeight="1" x14ac:dyDescent="0.25">
      <c r="B104" s="272" t="s">
        <v>388</v>
      </c>
      <c r="C104" s="273"/>
      <c r="D104" s="273"/>
      <c r="E104" s="274"/>
      <c r="F104" s="272" t="s">
        <v>389</v>
      </c>
      <c r="G104" s="273"/>
      <c r="H104" s="274"/>
      <c r="J104" s="299" t="s">
        <v>136</v>
      </c>
      <c r="K104" s="273"/>
      <c r="L104" s="273"/>
      <c r="M104" s="274"/>
    </row>
    <row r="105" spans="2:16" ht="16.25" customHeight="1" x14ac:dyDescent="0.25">
      <c r="B105" s="40" t="s">
        <v>137</v>
      </c>
      <c r="C105" s="10" t="s">
        <v>138</v>
      </c>
      <c r="D105" s="10" t="s">
        <v>139</v>
      </c>
      <c r="E105" s="10" t="s">
        <v>140</v>
      </c>
      <c r="F105" s="10" t="s">
        <v>141</v>
      </c>
      <c r="G105" s="10" t="s">
        <v>142</v>
      </c>
      <c r="H105" s="10" t="s">
        <v>143</v>
      </c>
      <c r="J105" s="11" t="s">
        <v>138</v>
      </c>
      <c r="K105" s="11" t="s">
        <v>144</v>
      </c>
      <c r="L105" s="194">
        <v>23.11</v>
      </c>
      <c r="M105" s="194">
        <v>22.11</v>
      </c>
    </row>
    <row r="106" spans="2:16" x14ac:dyDescent="0.25">
      <c r="B106" s="22">
        <v>1</v>
      </c>
      <c r="C106" s="12" t="str">
        <f t="shared" ref="C106:C115" si="37">C91</f>
        <v>NESPRESSO/奈斯派索</v>
      </c>
      <c r="D106" s="33">
        <f t="shared" ref="D106:D115" si="38">M106/O91</f>
        <v>1.0000009147854163</v>
      </c>
      <c r="E106" s="33">
        <f t="shared" ref="E106:E115" si="39">L106/D91</f>
        <v>0.99137536756854305</v>
      </c>
      <c r="F106" s="33">
        <f t="shared" ref="F106:F115" si="40">E91</f>
        <v>-0.55781651417076494</v>
      </c>
      <c r="G106" s="33">
        <f t="shared" ref="G106:G115" si="41">IFERROR(L106/M106-1,"-")</f>
        <v>-0.56163058521725007</v>
      </c>
      <c r="H106" s="33">
        <f t="shared" ref="H106:H115" si="42">IFERROR((D91-L106)/(O91-M106)-1,"-")</f>
        <v>-4169.9230769230771</v>
      </c>
      <c r="J106" s="15" t="str">
        <f t="shared" ref="J106:J115" si="43">C106</f>
        <v>NESPRESSO/奈斯派索</v>
      </c>
      <c r="K106" s="254" t="s">
        <v>150</v>
      </c>
      <c r="L106" s="16">
        <f>IFERROR(VLOOKUP("胶囊咖啡"&amp;"-"&amp;K106,dat_nespresso_mkt_rk_shop!$D:$H,4,),0)</f>
        <v>6229666</v>
      </c>
      <c r="M106" s="170">
        <f>IFERROR(VLOOKUP("胶囊咖啡"&amp;"-"&amp;K106,dat_nespresso_mkt_rk_shop!$D:$H,5,),0)</f>
        <v>14210996</v>
      </c>
    </row>
    <row r="107" spans="2:16" x14ac:dyDescent="0.25">
      <c r="B107" s="22">
        <v>2</v>
      </c>
      <c r="C107" s="12" t="str">
        <f t="shared" si="37"/>
        <v>starbucks/星巴克</v>
      </c>
      <c r="D107" s="33">
        <f t="shared" si="38"/>
        <v>0.39871170433884778</v>
      </c>
      <c r="E107" s="33">
        <f t="shared" si="39"/>
        <v>0.18426116229027736</v>
      </c>
      <c r="F107" s="33">
        <f t="shared" si="40"/>
        <v>-0.39212557184461788</v>
      </c>
      <c r="G107" s="33">
        <f t="shared" si="41"/>
        <v>-0.71907609573643727</v>
      </c>
      <c r="H107" s="33">
        <f t="shared" si="42"/>
        <v>-0.17532607390652988</v>
      </c>
      <c r="J107" s="257" t="str">
        <f t="shared" si="43"/>
        <v>starbucks/星巴克</v>
      </c>
      <c r="K107" s="254" t="s">
        <v>390</v>
      </c>
      <c r="L107" s="16">
        <f>IFERROR(VLOOKUP("胶囊咖啡"&amp;"-"&amp;K107,dat_nespresso_mkt_rk_shop!$D:$H,4,),0)</f>
        <v>820772</v>
      </c>
      <c r="M107" s="16">
        <f>IFERROR(VLOOKUP("胶囊咖啡"&amp;"-"&amp;K107,dat_nespresso_mkt_rk_shop!$D:$H,5,),0)</f>
        <v>2921688</v>
      </c>
    </row>
    <row r="108" spans="2:16" x14ac:dyDescent="0.25">
      <c r="B108" s="22">
        <v>3</v>
      </c>
      <c r="C108" s="12" t="str">
        <f t="shared" si="37"/>
        <v>Nestle/雀巢</v>
      </c>
      <c r="D108" s="33">
        <f t="shared" si="38"/>
        <v>0</v>
      </c>
      <c r="E108" s="33">
        <f t="shared" si="39"/>
        <v>0</v>
      </c>
      <c r="F108" s="33">
        <f t="shared" si="40"/>
        <v>-7.0886449520939587E-2</v>
      </c>
      <c r="G108" s="33" t="str">
        <f t="shared" si="41"/>
        <v>-</v>
      </c>
      <c r="H108" s="33">
        <f t="shared" si="42"/>
        <v>-7.0886449520939587E-2</v>
      </c>
      <c r="J108" s="257" t="str">
        <f t="shared" si="43"/>
        <v>Nestle/雀巢</v>
      </c>
      <c r="K108" s="16" t="s">
        <v>10939</v>
      </c>
      <c r="L108" s="16">
        <f>IFERROR(VLOOKUP("胶囊咖啡"&amp;"-"&amp;K108,dat_nespresso_mkt_rk_shop!$D:$H,4,),0)</f>
        <v>0</v>
      </c>
      <c r="M108" s="16">
        <f>IFERROR(VLOOKUP("胶囊咖啡"&amp;"-"&amp;K108,dat_nespresso_mkt_rk_shop!$D:$H,5,),0)</f>
        <v>0</v>
      </c>
    </row>
    <row r="109" spans="2:16" x14ac:dyDescent="0.25">
      <c r="B109" s="22">
        <v>4</v>
      </c>
      <c r="C109" s="12" t="str">
        <f t="shared" si="37"/>
        <v>Peet's</v>
      </c>
      <c r="D109" s="33">
        <f t="shared" si="38"/>
        <v>1.0000030932458976</v>
      </c>
      <c r="E109" s="33">
        <f t="shared" si="39"/>
        <v>0.90565620096258947</v>
      </c>
      <c r="F109" s="33">
        <f t="shared" si="40"/>
        <v>0.22137309185393689</v>
      </c>
      <c r="G109" s="33">
        <f t="shared" si="41"/>
        <v>0.1061406927612083</v>
      </c>
      <c r="H109" s="33">
        <f t="shared" si="42"/>
        <v>-37252.800000000003</v>
      </c>
      <c r="J109" s="257" t="str">
        <f t="shared" si="43"/>
        <v>Peet's</v>
      </c>
      <c r="K109" s="16" t="s">
        <v>391</v>
      </c>
      <c r="L109" s="16">
        <f>IFERROR(VLOOKUP("胶囊咖啡"&amp;"-"&amp;K109,dat_nespresso_mkt_rk_shop!$D:$H,4,),0)</f>
        <v>1787999</v>
      </c>
      <c r="M109" s="16">
        <f>IFERROR(VLOOKUP("胶囊咖啡"&amp;"-"&amp;K109,dat_nespresso_mkt_rk_shop!$D:$H,5,),0)</f>
        <v>1616430</v>
      </c>
    </row>
    <row r="110" spans="2:16" x14ac:dyDescent="0.25">
      <c r="B110" s="22">
        <v>5</v>
      </c>
      <c r="C110" s="12" t="str">
        <f t="shared" si="37"/>
        <v>DOLCEGUSTO</v>
      </c>
      <c r="D110" s="33">
        <f t="shared" si="38"/>
        <v>0.62784573814509348</v>
      </c>
      <c r="E110" s="33">
        <f t="shared" si="39"/>
        <v>0.55937815836792937</v>
      </c>
      <c r="F110" s="33">
        <f t="shared" si="40"/>
        <v>-0.4952153435156863</v>
      </c>
      <c r="G110" s="33">
        <f t="shared" si="41"/>
        <v>-0.55026291593408994</v>
      </c>
      <c r="H110" s="33">
        <f t="shared" si="42"/>
        <v>-0.40234690888896496</v>
      </c>
      <c r="J110" s="257" t="str">
        <f t="shared" si="43"/>
        <v>DOLCEGUSTO</v>
      </c>
      <c r="K110" s="16" t="s">
        <v>349</v>
      </c>
      <c r="L110" s="16">
        <f>IFERROR(VLOOKUP("胶囊咖啡"&amp;"-"&amp;K110,dat_nespresso_mkt_rk_shop!$D:$H,4,),0)</f>
        <v>997350</v>
      </c>
      <c r="M110" s="16">
        <f>IFERROR(VLOOKUP("胶囊咖啡"&amp;"-"&amp;K110,dat_nespresso_mkt_rk_shop!$D:$H,5,),0)</f>
        <v>2217629</v>
      </c>
    </row>
    <row r="111" spans="2:16" x14ac:dyDescent="0.25">
      <c r="B111" s="22">
        <v>6</v>
      </c>
      <c r="C111" s="12" t="str">
        <f t="shared" si="37"/>
        <v>Illy</v>
      </c>
      <c r="D111" s="33">
        <f t="shared" si="38"/>
        <v>0.5681185862936845</v>
      </c>
      <c r="E111" s="33">
        <f t="shared" si="39"/>
        <v>0.62504664944103872</v>
      </c>
      <c r="F111" s="33">
        <f t="shared" si="40"/>
        <v>-0.1606684868865362</v>
      </c>
      <c r="G111" s="33">
        <f t="shared" si="41"/>
        <v>-7.6563656428855542E-2</v>
      </c>
      <c r="H111" s="33">
        <f t="shared" si="42"/>
        <v>-0.27130422128880327</v>
      </c>
      <c r="J111" s="257" t="str">
        <f t="shared" si="43"/>
        <v>Illy</v>
      </c>
      <c r="K111" s="16" t="s">
        <v>394</v>
      </c>
      <c r="L111" s="16">
        <f>IFERROR(VLOOKUP("胶囊咖啡"&amp;"-"&amp;K111,dat_nespresso_mkt_rk_shop!$D:$H,4,),0)</f>
        <v>1051806</v>
      </c>
      <c r="M111" s="16">
        <f>IFERROR(VLOOKUP("胶囊咖啡"&amp;"-"&amp;K111,dat_nespresso_mkt_rk_shop!$D:$H,5,),0)</f>
        <v>1139013</v>
      </c>
    </row>
    <row r="112" spans="2:16" x14ac:dyDescent="0.25">
      <c r="B112" s="22">
        <v>7</v>
      </c>
      <c r="C112" s="12" t="str">
        <f t="shared" si="37"/>
        <v>TASOGARE/隅田川</v>
      </c>
      <c r="D112" s="33">
        <f t="shared" si="38"/>
        <v>0</v>
      </c>
      <c r="E112" s="33">
        <f t="shared" si="39"/>
        <v>0.91092326909783283</v>
      </c>
      <c r="F112" s="33">
        <f t="shared" si="40"/>
        <v>10.359501692513581</v>
      </c>
      <c r="G112" s="33" t="str">
        <f t="shared" si="41"/>
        <v>-</v>
      </c>
      <c r="H112" s="33">
        <f t="shared" si="42"/>
        <v>1.1867275446744818E-2</v>
      </c>
      <c r="J112" s="257" t="str">
        <f t="shared" si="43"/>
        <v>TASOGARE/隅田川</v>
      </c>
      <c r="K112" s="16" t="s">
        <v>392</v>
      </c>
      <c r="L112" s="16">
        <f>IFERROR(VLOOKUP("胶囊咖啡"&amp;"-"&amp;K112,dat_nespresso_mkt_rk_shop!$D:$H,4,),0)</f>
        <v>1051568</v>
      </c>
      <c r="M112" s="16">
        <f>IFERROR(VLOOKUP("胶囊咖啡"&amp;"-"&amp;K112,dat_nespresso_mkt_rk_shop!$D:$H,5,),0)</f>
        <v>0</v>
      </c>
    </row>
    <row r="113" spans="2:33" x14ac:dyDescent="0.25">
      <c r="B113" s="22">
        <v>8</v>
      </c>
      <c r="C113" s="12" t="str">
        <f t="shared" si="37"/>
        <v>L'OR（法国）</v>
      </c>
      <c r="D113" s="33">
        <f t="shared" si="38"/>
        <v>0.29958364362165518</v>
      </c>
      <c r="E113" s="33">
        <f t="shared" si="39"/>
        <v>0.37000434755605244</v>
      </c>
      <c r="F113" s="33">
        <f t="shared" si="40"/>
        <v>-0.48049023188701329</v>
      </c>
      <c r="G113" s="33">
        <f t="shared" si="41"/>
        <v>-0.35837327273314734</v>
      </c>
      <c r="H113" s="33">
        <f t="shared" si="42"/>
        <v>-0.53272236958362396</v>
      </c>
      <c r="J113" s="257" t="str">
        <f t="shared" si="43"/>
        <v>L'OR（法国）</v>
      </c>
      <c r="K113" s="16" t="s">
        <v>393</v>
      </c>
      <c r="L113" s="16">
        <f>IFERROR(VLOOKUP("胶囊咖啡"&amp;"-"&amp;K113,dat_nespresso_mkt_rk_shop!$D:$H,4,),0)</f>
        <v>297872</v>
      </c>
      <c r="M113" s="16">
        <f>IFERROR(VLOOKUP("胶囊咖啡"&amp;"-"&amp;K113,dat_nespresso_mkt_rk_shop!$D:$H,5,),0)</f>
        <v>464245</v>
      </c>
    </row>
    <row r="114" spans="2:33" x14ac:dyDescent="0.25">
      <c r="B114" s="22">
        <v>9</v>
      </c>
      <c r="C114" s="12" t="str">
        <f t="shared" si="37"/>
        <v>agf</v>
      </c>
      <c r="D114" s="33">
        <f t="shared" si="38"/>
        <v>0</v>
      </c>
      <c r="E114" s="33">
        <f t="shared" si="39"/>
        <v>0</v>
      </c>
      <c r="F114" s="33">
        <f t="shared" si="40"/>
        <v>0.1127386835898012</v>
      </c>
      <c r="G114" s="33" t="str">
        <f t="shared" si="41"/>
        <v>-</v>
      </c>
      <c r="H114" s="33">
        <f t="shared" si="42"/>
        <v>0.11273868358980121</v>
      </c>
      <c r="J114" s="257" t="str">
        <f t="shared" si="43"/>
        <v>agf</v>
      </c>
      <c r="K114" s="16" t="s">
        <v>10940</v>
      </c>
      <c r="L114" s="16">
        <f>IFERROR(VLOOKUP("胶囊咖啡"&amp;"-"&amp;K114,dat_nespresso_mkt_rk_shop!$D:$H,4,),0)</f>
        <v>0</v>
      </c>
      <c r="M114" s="16">
        <f>IFERROR(VLOOKUP("胶囊咖啡"&amp;"-"&amp;K114,dat_nespresso_mkt_rk_shop!$D:$H,5,),0)</f>
        <v>0</v>
      </c>
    </row>
    <row r="115" spans="2:33" x14ac:dyDescent="0.25">
      <c r="B115" s="22">
        <v>10</v>
      </c>
      <c r="C115" s="12" t="str">
        <f t="shared" si="37"/>
        <v>Nescafe/雀巢咖啡</v>
      </c>
      <c r="D115" s="33">
        <f t="shared" si="38"/>
        <v>0</v>
      </c>
      <c r="E115" s="33">
        <f t="shared" si="39"/>
        <v>0</v>
      </c>
      <c r="F115" s="33">
        <f t="shared" si="40"/>
        <v>0.10499646297662529</v>
      </c>
      <c r="G115" s="33" t="str">
        <f t="shared" si="41"/>
        <v>-</v>
      </c>
      <c r="H115" s="33">
        <f t="shared" si="42"/>
        <v>0.10499646297662535</v>
      </c>
      <c r="J115" s="257" t="str">
        <f t="shared" si="43"/>
        <v>Nescafe/雀巢咖啡</v>
      </c>
      <c r="K115" s="16" t="s">
        <v>10940</v>
      </c>
      <c r="L115" s="16">
        <f>IFERROR(VLOOKUP("胶囊咖啡"&amp;"-"&amp;K115,dat_nespresso_mkt_rk_shop!$D:$H,4,),0)</f>
        <v>0</v>
      </c>
      <c r="M115" s="16">
        <f>IFERROR(VLOOKUP("胶囊咖啡"&amp;"-"&amp;K115,dat_nespresso_mkt_rk_shop!$D:$H,5,),0)</f>
        <v>0</v>
      </c>
    </row>
    <row r="117" spans="2:33" s="5" customFormat="1" ht="23.5" customHeight="1" x14ac:dyDescent="0.25">
      <c r="B117" s="270" t="s">
        <v>395</v>
      </c>
      <c r="C117" s="271"/>
      <c r="D117" s="271"/>
      <c r="E117" s="271"/>
      <c r="F117" s="271"/>
      <c r="N117" s="6"/>
      <c r="O117" s="6"/>
      <c r="P117" s="6"/>
    </row>
    <row r="118" spans="2:33" s="2" customFormat="1" ht="16.25" customHeight="1" x14ac:dyDescent="0.25">
      <c r="B118" s="41" t="s">
        <v>157</v>
      </c>
      <c r="C118" s="7"/>
      <c r="D118" s="7"/>
      <c r="E118" s="7"/>
      <c r="L118" s="3"/>
      <c r="M118" s="3"/>
      <c r="N118" s="3"/>
    </row>
    <row r="119" spans="2:33" ht="16.25" customHeight="1" x14ac:dyDescent="0.25">
      <c r="B119" s="272" t="s">
        <v>396</v>
      </c>
      <c r="C119" s="273"/>
      <c r="D119" s="273"/>
      <c r="E119" s="274"/>
      <c r="G119" s="299" t="s">
        <v>397</v>
      </c>
      <c r="H119" s="273"/>
      <c r="I119" s="273"/>
      <c r="J119" s="273"/>
      <c r="K119" s="273"/>
      <c r="L119" s="273"/>
      <c r="M119" s="273"/>
      <c r="N119" s="273"/>
      <c r="O119" s="273"/>
      <c r="P119" s="273"/>
      <c r="Q119" s="273"/>
      <c r="R119" s="273"/>
      <c r="S119" s="274"/>
      <c r="U119" s="299" t="s">
        <v>398</v>
      </c>
      <c r="V119" s="273"/>
      <c r="W119" s="273"/>
      <c r="X119" s="273"/>
      <c r="Y119" s="273"/>
      <c r="Z119" s="273"/>
      <c r="AA119" s="273"/>
      <c r="AB119" s="273"/>
      <c r="AC119" s="273"/>
      <c r="AD119" s="273"/>
      <c r="AE119" s="273"/>
      <c r="AF119" s="273"/>
      <c r="AG119" s="274"/>
    </row>
    <row r="120" spans="2:33" ht="16.25" customHeight="1" x14ac:dyDescent="0.25">
      <c r="B120" s="10"/>
      <c r="C120" s="10" t="s">
        <v>162</v>
      </c>
      <c r="D120" s="10" t="s">
        <v>24</v>
      </c>
      <c r="E120" s="10" t="s">
        <v>163</v>
      </c>
      <c r="G120" s="11"/>
      <c r="H120" s="194">
        <v>2023.01</v>
      </c>
      <c r="I120" s="194">
        <v>2023.02</v>
      </c>
      <c r="J120" s="194">
        <v>2023.03</v>
      </c>
      <c r="K120" s="194">
        <v>2023.04</v>
      </c>
      <c r="L120" s="194">
        <v>2023.05</v>
      </c>
      <c r="M120" s="194">
        <v>2023.06</v>
      </c>
      <c r="N120" s="194">
        <v>2023.07</v>
      </c>
      <c r="O120" s="194">
        <v>2023.08</v>
      </c>
      <c r="P120" s="194">
        <v>2023.09</v>
      </c>
      <c r="Q120" s="194" t="s">
        <v>161</v>
      </c>
      <c r="R120" s="194">
        <v>2023.11</v>
      </c>
      <c r="S120" s="194">
        <v>2023.12</v>
      </c>
      <c r="U120" s="11"/>
      <c r="V120" s="11" t="s">
        <v>4</v>
      </c>
      <c r="W120" s="11" t="s">
        <v>5</v>
      </c>
      <c r="X120" s="11" t="s">
        <v>6</v>
      </c>
      <c r="Y120" s="11" t="s">
        <v>7</v>
      </c>
      <c r="Z120" s="11" t="s">
        <v>8</v>
      </c>
      <c r="AA120" s="11" t="s">
        <v>9</v>
      </c>
      <c r="AB120" s="11" t="s">
        <v>10</v>
      </c>
      <c r="AC120" s="11" t="s">
        <v>11</v>
      </c>
      <c r="AD120" s="11" t="s">
        <v>12</v>
      </c>
      <c r="AE120" s="11" t="s">
        <v>13</v>
      </c>
      <c r="AF120" s="11" t="s">
        <v>14</v>
      </c>
      <c r="AG120" s="11" t="s">
        <v>15</v>
      </c>
    </row>
    <row r="121" spans="2:33" x14ac:dyDescent="0.25">
      <c r="B121" s="12" t="s">
        <v>106</v>
      </c>
      <c r="C121" s="16">
        <f>S121</f>
        <v>6243181</v>
      </c>
      <c r="D121" s="38">
        <f>S126</f>
        <v>-0.56342857022981052</v>
      </c>
      <c r="E121" s="38" t="str">
        <f>O12</f>
        <v/>
      </c>
      <c r="F121" s="323" t="s">
        <v>16</v>
      </c>
      <c r="G121" s="15" t="s">
        <v>106</v>
      </c>
      <c r="H121" s="16">
        <f>IFERROR(VLOOKUP("咖啡"&amp;"-"&amp;H120,dat_nespresso_shop_ct_each!$C:$H,2,0),"")</f>
        <v>5583971</v>
      </c>
      <c r="I121" s="16">
        <f>IFERROR(VLOOKUP("咖啡"&amp;"-"&amp;I120,dat_nespresso_shop_ct_each!$C:$H,2,0),"")</f>
        <v>6996637</v>
      </c>
      <c r="J121" s="16">
        <f>IFERROR(VLOOKUP("咖啡"&amp;"-"&amp;J120,dat_nespresso_shop_ct_each!$C:$H,2,0),"")</f>
        <v>15765774</v>
      </c>
      <c r="K121" s="16">
        <f>IFERROR(VLOOKUP("咖啡"&amp;"-"&amp;K120,dat_nespresso_shop_ct_each!$C:$H,2,0),"")</f>
        <v>7662239</v>
      </c>
      <c r="L121" s="16">
        <f>IFERROR(VLOOKUP("咖啡"&amp;"-"&amp;L120,dat_nespresso_shop_ct_each!$C:$H,2,0),"")</f>
        <v>19219594</v>
      </c>
      <c r="M121" s="16">
        <f>IFERROR(VLOOKUP("咖啡"&amp;"-"&amp;M120,dat_nespresso_shop_ct_each!$C:$H,2,0),"")</f>
        <v>23620254</v>
      </c>
      <c r="N121" s="16">
        <f>IFERROR(VLOOKUP("咖啡"&amp;"-"&amp;N120,dat_nespresso_shop_ct_each!$C:$H,2,0),"")</f>
        <v>5249466</v>
      </c>
      <c r="O121" s="16">
        <f>IFERROR(VLOOKUP("咖啡"&amp;"-"&amp;O120,dat_nespresso_shop_ct_each!$C:$H,2,0),"")</f>
        <v>8240139</v>
      </c>
      <c r="P121" s="16">
        <f>IFERROR(VLOOKUP("咖啡"&amp;"-"&amp;P120,dat_nespresso_shop_ct_each!$C:$H,2,0),"")</f>
        <v>8922708</v>
      </c>
      <c r="Q121" s="16">
        <f>IFERROR(VLOOKUP("咖啡"&amp;"-"&amp;Q120,dat_nespresso_shop_ct_each!$C:$H,2,0),"")</f>
        <v>24708346</v>
      </c>
      <c r="R121" s="16">
        <f>IFERROR(VLOOKUP("咖啡"&amp;"-"&amp;R120,dat_nespresso_shop_ct_each!$C:$H,2,0),"")</f>
        <v>24729727</v>
      </c>
      <c r="S121" s="16">
        <f>IFERROR(VLOOKUP("咖啡"&amp;"-"&amp;S120,dat_nespresso_shop_ct_each!$C:$H,2,0),"")</f>
        <v>6243181</v>
      </c>
      <c r="U121" s="15" t="s">
        <v>106</v>
      </c>
      <c r="V121" s="16">
        <v>10624022</v>
      </c>
      <c r="W121" s="16">
        <v>8444137</v>
      </c>
      <c r="X121" s="16">
        <v>20044319</v>
      </c>
      <c r="Y121" s="16">
        <v>8956198</v>
      </c>
      <c r="Z121" s="16">
        <v>27414019</v>
      </c>
      <c r="AA121" s="16">
        <v>27935889</v>
      </c>
      <c r="AB121" s="16">
        <v>7666699</v>
      </c>
      <c r="AC121" s="16">
        <v>8554139</v>
      </c>
      <c r="AD121" s="16">
        <v>14259822</v>
      </c>
      <c r="AE121" s="16">
        <v>35535312</v>
      </c>
      <c r="AF121" s="16">
        <v>32754383</v>
      </c>
      <c r="AG121" s="16">
        <v>14300480</v>
      </c>
    </row>
    <row r="122" spans="2:33" x14ac:dyDescent="0.25">
      <c r="B122" s="12" t="s">
        <v>107</v>
      </c>
      <c r="C122" s="16">
        <f>S122</f>
        <v>17826</v>
      </c>
      <c r="D122" s="38">
        <f>S127</f>
        <v>-0.44470749486013328</v>
      </c>
      <c r="E122" s="38" t="str">
        <f>O13</f>
        <v/>
      </c>
      <c r="F122" s="281"/>
      <c r="G122" s="15" t="s">
        <v>107</v>
      </c>
      <c r="H122" s="16">
        <f>IFERROR(VLOOKUP("咖啡"&amp;"-"&amp;H120,dat_nespresso_shop_ct_each!$C:$H,3,0),"")</f>
        <v>13967</v>
      </c>
      <c r="I122" s="16">
        <f>IFERROR(VLOOKUP("咖啡"&amp;"-"&amp;I120,dat_nespresso_shop_ct_each!$C:$H,3,0),"")</f>
        <v>18068</v>
      </c>
      <c r="J122" s="16">
        <f>IFERROR(VLOOKUP("咖啡"&amp;"-"&amp;J120,dat_nespresso_shop_ct_each!$C:$H,3,0),"")</f>
        <v>35243</v>
      </c>
      <c r="K122" s="16">
        <f>IFERROR(VLOOKUP("咖啡"&amp;"-"&amp;K120,dat_nespresso_shop_ct_each!$C:$H,3,0),"")</f>
        <v>19990</v>
      </c>
      <c r="L122" s="16">
        <f>IFERROR(VLOOKUP("咖啡"&amp;"-"&amp;L120,dat_nespresso_shop_ct_each!$C:$H,3,0),"")</f>
        <v>46966</v>
      </c>
      <c r="M122" s="16">
        <f>IFERROR(VLOOKUP("咖啡"&amp;"-"&amp;M120,dat_nespresso_shop_ct_each!$C:$H,3,0),"")</f>
        <v>50717</v>
      </c>
      <c r="N122" s="16">
        <f>IFERROR(VLOOKUP("咖啡"&amp;"-"&amp;N120,dat_nespresso_shop_ct_each!$C:$H,3,0),"")</f>
        <v>14732</v>
      </c>
      <c r="O122" s="16">
        <f>IFERROR(VLOOKUP("咖啡"&amp;"-"&amp;O120,dat_nespresso_shop_ct_each!$C:$H,3,0),"")</f>
        <v>21569</v>
      </c>
      <c r="P122" s="16">
        <f>IFERROR(VLOOKUP("咖啡"&amp;"-"&amp;P120,dat_nespresso_shop_ct_each!$C:$H,3,0),"")</f>
        <v>22475</v>
      </c>
      <c r="Q122" s="16">
        <f>IFERROR(VLOOKUP("咖啡"&amp;"-"&amp;Q120,dat_nespresso_shop_ct_each!$C:$H,3,0),"")</f>
        <v>52710</v>
      </c>
      <c r="R122" s="16">
        <f>IFERROR(VLOOKUP("咖啡"&amp;"-"&amp;R120,dat_nespresso_shop_ct_each!$C:$H,3,0),"")</f>
        <v>51123</v>
      </c>
      <c r="S122" s="16">
        <f>IFERROR(VLOOKUP("咖啡"&amp;"-"&amp;S120,dat_nespresso_shop_ct_each!$C:$H,3,0),"")</f>
        <v>17826</v>
      </c>
      <c r="U122" s="15" t="s">
        <v>107</v>
      </c>
      <c r="V122" s="16">
        <v>27656</v>
      </c>
      <c r="W122" s="16">
        <v>23426</v>
      </c>
      <c r="X122" s="16">
        <v>49826</v>
      </c>
      <c r="Y122" s="16">
        <v>24746</v>
      </c>
      <c r="Z122" s="16">
        <v>57958</v>
      </c>
      <c r="AA122" s="16">
        <v>59632</v>
      </c>
      <c r="AB122" s="16">
        <v>20692</v>
      </c>
      <c r="AC122" s="16">
        <v>22726</v>
      </c>
      <c r="AD122" s="16">
        <v>34949</v>
      </c>
      <c r="AE122" s="16">
        <v>70735</v>
      </c>
      <c r="AF122" s="16">
        <v>67891</v>
      </c>
      <c r="AG122" s="16">
        <v>32102</v>
      </c>
    </row>
    <row r="123" spans="2:33" x14ac:dyDescent="0.25">
      <c r="B123" s="12" t="s">
        <v>108</v>
      </c>
      <c r="C123" s="16">
        <f>S123</f>
        <v>229306</v>
      </c>
      <c r="D123" s="38">
        <f>S128</f>
        <v>-0.48489892557175174</v>
      </c>
      <c r="E123" s="38" t="str">
        <f>O14</f>
        <v/>
      </c>
      <c r="F123" s="281"/>
      <c r="G123" s="15" t="s">
        <v>108</v>
      </c>
      <c r="H123" s="16">
        <f>IFERROR(VLOOKUP("咖啡"&amp;"-"&amp;H120,dat_nespresso_shop_ct_each!$C:$H,4,0),"")</f>
        <v>330688</v>
      </c>
      <c r="I123" s="16">
        <f>IFERROR(VLOOKUP("咖啡"&amp;"-"&amp;I120,dat_nespresso_shop_ct_each!$C:$H,4,0),"")</f>
        <v>158885</v>
      </c>
      <c r="J123" s="16">
        <f>IFERROR(VLOOKUP("咖啡"&amp;"-"&amp;J120,dat_nespresso_shop_ct_each!$C:$H,4,0),"")</f>
        <v>230234</v>
      </c>
      <c r="K123" s="16">
        <f>IFERROR(VLOOKUP("咖啡"&amp;"-"&amp;K120,dat_nespresso_shop_ct_each!$C:$H,4,0),"")</f>
        <v>257987</v>
      </c>
      <c r="L123" s="16">
        <f>IFERROR(VLOOKUP("咖啡"&amp;"-"&amp;L120,dat_nespresso_shop_ct_each!$C:$H,4,0),"")</f>
        <v>476226</v>
      </c>
      <c r="M123" s="16">
        <f>IFERROR(VLOOKUP("咖啡"&amp;"-"&amp;M120,dat_nespresso_shop_ct_each!$C:$H,4,0),"")</f>
        <v>669471</v>
      </c>
      <c r="N123" s="16">
        <f>IFERROR(VLOOKUP("咖啡"&amp;"-"&amp;N120,dat_nespresso_shop_ct_each!$C:$H,4,0),"")</f>
        <v>127800</v>
      </c>
      <c r="O123" s="16">
        <f>IFERROR(VLOOKUP("咖啡"&amp;"-"&amp;O120,dat_nespresso_shop_ct_each!$C:$H,4,0),"")</f>
        <v>181951</v>
      </c>
      <c r="P123" s="16">
        <f>IFERROR(VLOOKUP("咖啡"&amp;"-"&amp;P120,dat_nespresso_shop_ct_each!$C:$H,4,0),"")</f>
        <v>207173</v>
      </c>
      <c r="Q123" s="16">
        <f>IFERROR(VLOOKUP("咖啡"&amp;"-"&amp;Q120,dat_nespresso_shop_ct_each!$C:$H,4,0),"")</f>
        <v>626836</v>
      </c>
      <c r="R123" s="16">
        <f>IFERROR(VLOOKUP("咖啡"&amp;"-"&amp;R120,dat_nespresso_shop_ct_each!$C:$H,4,0),"")</f>
        <v>536192</v>
      </c>
      <c r="S123" s="16">
        <f>IFERROR(VLOOKUP("咖啡"&amp;"-"&amp;S120,dat_nespresso_shop_ct_each!$C:$H,4,0),"")</f>
        <v>229306</v>
      </c>
      <c r="U123" s="15" t="s">
        <v>108</v>
      </c>
      <c r="V123" s="16">
        <v>217181</v>
      </c>
      <c r="W123" s="16">
        <v>187772</v>
      </c>
      <c r="X123" s="16">
        <v>237466</v>
      </c>
      <c r="Y123" s="16">
        <v>203219</v>
      </c>
      <c r="Z123" s="16">
        <v>324464</v>
      </c>
      <c r="AA123" s="16">
        <v>324032</v>
      </c>
      <c r="AB123" s="16">
        <v>139339</v>
      </c>
      <c r="AC123" s="16">
        <v>173220</v>
      </c>
      <c r="AD123" s="16">
        <v>303787</v>
      </c>
      <c r="AE123" s="16">
        <v>624955</v>
      </c>
      <c r="AF123" s="16">
        <v>603546</v>
      </c>
      <c r="AG123" s="16">
        <v>445167</v>
      </c>
    </row>
    <row r="124" spans="2:33" x14ac:dyDescent="0.25">
      <c r="B124" s="12" t="s">
        <v>21</v>
      </c>
      <c r="C124" s="253">
        <f>S124</f>
        <v>7.7738916556915214E-2</v>
      </c>
      <c r="D124" s="38">
        <f>S129</f>
        <v>5.738916556915219E-3</v>
      </c>
      <c r="E124" s="38" t="str">
        <f>O15</f>
        <v/>
      </c>
      <c r="F124" s="281"/>
      <c r="G124" s="15" t="s">
        <v>21</v>
      </c>
      <c r="H124" s="192">
        <f t="shared" ref="H124:S124" si="44">IFERROR(H122/H123,"")</f>
        <v>4.2236186375072579E-2</v>
      </c>
      <c r="I124" s="192">
        <f t="shared" si="44"/>
        <v>0.11371746860937156</v>
      </c>
      <c r="J124" s="192">
        <f t="shared" si="44"/>
        <v>0.15307469791603326</v>
      </c>
      <c r="K124" s="192">
        <f t="shared" si="44"/>
        <v>7.7484524414020858E-2</v>
      </c>
      <c r="L124" s="192">
        <f t="shared" si="44"/>
        <v>9.8621242855282995E-2</v>
      </c>
      <c r="M124" s="192">
        <f t="shared" si="44"/>
        <v>7.5756828899235365E-2</v>
      </c>
      <c r="N124" s="192">
        <f t="shared" si="44"/>
        <v>0.11527386541471049</v>
      </c>
      <c r="O124" s="192">
        <f t="shared" si="44"/>
        <v>0.11854290440832972</v>
      </c>
      <c r="P124" s="192">
        <f t="shared" si="44"/>
        <v>0.10848421367649259</v>
      </c>
      <c r="Q124" s="192">
        <f t="shared" si="44"/>
        <v>8.4088980211730016E-2</v>
      </c>
      <c r="R124" s="192">
        <f t="shared" si="44"/>
        <v>9.5344578061589871E-2</v>
      </c>
      <c r="S124" s="192">
        <f t="shared" si="44"/>
        <v>7.7738916556915214E-2</v>
      </c>
      <c r="U124" s="15" t="s">
        <v>21</v>
      </c>
      <c r="V124" s="38">
        <v>0.127</v>
      </c>
      <c r="W124" s="38">
        <v>0.125</v>
      </c>
      <c r="X124" s="38">
        <v>0.21</v>
      </c>
      <c r="Y124" s="38">
        <v>0.122</v>
      </c>
      <c r="Z124" s="38">
        <v>0.17899999999999999</v>
      </c>
      <c r="AA124" s="38">
        <v>0.184</v>
      </c>
      <c r="AB124" s="38">
        <v>0.14899999999999999</v>
      </c>
      <c r="AC124" s="38">
        <v>0.13100000000000001</v>
      </c>
      <c r="AD124" s="38">
        <v>0.115</v>
      </c>
      <c r="AE124" s="38">
        <v>0.113</v>
      </c>
      <c r="AF124" s="38">
        <v>0.112</v>
      </c>
      <c r="AG124" s="38">
        <v>7.1999999999999995E-2</v>
      </c>
    </row>
    <row r="125" spans="2:33" x14ac:dyDescent="0.25">
      <c r="B125" s="12" t="s">
        <v>22</v>
      </c>
      <c r="C125" s="16">
        <f>S125</f>
        <v>350.22893526309883</v>
      </c>
      <c r="D125" s="38">
        <f>S130</f>
        <v>-0.21296868480202513</v>
      </c>
      <c r="E125" s="38" t="str">
        <f>O16</f>
        <v/>
      </c>
      <c r="F125" s="281"/>
      <c r="G125" s="15" t="s">
        <v>22</v>
      </c>
      <c r="H125" s="193">
        <f t="shared" ref="H125:S125" si="45">IFERROR(H121/H122,"")</f>
        <v>399.79745113481778</v>
      </c>
      <c r="I125" s="193">
        <f t="shared" si="45"/>
        <v>387.2391520920965</v>
      </c>
      <c r="J125" s="193">
        <f t="shared" si="45"/>
        <v>447.34483443520702</v>
      </c>
      <c r="K125" s="193">
        <f t="shared" si="45"/>
        <v>383.30360180090042</v>
      </c>
      <c r="L125" s="193">
        <f t="shared" si="45"/>
        <v>409.22356598390326</v>
      </c>
      <c r="M125" s="193">
        <f t="shared" si="45"/>
        <v>465.72656111363051</v>
      </c>
      <c r="N125" s="193">
        <f t="shared" si="45"/>
        <v>356.33084442030952</v>
      </c>
      <c r="O125" s="193">
        <f t="shared" si="45"/>
        <v>382.03620937456537</v>
      </c>
      <c r="P125" s="193">
        <f t="shared" si="45"/>
        <v>397.00591768631813</v>
      </c>
      <c r="Q125" s="193">
        <f t="shared" si="45"/>
        <v>468.76012141908558</v>
      </c>
      <c r="R125" s="193">
        <f t="shared" si="45"/>
        <v>483.72996498640532</v>
      </c>
      <c r="S125" s="193">
        <f t="shared" si="45"/>
        <v>350.22893526309883</v>
      </c>
      <c r="U125" s="15" t="s">
        <v>22</v>
      </c>
      <c r="V125" s="16">
        <v>384</v>
      </c>
      <c r="W125" s="16">
        <v>360</v>
      </c>
      <c r="X125" s="16">
        <v>402</v>
      </c>
      <c r="Y125" s="16">
        <v>362</v>
      </c>
      <c r="Z125" s="16">
        <v>473</v>
      </c>
      <c r="AA125" s="16">
        <v>468</v>
      </c>
      <c r="AB125" s="16">
        <v>371</v>
      </c>
      <c r="AC125" s="16">
        <v>376</v>
      </c>
      <c r="AD125" s="16">
        <v>408</v>
      </c>
      <c r="AE125" s="16">
        <v>502</v>
      </c>
      <c r="AF125" s="16">
        <v>482</v>
      </c>
      <c r="AG125" s="16">
        <v>445</v>
      </c>
    </row>
    <row r="126" spans="2:33" x14ac:dyDescent="0.25">
      <c r="B126" s="171"/>
      <c r="C126" s="14"/>
      <c r="D126" s="130"/>
      <c r="E126" s="130"/>
      <c r="F126" s="317" t="s">
        <v>24</v>
      </c>
      <c r="G126" s="15" t="s">
        <v>106</v>
      </c>
      <c r="H126" s="192">
        <f t="shared" ref="H126:S128" si="46">IFERROR(H121/V121-1,"")</f>
        <v>-0.47440140843081835</v>
      </c>
      <c r="I126" s="192">
        <f t="shared" si="46"/>
        <v>-0.17142071475154896</v>
      </c>
      <c r="J126" s="192">
        <f t="shared" si="46"/>
        <v>-0.21345424606343577</v>
      </c>
      <c r="K126" s="192">
        <f t="shared" si="46"/>
        <v>-0.14447637267510161</v>
      </c>
      <c r="L126" s="192">
        <f t="shared" si="46"/>
        <v>-0.29891366895164118</v>
      </c>
      <c r="M126" s="192">
        <f t="shared" si="46"/>
        <v>-0.1544835390776359</v>
      </c>
      <c r="N126" s="192">
        <f t="shared" si="46"/>
        <v>-0.3152899311685512</v>
      </c>
      <c r="O126" s="192">
        <f t="shared" si="46"/>
        <v>-3.670737639404742E-2</v>
      </c>
      <c r="P126" s="192">
        <f t="shared" si="46"/>
        <v>-0.37427634089682182</v>
      </c>
      <c r="Q126" s="192">
        <f t="shared" si="46"/>
        <v>-0.30468188938372065</v>
      </c>
      <c r="R126" s="192">
        <f t="shared" si="46"/>
        <v>-0.24499487595293734</v>
      </c>
      <c r="S126" s="192">
        <f t="shared" si="46"/>
        <v>-0.56342857022981052</v>
      </c>
      <c r="U126" s="32"/>
      <c r="V126" s="14"/>
      <c r="W126" s="14"/>
      <c r="X126" s="14"/>
      <c r="Y126" s="14"/>
      <c r="Z126" s="14"/>
      <c r="AA126" s="14"/>
      <c r="AB126" s="14"/>
      <c r="AC126" s="14"/>
      <c r="AD126" s="14"/>
      <c r="AE126" s="14"/>
      <c r="AF126" s="14"/>
      <c r="AG126" s="14"/>
    </row>
    <row r="127" spans="2:33" x14ac:dyDescent="0.25">
      <c r="B127" s="171"/>
      <c r="C127" s="14"/>
      <c r="D127" s="130"/>
      <c r="E127" s="130"/>
      <c r="F127" s="269"/>
      <c r="G127" s="15" t="s">
        <v>107</v>
      </c>
      <c r="H127" s="192">
        <f t="shared" si="46"/>
        <v>-0.49497396586635811</v>
      </c>
      <c r="I127" s="192">
        <f t="shared" si="46"/>
        <v>-0.22872022539059167</v>
      </c>
      <c r="J127" s="192">
        <f t="shared" si="46"/>
        <v>-0.29267852125396376</v>
      </c>
      <c r="K127" s="192">
        <f t="shared" si="46"/>
        <v>-0.19219267760446135</v>
      </c>
      <c r="L127" s="192">
        <f t="shared" si="46"/>
        <v>-0.18965457745263814</v>
      </c>
      <c r="M127" s="192">
        <f t="shared" si="46"/>
        <v>-0.14950026831231555</v>
      </c>
      <c r="N127" s="192">
        <f t="shared" si="46"/>
        <v>-0.28803402281074808</v>
      </c>
      <c r="O127" s="192">
        <f t="shared" si="46"/>
        <v>-5.0910851007656466E-2</v>
      </c>
      <c r="P127" s="192">
        <f t="shared" si="46"/>
        <v>-0.35692008355031613</v>
      </c>
      <c r="Q127" s="192">
        <f t="shared" si="46"/>
        <v>-0.25482434438396828</v>
      </c>
      <c r="R127" s="192">
        <f t="shared" si="46"/>
        <v>-0.24698413633618599</v>
      </c>
      <c r="S127" s="192">
        <f t="shared" si="46"/>
        <v>-0.44470749486013328</v>
      </c>
      <c r="U127" s="32"/>
      <c r="V127" s="14"/>
      <c r="W127" s="14"/>
      <c r="X127" s="14"/>
      <c r="Y127" s="14"/>
      <c r="Z127" s="14"/>
      <c r="AA127" s="14"/>
      <c r="AB127" s="14"/>
      <c r="AC127" s="14"/>
      <c r="AD127" s="14"/>
      <c r="AE127" s="14"/>
      <c r="AF127" s="14"/>
      <c r="AG127" s="14"/>
    </row>
    <row r="128" spans="2:33" x14ac:dyDescent="0.25">
      <c r="B128" s="171"/>
      <c r="C128" s="14"/>
      <c r="D128" s="130"/>
      <c r="E128" s="130"/>
      <c r="F128" s="269"/>
      <c r="G128" s="15" t="s">
        <v>108</v>
      </c>
      <c r="H128" s="192">
        <f t="shared" si="46"/>
        <v>0.52263779980753378</v>
      </c>
      <c r="I128" s="192">
        <f t="shared" si="46"/>
        <v>-0.15384082823850198</v>
      </c>
      <c r="J128" s="192">
        <f t="shared" si="46"/>
        <v>-3.0454886173178486E-2</v>
      </c>
      <c r="K128" s="192">
        <f t="shared" si="46"/>
        <v>0.26950235952346979</v>
      </c>
      <c r="L128" s="192">
        <f t="shared" si="46"/>
        <v>0.46773139701168698</v>
      </c>
      <c r="M128" s="192">
        <f t="shared" si="46"/>
        <v>1.0660644627691092</v>
      </c>
      <c r="N128" s="192">
        <f t="shared" si="46"/>
        <v>-8.2812421504388611E-2</v>
      </c>
      <c r="O128" s="192">
        <f t="shared" si="46"/>
        <v>5.0404110379863809E-2</v>
      </c>
      <c r="P128" s="192">
        <f t="shared" si="46"/>
        <v>-0.31803204218745373</v>
      </c>
      <c r="Q128" s="192">
        <f t="shared" si="46"/>
        <v>3.0098167068028925E-3</v>
      </c>
      <c r="R128" s="192">
        <f t="shared" si="46"/>
        <v>-0.11159712764230068</v>
      </c>
      <c r="S128" s="192">
        <f t="shared" si="46"/>
        <v>-0.48489892557175174</v>
      </c>
      <c r="U128" s="32"/>
      <c r="V128" s="14"/>
      <c r="W128" s="14"/>
      <c r="X128" s="14"/>
      <c r="Y128" s="14"/>
      <c r="Z128" s="14"/>
      <c r="AA128" s="14"/>
      <c r="AB128" s="14"/>
      <c r="AC128" s="14"/>
      <c r="AD128" s="14"/>
      <c r="AE128" s="14"/>
      <c r="AF128" s="14"/>
      <c r="AG128" s="14"/>
    </row>
    <row r="129" spans="2:33" x14ac:dyDescent="0.25">
      <c r="B129" s="171"/>
      <c r="C129" s="14"/>
      <c r="D129" s="130"/>
      <c r="E129" s="130"/>
      <c r="F129" s="269"/>
      <c r="G129" s="15" t="s">
        <v>21</v>
      </c>
      <c r="H129" s="192">
        <f t="shared" ref="H129:S129" si="47">IFERROR(H124-V124,"")</f>
        <v>-8.4763813624927423E-2</v>
      </c>
      <c r="I129" s="192">
        <f t="shared" si="47"/>
        <v>-1.1282531390628445E-2</v>
      </c>
      <c r="J129" s="192">
        <f t="shared" si="47"/>
        <v>-5.6925302083966733E-2</v>
      </c>
      <c r="K129" s="192">
        <f t="shared" si="47"/>
        <v>-4.4515475585979139E-2</v>
      </c>
      <c r="L129" s="192">
        <f t="shared" si="47"/>
        <v>-8.0378757144716997E-2</v>
      </c>
      <c r="M129" s="192">
        <f t="shared" si="47"/>
        <v>-0.10824317110076463</v>
      </c>
      <c r="N129" s="192">
        <f t="shared" si="47"/>
        <v>-3.3726134585289502E-2</v>
      </c>
      <c r="O129" s="192">
        <f t="shared" si="47"/>
        <v>-1.2457095591670284E-2</v>
      </c>
      <c r="P129" s="192">
        <f t="shared" si="47"/>
        <v>-6.5157863235074109E-3</v>
      </c>
      <c r="Q129" s="192">
        <f t="shared" si="47"/>
        <v>-2.8911019788269987E-2</v>
      </c>
      <c r="R129" s="192">
        <f t="shared" si="47"/>
        <v>-1.6655421938410131E-2</v>
      </c>
      <c r="S129" s="192">
        <f t="shared" si="47"/>
        <v>5.738916556915219E-3</v>
      </c>
      <c r="U129" s="32"/>
      <c r="V129" s="14"/>
      <c r="W129" s="14"/>
      <c r="X129" s="14"/>
      <c r="Y129" s="14"/>
      <c r="Z129" s="14"/>
      <c r="AA129" s="14"/>
      <c r="AB129" s="14"/>
      <c r="AC129" s="14"/>
      <c r="AD129" s="14"/>
      <c r="AE129" s="14"/>
      <c r="AF129" s="14"/>
      <c r="AG129" s="14"/>
    </row>
    <row r="130" spans="2:33" x14ac:dyDescent="0.25">
      <c r="B130" s="171"/>
      <c r="C130" s="14"/>
      <c r="D130" s="130"/>
      <c r="E130" s="130"/>
      <c r="F130" s="269"/>
      <c r="G130" s="15" t="s">
        <v>22</v>
      </c>
      <c r="H130" s="192">
        <f t="shared" ref="H130:S130" si="48">IFERROR(H125/V125-1,"")</f>
        <v>4.1139195663588035E-2</v>
      </c>
      <c r="I130" s="192">
        <f t="shared" si="48"/>
        <v>7.5664311366934633E-2</v>
      </c>
      <c r="J130" s="192">
        <f t="shared" si="48"/>
        <v>0.11279809560996767</v>
      </c>
      <c r="K130" s="192">
        <f t="shared" si="48"/>
        <v>5.884972873176908E-2</v>
      </c>
      <c r="L130" s="192">
        <f t="shared" si="48"/>
        <v>-0.13483389855411576</v>
      </c>
      <c r="M130" s="192">
        <f t="shared" si="48"/>
        <v>-4.8577753982254057E-3</v>
      </c>
      <c r="N130" s="192">
        <f t="shared" si="48"/>
        <v>-3.9539502910216906E-2</v>
      </c>
      <c r="O130" s="192">
        <f t="shared" si="48"/>
        <v>1.6053748336610107E-2</v>
      </c>
      <c r="P130" s="192">
        <f t="shared" si="48"/>
        <v>-2.6946280180592863E-2</v>
      </c>
      <c r="Q130" s="192">
        <f t="shared" si="48"/>
        <v>-6.6214897571542641E-2</v>
      </c>
      <c r="R130" s="192">
        <f t="shared" si="48"/>
        <v>3.5891389759445946E-3</v>
      </c>
      <c r="S130" s="192">
        <f t="shared" si="48"/>
        <v>-0.21296868480202513</v>
      </c>
      <c r="U130" s="32"/>
      <c r="V130" s="14"/>
      <c r="W130" s="14"/>
      <c r="X130" s="14"/>
      <c r="Y130" s="14"/>
      <c r="Z130" s="14"/>
      <c r="AA130" s="14"/>
      <c r="AB130" s="14"/>
      <c r="AC130" s="14"/>
      <c r="AD130" s="14"/>
      <c r="AE130" s="14"/>
      <c r="AF130" s="14"/>
      <c r="AG130" s="14"/>
    </row>
    <row r="132" spans="2:33" ht="16.25" customHeight="1" x14ac:dyDescent="0.25">
      <c r="B132" s="272" t="s">
        <v>399</v>
      </c>
      <c r="C132" s="273"/>
      <c r="D132" s="273"/>
      <c r="E132" s="274"/>
      <c r="G132" s="299" t="s">
        <v>400</v>
      </c>
      <c r="H132" s="273"/>
      <c r="I132" s="273"/>
      <c r="J132" s="273"/>
      <c r="K132" s="273"/>
      <c r="L132" s="273"/>
      <c r="M132" s="273"/>
      <c r="N132" s="273"/>
      <c r="O132" s="273"/>
      <c r="P132" s="273"/>
      <c r="Q132" s="273"/>
      <c r="R132" s="273"/>
      <c r="S132" s="274"/>
      <c r="U132" s="299" t="s">
        <v>401</v>
      </c>
      <c r="V132" s="273"/>
      <c r="W132" s="273"/>
      <c r="X132" s="273"/>
      <c r="Y132" s="273"/>
      <c r="Z132" s="273"/>
      <c r="AA132" s="273"/>
      <c r="AB132" s="273"/>
      <c r="AC132" s="273"/>
      <c r="AD132" s="273"/>
      <c r="AE132" s="273"/>
      <c r="AF132" s="273"/>
      <c r="AG132" s="274"/>
    </row>
    <row r="133" spans="2:33" ht="16.25" customHeight="1" x14ac:dyDescent="0.25">
      <c r="B133" s="10"/>
      <c r="C133" s="10" t="s">
        <v>162</v>
      </c>
      <c r="D133" s="10" t="s">
        <v>24</v>
      </c>
      <c r="E133" s="10" t="s">
        <v>163</v>
      </c>
      <c r="G133" s="11"/>
      <c r="H133" s="11">
        <v>2023.01</v>
      </c>
      <c r="I133" s="11">
        <v>2023.02</v>
      </c>
      <c r="J133" s="11">
        <v>2023.03</v>
      </c>
      <c r="K133" s="11">
        <v>2023.04</v>
      </c>
      <c r="L133" s="11">
        <v>2023.05</v>
      </c>
      <c r="M133" s="11">
        <v>2023.06</v>
      </c>
      <c r="N133" s="11">
        <v>2023.07</v>
      </c>
      <c r="O133" s="11">
        <v>2023.08</v>
      </c>
      <c r="P133" s="11">
        <v>2023.09</v>
      </c>
      <c r="Q133" s="11" t="s">
        <v>161</v>
      </c>
      <c r="R133" s="11">
        <v>2023.11</v>
      </c>
      <c r="S133" s="11">
        <v>2023.12</v>
      </c>
      <c r="U133" s="11"/>
      <c r="V133" s="11" t="s">
        <v>4</v>
      </c>
      <c r="W133" s="11" t="s">
        <v>5</v>
      </c>
      <c r="X133" s="11" t="s">
        <v>6</v>
      </c>
      <c r="Y133" s="11" t="s">
        <v>7</v>
      </c>
      <c r="Z133" s="11" t="s">
        <v>8</v>
      </c>
      <c r="AA133" s="11" t="s">
        <v>9</v>
      </c>
      <c r="AB133" s="11" t="s">
        <v>10</v>
      </c>
      <c r="AC133" s="11" t="s">
        <v>11</v>
      </c>
      <c r="AD133" s="11" t="s">
        <v>12</v>
      </c>
      <c r="AE133" s="11" t="s">
        <v>13</v>
      </c>
      <c r="AF133" s="11" t="s">
        <v>14</v>
      </c>
      <c r="AG133" s="11" t="s">
        <v>15</v>
      </c>
    </row>
    <row r="134" spans="2:33" x14ac:dyDescent="0.25">
      <c r="B134" s="12" t="s">
        <v>106</v>
      </c>
      <c r="C134" s="16">
        <f>S134</f>
        <v>6229678</v>
      </c>
      <c r="D134" s="38">
        <f>S139</f>
        <v>-0.56162933978599505</v>
      </c>
      <c r="E134" s="38" t="str">
        <f>O60</f>
        <v/>
      </c>
      <c r="F134" s="323" t="s">
        <v>16</v>
      </c>
      <c r="G134" s="15" t="s">
        <v>106</v>
      </c>
      <c r="H134" s="16">
        <f>IFERROR(VLOOKUP("胶囊咖啡"&amp;"-"&amp;H133,dat_nespresso_shop_ct_each!$C:$H,2,0),"")</f>
        <v>5568862</v>
      </c>
      <c r="I134" s="16">
        <f>IFERROR(VLOOKUP("胶囊咖啡"&amp;"-"&amp;I133,dat_nespresso_shop_ct_each!$C:$H,2,0),"")</f>
        <v>6946247</v>
      </c>
      <c r="J134" s="16">
        <f>IFERROR(VLOOKUP("胶囊咖啡"&amp;"-"&amp;J133,dat_nespresso_shop_ct_each!$C:$H,2,0),"")</f>
        <v>15667759</v>
      </c>
      <c r="K134" s="16">
        <f>IFERROR(VLOOKUP("胶囊咖啡"&amp;"-"&amp;K133,dat_nespresso_shop_ct_each!$C:$H,2,0),"")</f>
        <v>7457399</v>
      </c>
      <c r="L134" s="16">
        <f>IFERROR(VLOOKUP("胶囊咖啡"&amp;"-"&amp;L133,dat_nespresso_shop_ct_each!$C:$H,2,0),"")</f>
        <v>19120752</v>
      </c>
      <c r="M134" s="16">
        <f>IFERROR(VLOOKUP("胶囊咖啡"&amp;"-"&amp;M133,dat_nespresso_shop_ct_each!$C:$H,2,0),"")</f>
        <v>23595400</v>
      </c>
      <c r="N134" s="16">
        <f>IFERROR(VLOOKUP("胶囊咖啡"&amp;"-"&amp;N133,dat_nespresso_shop_ct_each!$C:$H,2,0),"")</f>
        <v>5236569</v>
      </c>
      <c r="O134" s="16">
        <f>IFERROR(VLOOKUP("胶囊咖啡"&amp;"-"&amp;O133,dat_nespresso_shop_ct_each!$C:$H,2,0),"")</f>
        <v>8220867</v>
      </c>
      <c r="P134" s="16">
        <f>IFERROR(VLOOKUP("胶囊咖啡"&amp;"-"&amp;P133,dat_nespresso_shop_ct_each!$C:$H,2,0),"")</f>
        <v>8907012</v>
      </c>
      <c r="Q134" s="16">
        <f>IFERROR(VLOOKUP("胶囊咖啡"&amp;"-"&amp;Q133,dat_nespresso_shop_ct_each!$C:$H,2,0),"")</f>
        <v>24687108</v>
      </c>
      <c r="R134" s="16">
        <f>IFERROR(VLOOKUP("胶囊咖啡"&amp;"-"&amp;R133,dat_nespresso_shop_ct_each!$C:$H,2,0),"")</f>
        <v>24702175</v>
      </c>
      <c r="S134" s="16">
        <f>IFERROR(VLOOKUP("胶囊咖啡"&amp;"-"&amp;S133,dat_nespresso_shop_ct_each!$C:$H,2,0),"")</f>
        <v>6229678</v>
      </c>
      <c r="U134" s="15" t="s">
        <v>106</v>
      </c>
      <c r="V134" s="16">
        <v>10327850</v>
      </c>
      <c r="W134" s="16">
        <v>8387276</v>
      </c>
      <c r="X134" s="16">
        <v>19940036</v>
      </c>
      <c r="Y134" s="16">
        <v>8907352</v>
      </c>
      <c r="Z134" s="16">
        <v>27342923</v>
      </c>
      <c r="AA134" s="16">
        <v>27889768</v>
      </c>
      <c r="AB134" s="16">
        <v>7616214</v>
      </c>
      <c r="AC134" s="16">
        <v>8476618</v>
      </c>
      <c r="AD134" s="16">
        <v>14232303</v>
      </c>
      <c r="AE134" s="16">
        <v>35445955</v>
      </c>
      <c r="AF134" s="16">
        <v>32675858</v>
      </c>
      <c r="AG134" s="16">
        <v>14210983</v>
      </c>
    </row>
    <row r="135" spans="2:33" x14ac:dyDescent="0.25">
      <c r="B135" s="12" t="s">
        <v>107</v>
      </c>
      <c r="C135" s="16">
        <f>S135</f>
        <v>17756</v>
      </c>
      <c r="D135" s="38">
        <f>S140</f>
        <v>-0.44529834426741643</v>
      </c>
      <c r="E135" s="38" t="str">
        <f>O61</f>
        <v/>
      </c>
      <c r="F135" s="281"/>
      <c r="G135" s="15" t="s">
        <v>107</v>
      </c>
      <c r="H135" s="16">
        <f>IFERROR(VLOOKUP("胶囊咖啡"&amp;"-"&amp;H133,dat_nespresso_shop_ct_each!$C:$H,3,0),"")</f>
        <v>13886</v>
      </c>
      <c r="I135" s="16">
        <f>IFERROR(VLOOKUP("胶囊咖啡"&amp;"-"&amp;I133,dat_nespresso_shop_ct_each!$C:$H,3,0),"")</f>
        <v>17985</v>
      </c>
      <c r="J135" s="16">
        <f>IFERROR(VLOOKUP("胶囊咖啡"&amp;"-"&amp;J133,dat_nespresso_shop_ct_each!$C:$H,3,0),"")</f>
        <v>35164</v>
      </c>
      <c r="K135" s="16">
        <f>IFERROR(VLOOKUP("胶囊咖啡"&amp;"-"&amp;K133,dat_nespresso_shop_ct_each!$C:$H,3,0),"")</f>
        <v>19896</v>
      </c>
      <c r="L135" s="16">
        <f>IFERROR(VLOOKUP("胶囊咖啡"&amp;"-"&amp;L133,dat_nespresso_shop_ct_each!$C:$H,3,0),"")</f>
        <v>46884</v>
      </c>
      <c r="M135" s="16">
        <f>IFERROR(VLOOKUP("胶囊咖啡"&amp;"-"&amp;M133,dat_nespresso_shop_ct_each!$C:$H,3,0),"")</f>
        <v>50630</v>
      </c>
      <c r="N135" s="16">
        <f>IFERROR(VLOOKUP("胶囊咖啡"&amp;"-"&amp;N133,dat_nespresso_shop_ct_each!$C:$H,3,0),"")</f>
        <v>14681</v>
      </c>
      <c r="O135" s="16">
        <f>IFERROR(VLOOKUP("胶囊咖啡"&amp;"-"&amp;O133,dat_nespresso_shop_ct_each!$C:$H,3,0),"")</f>
        <v>21487</v>
      </c>
      <c r="P135" s="16">
        <f>IFERROR(VLOOKUP("胶囊咖啡"&amp;"-"&amp;P133,dat_nespresso_shop_ct_each!$C:$H,3,0),"")</f>
        <v>22401</v>
      </c>
      <c r="Q135" s="16">
        <f>IFERROR(VLOOKUP("胶囊咖啡"&amp;"-"&amp;Q133,dat_nespresso_shop_ct_each!$C:$H,3,0),"")</f>
        <v>52621</v>
      </c>
      <c r="R135" s="16">
        <f>IFERROR(VLOOKUP("胶囊咖啡"&amp;"-"&amp;R133,dat_nespresso_shop_ct_each!$C:$H,3,0),"")</f>
        <v>51009</v>
      </c>
      <c r="S135" s="16">
        <f>IFERROR(VLOOKUP("胶囊咖啡"&amp;"-"&amp;S133,dat_nespresso_shop_ct_each!$C:$H,3,0),"")</f>
        <v>17756</v>
      </c>
      <c r="U135" s="15" t="s">
        <v>107</v>
      </c>
      <c r="V135" s="16">
        <v>26951</v>
      </c>
      <c r="W135" s="16">
        <v>23326</v>
      </c>
      <c r="X135" s="16">
        <v>49661</v>
      </c>
      <c r="Y135" s="16">
        <v>24669</v>
      </c>
      <c r="Z135" s="16">
        <v>57852</v>
      </c>
      <c r="AA135" s="16">
        <v>59479</v>
      </c>
      <c r="AB135" s="16">
        <v>20602</v>
      </c>
      <c r="AC135" s="16">
        <v>22648</v>
      </c>
      <c r="AD135" s="16">
        <v>34845</v>
      </c>
      <c r="AE135" s="16">
        <v>70650</v>
      </c>
      <c r="AF135" s="16">
        <v>67739</v>
      </c>
      <c r="AG135" s="16">
        <v>32010</v>
      </c>
    </row>
    <row r="136" spans="2:33" x14ac:dyDescent="0.25">
      <c r="B136" s="12" t="s">
        <v>108</v>
      </c>
      <c r="C136" s="16">
        <f>S136</f>
        <v>229011</v>
      </c>
      <c r="D136" s="38">
        <f>S141</f>
        <v>-0.48514987264253806</v>
      </c>
      <c r="E136" s="38" t="str">
        <f>O62</f>
        <v/>
      </c>
      <c r="F136" s="281"/>
      <c r="G136" s="15" t="s">
        <v>108</v>
      </c>
      <c r="H136" s="16">
        <f>IFERROR(VLOOKUP("胶囊咖啡"&amp;"-"&amp;H133,dat_nespresso_shop_ct_each!$C:$H,4,0),"")</f>
        <v>330385</v>
      </c>
      <c r="I136" s="16">
        <f>IFERROR(VLOOKUP("胶囊咖啡"&amp;"-"&amp;I133,dat_nespresso_shop_ct_each!$C:$H,4,0),"")</f>
        <v>158451</v>
      </c>
      <c r="J136" s="16">
        <f>IFERROR(VLOOKUP("胶囊咖啡"&amp;"-"&amp;J133,dat_nespresso_shop_ct_each!$C:$H,4,0),"")</f>
        <v>229882</v>
      </c>
      <c r="K136" s="16">
        <f>IFERROR(VLOOKUP("胶囊咖啡"&amp;"-"&amp;K133,dat_nespresso_shop_ct_each!$C:$H,4,0),"")</f>
        <v>257627</v>
      </c>
      <c r="L136" s="16">
        <f>IFERROR(VLOOKUP("胶囊咖啡"&amp;"-"&amp;L133,dat_nespresso_shop_ct_each!$C:$H,4,0),"")</f>
        <v>475893</v>
      </c>
      <c r="M136" s="16">
        <f>IFERROR(VLOOKUP("胶囊咖啡"&amp;"-"&amp;M133,dat_nespresso_shop_ct_each!$C:$H,4,0),"")</f>
        <v>669156</v>
      </c>
      <c r="N136" s="16">
        <f>IFERROR(VLOOKUP("胶囊咖啡"&amp;"-"&amp;N133,dat_nespresso_shop_ct_each!$C:$H,4,0),"")</f>
        <v>127590</v>
      </c>
      <c r="O136" s="16">
        <f>IFERROR(VLOOKUP("胶囊咖啡"&amp;"-"&amp;O133,dat_nespresso_shop_ct_each!$C:$H,4,0),"")</f>
        <v>181690</v>
      </c>
      <c r="P136" s="16">
        <f>IFERROR(VLOOKUP("胶囊咖啡"&amp;"-"&amp;P133,dat_nespresso_shop_ct_each!$C:$H,4,0),"")</f>
        <v>206925</v>
      </c>
      <c r="Q136" s="16">
        <f>IFERROR(VLOOKUP("胶囊咖啡"&amp;"-"&amp;Q133,dat_nespresso_shop_ct_each!$C:$H,4,0),"")</f>
        <v>626227</v>
      </c>
      <c r="R136" s="16">
        <f>IFERROR(VLOOKUP("胶囊咖啡"&amp;"-"&amp;R133,dat_nespresso_shop_ct_each!$C:$H,4,0),"")</f>
        <v>535829</v>
      </c>
      <c r="S136" s="16">
        <f>IFERROR(VLOOKUP("胶囊咖啡"&amp;"-"&amp;S133,dat_nespresso_shop_ct_each!$C:$H,4,0),"")</f>
        <v>229011</v>
      </c>
      <c r="U136" s="15" t="s">
        <v>108</v>
      </c>
      <c r="V136" s="16">
        <v>215898</v>
      </c>
      <c r="W136" s="16">
        <v>187323</v>
      </c>
      <c r="X136" s="16">
        <v>236897</v>
      </c>
      <c r="Y136" s="16">
        <v>202766</v>
      </c>
      <c r="Z136" s="16">
        <v>323946</v>
      </c>
      <c r="AA136" s="16">
        <v>323527</v>
      </c>
      <c r="AB136" s="16">
        <v>138940</v>
      </c>
      <c r="AC136" s="16">
        <v>172874</v>
      </c>
      <c r="AD136" s="16">
        <v>303401</v>
      </c>
      <c r="AE136" s="16">
        <v>624118</v>
      </c>
      <c r="AF136" s="16">
        <v>603087</v>
      </c>
      <c r="AG136" s="16">
        <v>444811</v>
      </c>
    </row>
    <row r="137" spans="2:33" x14ac:dyDescent="0.25">
      <c r="B137" s="12" t="s">
        <v>21</v>
      </c>
      <c r="C137" s="253">
        <f>S137</f>
        <v>7.7533393592447528E-2</v>
      </c>
      <c r="D137" s="38">
        <f>S142</f>
        <v>5.533393592447533E-3</v>
      </c>
      <c r="E137" s="38" t="str">
        <f>O63</f>
        <v/>
      </c>
      <c r="F137" s="281"/>
      <c r="G137" s="15" t="s">
        <v>21</v>
      </c>
      <c r="H137" s="192">
        <f t="shared" ref="H137:S137" si="49">IFERROR(H135/H136,"")</f>
        <v>4.2029753166759991E-2</v>
      </c>
      <c r="I137" s="192">
        <f t="shared" si="49"/>
        <v>0.11350512145710662</v>
      </c>
      <c r="J137" s="192">
        <f t="shared" si="49"/>
        <v>0.15296543444027805</v>
      </c>
      <c r="K137" s="192">
        <f t="shared" si="49"/>
        <v>7.7227930302336323E-2</v>
      </c>
      <c r="L137" s="192">
        <f t="shared" si="49"/>
        <v>9.8517944159716569E-2</v>
      </c>
      <c r="M137" s="192">
        <f t="shared" si="49"/>
        <v>7.5662476313445595E-2</v>
      </c>
      <c r="N137" s="192">
        <f t="shared" si="49"/>
        <v>0.11506387647934792</v>
      </c>
      <c r="O137" s="192">
        <f t="shared" si="49"/>
        <v>0.11826187462160824</v>
      </c>
      <c r="P137" s="192">
        <f t="shared" si="49"/>
        <v>0.10825661471547662</v>
      </c>
      <c r="Q137" s="192">
        <f t="shared" si="49"/>
        <v>8.402863498379981E-2</v>
      </c>
      <c r="R137" s="192">
        <f t="shared" si="49"/>
        <v>9.5196415274275942E-2</v>
      </c>
      <c r="S137" s="192">
        <f t="shared" si="49"/>
        <v>7.7533393592447528E-2</v>
      </c>
      <c r="U137" s="15" t="s">
        <v>21</v>
      </c>
      <c r="V137" s="38">
        <v>0.125</v>
      </c>
      <c r="W137" s="38">
        <v>0.125</v>
      </c>
      <c r="X137" s="38">
        <v>0.21</v>
      </c>
      <c r="Y137" s="38">
        <v>0.122</v>
      </c>
      <c r="Z137" s="38">
        <v>0.17899999999999999</v>
      </c>
      <c r="AA137" s="38">
        <v>0.184</v>
      </c>
      <c r="AB137" s="38">
        <v>0.14799999999999999</v>
      </c>
      <c r="AC137" s="38">
        <v>0.13100000000000001</v>
      </c>
      <c r="AD137" s="38">
        <v>0.115</v>
      </c>
      <c r="AE137" s="38">
        <v>0.113</v>
      </c>
      <c r="AF137" s="38">
        <v>0.112</v>
      </c>
      <c r="AG137" s="38">
        <v>7.1999999999999995E-2</v>
      </c>
    </row>
    <row r="138" spans="2:33" x14ac:dyDescent="0.25">
      <c r="B138" s="12" t="s">
        <v>22</v>
      </c>
      <c r="C138" s="16">
        <f>S138</f>
        <v>350.84917774273487</v>
      </c>
      <c r="D138" s="38">
        <f>S143</f>
        <v>-0.20979914922807463</v>
      </c>
      <c r="E138" s="38" t="str">
        <f>O64</f>
        <v/>
      </c>
      <c r="F138" s="281"/>
      <c r="G138" s="15" t="s">
        <v>22</v>
      </c>
      <c r="H138" s="193">
        <f t="shared" ref="H138:S138" si="50">IFERROR(H134/H135,"")</f>
        <v>401.0414806279706</v>
      </c>
      <c r="I138" s="193">
        <f t="shared" si="50"/>
        <v>386.22446483180426</v>
      </c>
      <c r="J138" s="193">
        <f t="shared" si="50"/>
        <v>445.56247867136847</v>
      </c>
      <c r="K138" s="193">
        <f t="shared" si="50"/>
        <v>374.81900884599918</v>
      </c>
      <c r="L138" s="193">
        <f t="shared" si="50"/>
        <v>407.83107243409268</v>
      </c>
      <c r="M138" s="193">
        <f t="shared" si="50"/>
        <v>466.03594706695634</v>
      </c>
      <c r="N138" s="193">
        <f t="shared" si="50"/>
        <v>356.69021183843063</v>
      </c>
      <c r="O138" s="193">
        <f t="shared" si="50"/>
        <v>382.5972448457207</v>
      </c>
      <c r="P138" s="193">
        <f t="shared" si="50"/>
        <v>397.61671353957411</v>
      </c>
      <c r="Q138" s="193">
        <f t="shared" si="50"/>
        <v>469.14935101955496</v>
      </c>
      <c r="R138" s="193">
        <f t="shared" si="50"/>
        <v>484.27091297614146</v>
      </c>
      <c r="S138" s="193">
        <f t="shared" si="50"/>
        <v>350.84917774273487</v>
      </c>
      <c r="U138" s="15" t="s">
        <v>22</v>
      </c>
      <c r="V138" s="16">
        <v>383</v>
      </c>
      <c r="W138" s="16">
        <v>360</v>
      </c>
      <c r="X138" s="16">
        <v>402</v>
      </c>
      <c r="Y138" s="16">
        <v>361</v>
      </c>
      <c r="Z138" s="16">
        <v>473</v>
      </c>
      <c r="AA138" s="16">
        <v>469</v>
      </c>
      <c r="AB138" s="16">
        <v>370</v>
      </c>
      <c r="AC138" s="16">
        <v>374</v>
      </c>
      <c r="AD138" s="16">
        <v>408</v>
      </c>
      <c r="AE138" s="16">
        <v>502</v>
      </c>
      <c r="AF138" s="16">
        <v>482</v>
      </c>
      <c r="AG138" s="16">
        <v>444</v>
      </c>
    </row>
    <row r="139" spans="2:33" ht="16.25" customHeight="1" x14ac:dyDescent="0.25">
      <c r="B139" s="172" t="s">
        <v>402</v>
      </c>
      <c r="C139" s="172">
        <f>C134/C121</f>
        <v>0.99783716025532498</v>
      </c>
      <c r="F139" s="317" t="s">
        <v>24</v>
      </c>
      <c r="G139" s="15" t="s">
        <v>106</v>
      </c>
      <c r="H139" s="192">
        <f t="shared" ref="H139:S141" si="51">IFERROR(H134/V134-1,"")</f>
        <v>-0.46079174271508594</v>
      </c>
      <c r="I139" s="192">
        <f t="shared" si="51"/>
        <v>-0.17181132467800031</v>
      </c>
      <c r="J139" s="192">
        <f t="shared" si="51"/>
        <v>-0.21425623303789421</v>
      </c>
      <c r="K139" s="192">
        <f t="shared" si="51"/>
        <v>-0.16278159884104726</v>
      </c>
      <c r="L139" s="192">
        <f t="shared" si="51"/>
        <v>-0.30070563414160223</v>
      </c>
      <c r="M139" s="192">
        <f t="shared" si="51"/>
        <v>-0.15397646907640106</v>
      </c>
      <c r="N139" s="192">
        <f t="shared" si="51"/>
        <v>-0.31244460830538634</v>
      </c>
      <c r="O139" s="192">
        <f t="shared" si="51"/>
        <v>-3.0171348997914071E-2</v>
      </c>
      <c r="P139" s="192">
        <f t="shared" si="51"/>
        <v>-0.37416931047631574</v>
      </c>
      <c r="Q139" s="192">
        <f t="shared" si="51"/>
        <v>-0.30352820230122168</v>
      </c>
      <c r="R139" s="192">
        <f t="shared" si="51"/>
        <v>-0.24402367644026368</v>
      </c>
      <c r="S139" s="192">
        <f t="shared" si="51"/>
        <v>-0.56162933978599505</v>
      </c>
    </row>
    <row r="140" spans="2:33" ht="16.25" customHeight="1" x14ac:dyDescent="0.25">
      <c r="B140" s="172"/>
      <c r="C140" s="172"/>
      <c r="F140" s="269"/>
      <c r="G140" s="15" t="s">
        <v>107</v>
      </c>
      <c r="H140" s="192">
        <f t="shared" si="51"/>
        <v>-0.48476865422433302</v>
      </c>
      <c r="I140" s="192">
        <f t="shared" si="51"/>
        <v>-0.2289719626168224</v>
      </c>
      <c r="J140" s="192">
        <f t="shared" si="51"/>
        <v>-0.29191921225911677</v>
      </c>
      <c r="K140" s="192">
        <f t="shared" si="51"/>
        <v>-0.19348169767724677</v>
      </c>
      <c r="L140" s="192">
        <f t="shared" si="51"/>
        <v>-0.18958722256793192</v>
      </c>
      <c r="M140" s="192">
        <f t="shared" si="51"/>
        <v>-0.14877519796903105</v>
      </c>
      <c r="N140" s="192">
        <f t="shared" si="51"/>
        <v>-0.28739928162314343</v>
      </c>
      <c r="O140" s="192">
        <f t="shared" si="51"/>
        <v>-5.1262804662663419E-2</v>
      </c>
      <c r="P140" s="192">
        <f t="shared" si="51"/>
        <v>-0.35712440809298318</v>
      </c>
      <c r="Q140" s="192">
        <f t="shared" si="51"/>
        <v>-0.25518754423213019</v>
      </c>
      <c r="R140" s="192">
        <f t="shared" si="51"/>
        <v>-0.24697736901932421</v>
      </c>
      <c r="S140" s="192">
        <f t="shared" si="51"/>
        <v>-0.44529834426741643</v>
      </c>
    </row>
    <row r="141" spans="2:33" ht="16.25" customHeight="1" x14ac:dyDescent="0.25">
      <c r="B141" s="172"/>
      <c r="C141" s="172"/>
      <c r="F141" s="269"/>
      <c r="G141" s="15" t="s">
        <v>108</v>
      </c>
      <c r="H141" s="192">
        <f t="shared" si="51"/>
        <v>0.53028281873847827</v>
      </c>
      <c r="I141" s="192">
        <f t="shared" si="51"/>
        <v>-0.15412949824634459</v>
      </c>
      <c r="J141" s="192">
        <f t="shared" si="51"/>
        <v>-2.9612025479427762E-2</v>
      </c>
      <c r="K141" s="192">
        <f t="shared" si="51"/>
        <v>0.27056311215884321</v>
      </c>
      <c r="L141" s="192">
        <f t="shared" si="51"/>
        <v>0.469050397288437</v>
      </c>
      <c r="M141" s="192">
        <f t="shared" si="51"/>
        <v>1.0683157819903748</v>
      </c>
      <c r="N141" s="192">
        <f t="shared" si="51"/>
        <v>-8.1689938102778137E-2</v>
      </c>
      <c r="O141" s="192">
        <f t="shared" si="51"/>
        <v>5.0996679662644429E-2</v>
      </c>
      <c r="P141" s="192">
        <f t="shared" si="51"/>
        <v>-0.31798181284834259</v>
      </c>
      <c r="Q141" s="192">
        <f t="shared" si="51"/>
        <v>3.3791686828452683E-3</v>
      </c>
      <c r="R141" s="192">
        <f t="shared" si="51"/>
        <v>-0.11152288144164935</v>
      </c>
      <c r="S141" s="192">
        <f t="shared" si="51"/>
        <v>-0.48514987264253806</v>
      </c>
    </row>
    <row r="142" spans="2:33" ht="16.25" customHeight="1" x14ac:dyDescent="0.25">
      <c r="B142" s="172"/>
      <c r="C142" s="172"/>
      <c r="F142" s="269"/>
      <c r="G142" s="15" t="s">
        <v>21</v>
      </c>
      <c r="H142" s="192">
        <f t="shared" ref="H142:S142" si="52">IFERROR(H137-V137,"")</f>
        <v>-8.2970246833240002E-2</v>
      </c>
      <c r="I142" s="192">
        <f t="shared" si="52"/>
        <v>-1.1494878542893383E-2</v>
      </c>
      <c r="J142" s="192">
        <f t="shared" si="52"/>
        <v>-5.7034565559721945E-2</v>
      </c>
      <c r="K142" s="192">
        <f t="shared" si="52"/>
        <v>-4.4772069697663675E-2</v>
      </c>
      <c r="L142" s="192">
        <f t="shared" si="52"/>
        <v>-8.0482055840283423E-2</v>
      </c>
      <c r="M142" s="192">
        <f t="shared" si="52"/>
        <v>-0.1083375236865544</v>
      </c>
      <c r="N142" s="192">
        <f t="shared" si="52"/>
        <v>-3.2936123520652075E-2</v>
      </c>
      <c r="O142" s="192">
        <f t="shared" si="52"/>
        <v>-1.2738125378391765E-2</v>
      </c>
      <c r="P142" s="192">
        <f t="shared" si="52"/>
        <v>-6.7433852845233816E-3</v>
      </c>
      <c r="Q142" s="192">
        <f t="shared" si="52"/>
        <v>-2.8971365016200193E-2</v>
      </c>
      <c r="R142" s="192">
        <f t="shared" si="52"/>
        <v>-1.6803584725724061E-2</v>
      </c>
      <c r="S142" s="192">
        <f t="shared" si="52"/>
        <v>5.533393592447533E-3</v>
      </c>
    </row>
    <row r="143" spans="2:33" ht="16.25" customHeight="1" x14ac:dyDescent="0.25">
      <c r="B143" s="172"/>
      <c r="C143" s="172"/>
      <c r="F143" s="269"/>
      <c r="G143" s="15" t="s">
        <v>22</v>
      </c>
      <c r="H143" s="192">
        <f t="shared" ref="H143:S143" si="53">IFERROR(H138/V138-1,"")</f>
        <v>4.7105693545615113E-2</v>
      </c>
      <c r="I143" s="192">
        <f t="shared" si="53"/>
        <v>7.2845735643900733E-2</v>
      </c>
      <c r="J143" s="192">
        <f t="shared" si="53"/>
        <v>0.1083643748043992</v>
      </c>
      <c r="K143" s="192">
        <f t="shared" si="53"/>
        <v>3.8279802897504656E-2</v>
      </c>
      <c r="L143" s="192">
        <f t="shared" si="53"/>
        <v>-0.13777785954737276</v>
      </c>
      <c r="M143" s="192">
        <f t="shared" si="53"/>
        <v>-6.3199422879395284E-3</v>
      </c>
      <c r="N143" s="192">
        <f t="shared" si="53"/>
        <v>-3.5972400436673935E-2</v>
      </c>
      <c r="O143" s="192">
        <f t="shared" si="53"/>
        <v>2.2987285683745196E-2</v>
      </c>
      <c r="P143" s="192">
        <f t="shared" si="53"/>
        <v>-2.5449231520651705E-2</v>
      </c>
      <c r="Q143" s="192">
        <f t="shared" si="53"/>
        <v>-6.5439539801683377E-2</v>
      </c>
      <c r="R143" s="192">
        <f t="shared" si="53"/>
        <v>4.711437709836952E-3</v>
      </c>
      <c r="S143" s="192">
        <f t="shared" si="53"/>
        <v>-0.20979914922807463</v>
      </c>
    </row>
    <row r="144" spans="2:33" ht="16.25" customHeight="1" x14ac:dyDescent="0.25">
      <c r="B144" s="172"/>
      <c r="C144" s="172"/>
    </row>
    <row r="146" spans="2:36" s="43" customFormat="1" ht="16.25" customHeight="1" x14ac:dyDescent="0.25">
      <c r="B146" s="296" t="s">
        <v>164</v>
      </c>
      <c r="C146" s="297"/>
      <c r="D146" s="297"/>
      <c r="E146" s="297"/>
      <c r="F146" s="297"/>
      <c r="M146" s="44"/>
      <c r="N146" s="44"/>
      <c r="O146" s="44"/>
    </row>
    <row r="148" spans="2:36" s="5" customFormat="1" ht="23.5" customHeight="1" x14ac:dyDescent="0.25">
      <c r="B148" s="270" t="s">
        <v>403</v>
      </c>
      <c r="C148" s="271"/>
      <c r="D148" s="271"/>
      <c r="E148" s="271"/>
      <c r="F148" s="271"/>
      <c r="N148" s="6"/>
      <c r="O148" s="6"/>
      <c r="P148" s="6"/>
    </row>
    <row r="149" spans="2:36" ht="16.25" customHeight="1" x14ac:dyDescent="0.25">
      <c r="B149" s="41" t="s">
        <v>157</v>
      </c>
    </row>
    <row r="150" spans="2:36" s="20" customFormat="1" ht="16.25" customHeight="1" x14ac:dyDescent="0.25">
      <c r="B150" s="272" t="s">
        <v>404</v>
      </c>
      <c r="C150" s="273"/>
      <c r="D150" s="273"/>
      <c r="E150" s="273"/>
      <c r="F150" s="273"/>
      <c r="G150" s="274"/>
      <c r="P150" s="1"/>
      <c r="Q150" s="1"/>
      <c r="R150" s="1"/>
      <c r="S150" s="1"/>
      <c r="T150" s="1"/>
    </row>
    <row r="151" spans="2:36" ht="16.25" customHeight="1" x14ac:dyDescent="0.25">
      <c r="B151" s="10"/>
      <c r="C151" s="10" t="s">
        <v>167</v>
      </c>
      <c r="D151" s="10" t="s">
        <v>405</v>
      </c>
      <c r="E151" s="10" t="s">
        <v>406</v>
      </c>
      <c r="F151" s="10" t="s">
        <v>407</v>
      </c>
      <c r="G151" s="10" t="s">
        <v>408</v>
      </c>
      <c r="I151" s="10" t="s">
        <v>409</v>
      </c>
      <c r="J151" s="10" t="s">
        <v>410</v>
      </c>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2:36" ht="16.25" customHeight="1" x14ac:dyDescent="0.25">
      <c r="B152" s="10"/>
      <c r="C152" s="10" t="s">
        <v>16</v>
      </c>
      <c r="D152" s="46">
        <v>17000</v>
      </c>
      <c r="E152" s="46">
        <v>31000</v>
      </c>
      <c r="F152" s="46">
        <v>140000</v>
      </c>
      <c r="G152" s="46">
        <v>150000</v>
      </c>
      <c r="I152" s="10"/>
      <c r="J152" s="10"/>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2:36" x14ac:dyDescent="0.25">
      <c r="B153" s="277" t="s">
        <v>174</v>
      </c>
      <c r="C153" s="12" t="s">
        <v>175</v>
      </c>
      <c r="D153" s="37">
        <f>IFERROR(dat_nespresso_profile_s!F22,"")</f>
        <v>0.30204472526156662</v>
      </c>
      <c r="E153" s="37">
        <f>IFERROR(dat_nespresso_profile_s!G22,"")</f>
        <v>0.2736827527606352</v>
      </c>
      <c r="F153" s="37">
        <f>IFERROR(dat_nespresso_profile_s!H22,"")</f>
        <v>0.28597478241385432</v>
      </c>
      <c r="G153" s="37">
        <f>IFERROR(dat_nespresso_profile_s!I22,"")</f>
        <v>0.28660034490216058</v>
      </c>
      <c r="I153" s="33">
        <f t="shared" ref="I153:I172" si="54">($D$152*D153)/($E$152*E153)-1</f>
        <v>-0.39478308986822763</v>
      </c>
      <c r="J153" s="33">
        <f t="shared" ref="J153:J172" si="55">($F$152*F153)/($G$152*G153)-1</f>
        <v>-6.8703853058115327E-2</v>
      </c>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2:36" x14ac:dyDescent="0.25">
      <c r="B154" s="283"/>
      <c r="C154" s="12" t="s">
        <v>176</v>
      </c>
      <c r="D154" s="37">
        <f>IFERROR(dat_nespresso_profile_s!F23,"")</f>
        <v>0.69540545183538105</v>
      </c>
      <c r="E154" s="37">
        <f>IFERROR(dat_nespresso_profile_s!G23,"")</f>
        <v>0.72456867314693796</v>
      </c>
      <c r="F154" s="37">
        <f>IFERROR(dat_nespresso_profile_s!H23,"")</f>
        <v>0.71311339258354201</v>
      </c>
      <c r="G154" s="37">
        <f>IFERROR(dat_nespresso_profile_s!I23,"")</f>
        <v>0.71318733528735068</v>
      </c>
      <c r="I154" s="33">
        <f t="shared" si="54"/>
        <v>-0.47368497846219293</v>
      </c>
      <c r="J154" s="33">
        <f t="shared" si="55"/>
        <v>-6.6763433934965977E-2</v>
      </c>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2:36" x14ac:dyDescent="0.25">
      <c r="B155" s="277" t="s">
        <v>177</v>
      </c>
      <c r="C155" s="12" t="s">
        <v>178</v>
      </c>
      <c r="D155" s="37">
        <f>IFERROR(dat_nespresso_profile_s!F24,"")</f>
        <v>2.9399890970796191E-2</v>
      </c>
      <c r="E155" s="37">
        <f>IFERROR(dat_nespresso_profile_s!G24,"")</f>
        <v>2.6850849879291729E-2</v>
      </c>
      <c r="F155" s="37">
        <f>IFERROR(dat_nespresso_profile_s!H24,"")</f>
        <v>0.1047542513647198</v>
      </c>
      <c r="G155" s="37">
        <f>IFERROR(dat_nespresso_profile_s!I24,"")</f>
        <v>5.7480248981656837E-2</v>
      </c>
      <c r="I155" s="33">
        <f t="shared" si="54"/>
        <v>-0.39955267980597609</v>
      </c>
      <c r="J155" s="33">
        <f t="shared" si="55"/>
        <v>0.70094312984400053</v>
      </c>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2:36" x14ac:dyDescent="0.25">
      <c r="B156" s="281"/>
      <c r="C156" s="12" t="s">
        <v>179</v>
      </c>
      <c r="D156" s="37">
        <f>IFERROR(dat_nespresso_profile_s!F25,"")</f>
        <v>0.1155389292970266</v>
      </c>
      <c r="E156" s="37">
        <f>IFERROR(dat_nespresso_profile_s!G25,"")</f>
        <v>0.1187906098042758</v>
      </c>
      <c r="F156" s="37">
        <f>IFERROR(dat_nespresso_profile_s!H25,"")</f>
        <v>0.14289333793088699</v>
      </c>
      <c r="G156" s="37">
        <f>IFERROR(dat_nespresso_profile_s!I25,"")</f>
        <v>0.13732065885687239</v>
      </c>
      <c r="I156" s="33">
        <f t="shared" si="54"/>
        <v>-0.46662401930598885</v>
      </c>
      <c r="J156" s="33">
        <f t="shared" si="55"/>
        <v>-2.8790594857485585E-2</v>
      </c>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2:36" x14ac:dyDescent="0.25">
      <c r="B157" s="281"/>
      <c r="C157" s="12" t="s">
        <v>180</v>
      </c>
      <c r="D157" s="37">
        <f>IFERROR(dat_nespresso_profile_s!F26,"")</f>
        <v>0.19865671595268181</v>
      </c>
      <c r="E157" s="37">
        <f>IFERROR(dat_nespresso_profile_s!G26,"")</f>
        <v>0.19608684089451001</v>
      </c>
      <c r="F157" s="37">
        <f>IFERROR(dat_nespresso_profile_s!H26,"")</f>
        <v>0.1750946727477895</v>
      </c>
      <c r="G157" s="37">
        <f>IFERROR(dat_nespresso_profile_s!I26,"")</f>
        <v>0.19549182259668149</v>
      </c>
      <c r="I157" s="33">
        <f t="shared" si="54"/>
        <v>-0.44442585122479328</v>
      </c>
      <c r="J157" s="33">
        <f t="shared" si="55"/>
        <v>-0.16404843745429565</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2:36" x14ac:dyDescent="0.25">
      <c r="B158" s="281"/>
      <c r="C158" s="12" t="s">
        <v>181</v>
      </c>
      <c r="D158" s="37">
        <f>IFERROR(dat_nespresso_profile_s!F27,"")</f>
        <v>0.21231466953620559</v>
      </c>
      <c r="E158" s="37">
        <f>IFERROR(dat_nespresso_profile_s!G27,"")</f>
        <v>0.21421728801772211</v>
      </c>
      <c r="F158" s="37">
        <f>IFERROR(dat_nespresso_profile_s!H27,"")</f>
        <v>0.18861663628956751</v>
      </c>
      <c r="G158" s="37">
        <f>IFERROR(dat_nespresso_profile_s!I27,"")</f>
        <v>0.20864016855713691</v>
      </c>
      <c r="I158" s="33">
        <f t="shared" si="54"/>
        <v>-0.45648352517701629</v>
      </c>
      <c r="J158" s="33">
        <f t="shared" si="55"/>
        <v>-0.15624016656191875</v>
      </c>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2:36" x14ac:dyDescent="0.25">
      <c r="B159" s="281"/>
      <c r="C159" s="12" t="s">
        <v>182</v>
      </c>
      <c r="D159" s="37">
        <f>IFERROR(dat_nespresso_profile_s!F28,"")</f>
        <v>0.18395095228317829</v>
      </c>
      <c r="E159" s="37">
        <f>IFERROR(dat_nespresso_profile_s!G28,"")</f>
        <v>0.18581688231025581</v>
      </c>
      <c r="F159" s="37">
        <f>IFERROR(dat_nespresso_profile_s!H28,"")</f>
        <v>0.16434200056757839</v>
      </c>
      <c r="G159" s="37">
        <f>IFERROR(dat_nespresso_profile_s!I28,"")</f>
        <v>0.18083330251617169</v>
      </c>
      <c r="I159" s="33">
        <f t="shared" si="54"/>
        <v>-0.45711967923889396</v>
      </c>
      <c r="J159" s="33">
        <f t="shared" si="55"/>
        <v>-0.15178307832602123</v>
      </c>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2:36" x14ac:dyDescent="0.25">
      <c r="B160" s="281"/>
      <c r="C160" s="12" t="s">
        <v>183</v>
      </c>
      <c r="D160" s="37">
        <f>IFERROR(dat_nespresso_profile_s!F29,"")</f>
        <v>9.7747328739237235E-2</v>
      </c>
      <c r="E160" s="37">
        <f>IFERROR(dat_nespresso_profile_s!G29,"")</f>
        <v>0.1060532393055932</v>
      </c>
      <c r="F160" s="37">
        <f>IFERROR(dat_nespresso_profile_s!H29,"")</f>
        <v>9.0050935150664493E-2</v>
      </c>
      <c r="G160" s="37">
        <f>IFERROR(dat_nespresso_profile_s!I29,"")</f>
        <v>9.5893954958106126E-2</v>
      </c>
      <c r="I160" s="33">
        <f t="shared" si="54"/>
        <v>-0.49456165435659649</v>
      </c>
      <c r="J160" s="33">
        <f t="shared" si="55"/>
        <v>-0.12353662427759948</v>
      </c>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2:36" x14ac:dyDescent="0.25">
      <c r="B161" s="283"/>
      <c r="C161" s="12" t="s">
        <v>184</v>
      </c>
      <c r="D161" s="37">
        <f>IFERROR(dat_nespresso_profile_s!F30,"")</f>
        <v>0.1646751265162287</v>
      </c>
      <c r="E161" s="37">
        <f>IFERROR(dat_nespresso_profile_s!G30,"")</f>
        <v>0.1527873745750625</v>
      </c>
      <c r="F161" s="37">
        <f>IFERROR(dat_nespresso_profile_s!H30,"")</f>
        <v>0.1241102262237682</v>
      </c>
      <c r="G161" s="37">
        <f>IFERROR(dat_nespresso_profile_s!I30,"")</f>
        <v>0.120928414560421</v>
      </c>
      <c r="I161" s="33">
        <f t="shared" si="54"/>
        <v>-0.40894517762139038</v>
      </c>
      <c r="J161" s="33">
        <f t="shared" si="55"/>
        <v>-4.2109238236089475E-2</v>
      </c>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2:36" x14ac:dyDescent="0.25">
      <c r="B162" s="277" t="s">
        <v>185</v>
      </c>
      <c r="C162" s="22">
        <v>1</v>
      </c>
      <c r="D162" s="37">
        <f>IFERROR(dat_nespresso_profile_s!F31,"")</f>
        <v>0.45243042565329727</v>
      </c>
      <c r="E162" s="37">
        <f>IFERROR(dat_nespresso_profile_s!G31,"")</f>
        <v>0.46112581025394311</v>
      </c>
      <c r="F162" s="37">
        <f>IFERROR(dat_nespresso_profile_s!H31,"")</f>
        <v>0.34371656652622579</v>
      </c>
      <c r="G162" s="37">
        <f>IFERROR(dat_nespresso_profile_s!I31,"")</f>
        <v>0.3836659910711161</v>
      </c>
      <c r="I162" s="33">
        <f t="shared" si="54"/>
        <v>-0.46195376164328961</v>
      </c>
      <c r="J162" s="33">
        <f t="shared" si="55"/>
        <v>-0.16385049437872379</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2:36" x14ac:dyDescent="0.25">
      <c r="B163" s="281"/>
      <c r="C163" s="22">
        <v>2</v>
      </c>
      <c r="D163" s="37">
        <f>IFERROR(dat_nespresso_profile_s!F32,"")</f>
        <v>0.32986076149276361</v>
      </c>
      <c r="E163" s="37">
        <f>IFERROR(dat_nespresso_profile_s!G32,"")</f>
        <v>0.3283302725454309</v>
      </c>
      <c r="F163" s="37">
        <f>IFERROR(dat_nespresso_profile_s!H32,"")</f>
        <v>0.3774266631308042</v>
      </c>
      <c r="G163" s="37">
        <f>IFERROR(dat_nespresso_profile_s!I32,"")</f>
        <v>0.36139658705299382</v>
      </c>
      <c r="I163" s="33">
        <f t="shared" si="54"/>
        <v>-0.44905663455168765</v>
      </c>
      <c r="J163" s="33">
        <f t="shared" si="55"/>
        <v>-2.5267813231739766E-2</v>
      </c>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2:36" x14ac:dyDescent="0.25">
      <c r="B164" s="281"/>
      <c r="C164" s="22">
        <v>3</v>
      </c>
      <c r="D164" s="37">
        <f>IFERROR(dat_nespresso_profile_s!F33,"")</f>
        <v>0.1353434901334338</v>
      </c>
      <c r="E164" s="37">
        <f>IFERROR(dat_nespresso_profile_s!G33,"")</f>
        <v>0.13025146651060501</v>
      </c>
      <c r="F164" s="37">
        <f>IFERROR(dat_nespresso_profile_s!H33,"")</f>
        <v>0.15357568781645231</v>
      </c>
      <c r="G164" s="37">
        <f>IFERROR(dat_nespresso_profile_s!I33,"")</f>
        <v>0.1439168595335745</v>
      </c>
      <c r="I164" s="33">
        <f t="shared" si="54"/>
        <v>-0.43017437262007741</v>
      </c>
      <c r="J164" s="33">
        <f t="shared" si="55"/>
        <v>-4.0269840987635641E-3</v>
      </c>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2:36" x14ac:dyDescent="0.25">
      <c r="B165" s="281"/>
      <c r="C165" s="22">
        <v>4</v>
      </c>
      <c r="D165" s="37">
        <f>IFERROR(dat_nespresso_profile_s!F34,"")</f>
        <v>2.7366052262359671E-2</v>
      </c>
      <c r="E165" s="37">
        <f>IFERROR(dat_nespresso_profile_s!G34,"")</f>
        <v>2.903788104601069E-2</v>
      </c>
      <c r="F165" s="37">
        <f>IFERROR(dat_nespresso_profile_s!H34,"")</f>
        <v>4.54806445651183E-2</v>
      </c>
      <c r="G165" s="37">
        <f>IFERROR(dat_nespresso_profile_s!I34,"")</f>
        <v>3.8900221907967762E-2</v>
      </c>
      <c r="I165" s="33">
        <f t="shared" si="54"/>
        <v>-0.48318577631242132</v>
      </c>
      <c r="J165" s="33">
        <f t="shared" si="55"/>
        <v>9.1217466433420213E-2</v>
      </c>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2:36" x14ac:dyDescent="0.25">
      <c r="B166" s="281"/>
      <c r="C166" s="22">
        <v>5</v>
      </c>
      <c r="D166" s="37">
        <f>IFERROR(dat_nespresso_profile_s!F35,"")</f>
        <v>3.5794000355945758E-2</v>
      </c>
      <c r="E166" s="37">
        <f>IFERROR(dat_nespresso_profile_s!G35,"")</f>
        <v>3.357981449568611E-2</v>
      </c>
      <c r="F166" s="37">
        <f>IFERROR(dat_nespresso_profile_s!H35,"")</f>
        <v>5.4321560604290553E-2</v>
      </c>
      <c r="G166" s="37">
        <f>IFERROR(dat_nespresso_profile_s!I35,"")</f>
        <v>4.6525178550160119E-2</v>
      </c>
      <c r="I166" s="33">
        <f t="shared" si="54"/>
        <v>-0.41545335398880123</v>
      </c>
      <c r="J166" s="33">
        <f t="shared" si="55"/>
        <v>8.9735167292478879E-2</v>
      </c>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2:36" x14ac:dyDescent="0.25">
      <c r="B167" s="283"/>
      <c r="C167" s="22">
        <v>6</v>
      </c>
      <c r="D167" s="37">
        <f>IFERROR(dat_nespresso_profile_s!F36,"")</f>
        <v>1.390388641695153E-2</v>
      </c>
      <c r="E167" s="37">
        <f>IFERROR(dat_nespresso_profile_s!G36,"")</f>
        <v>1.410043094261608E-2</v>
      </c>
      <c r="F167" s="37">
        <f>IFERROR(dat_nespresso_profile_s!H36,"")</f>
        <v>2.3090011366964262E-2</v>
      </c>
      <c r="G167" s="37">
        <f>IFERROR(dat_nespresso_profile_s!I36,"")</f>
        <v>2.130840968138803E-2</v>
      </c>
      <c r="I167" s="33">
        <f t="shared" si="54"/>
        <v>-0.45925681724905021</v>
      </c>
      <c r="J167" s="33">
        <f t="shared" si="55"/>
        <v>1.1369576522498148E-2</v>
      </c>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2:36" x14ac:dyDescent="0.25">
      <c r="B168" s="277" t="s">
        <v>186</v>
      </c>
      <c r="C168" s="12" t="s">
        <v>187</v>
      </c>
      <c r="D168" s="37">
        <f>IFERROR(dat_nespresso_profile_s!F37,"")</f>
        <v>1.014475969525864E-2</v>
      </c>
      <c r="E168" s="37">
        <f>IFERROR(dat_nespresso_profile_s!G37,"")</f>
        <v>8.8371960115501136E-3</v>
      </c>
      <c r="F168" s="37">
        <f>IFERROR(dat_nespresso_profile_s!H37,"")</f>
        <v>5.405491625902005E-2</v>
      </c>
      <c r="G168" s="37">
        <f>IFERROR(dat_nespresso_profile_s!I37,"")</f>
        <v>2.490272186728356E-2</v>
      </c>
      <c r="I168" s="33">
        <f t="shared" si="54"/>
        <v>-0.37047279369116315</v>
      </c>
      <c r="J168" s="33">
        <f t="shared" si="55"/>
        <v>1.0259333676037521</v>
      </c>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2:36" x14ac:dyDescent="0.25">
      <c r="B169" s="281"/>
      <c r="C169" s="12" t="s">
        <v>188</v>
      </c>
      <c r="D169" s="37">
        <f>IFERROR(dat_nespresso_profile_s!F38,"")</f>
        <v>3.7805517236688763E-2</v>
      </c>
      <c r="E169" s="37">
        <f>IFERROR(dat_nespresso_profile_s!G38,"")</f>
        <v>4.009437874763673E-2</v>
      </c>
      <c r="F169" s="37">
        <f>IFERROR(dat_nespresso_profile_s!H38,"")</f>
        <v>0.116579599312904</v>
      </c>
      <c r="G169" s="37">
        <f>IFERROR(dat_nespresso_profile_s!I38,"")</f>
        <v>8.3901193082159195E-2</v>
      </c>
      <c r="I169" s="33">
        <f t="shared" si="54"/>
        <v>-0.48291859140736815</v>
      </c>
      <c r="J169" s="33">
        <f t="shared" si="55"/>
        <v>0.29685433577599496</v>
      </c>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2:36" x14ac:dyDescent="0.25">
      <c r="B170" s="281"/>
      <c r="C170" s="12" t="s">
        <v>189</v>
      </c>
      <c r="D170" s="37">
        <f>IFERROR(dat_nespresso_profile_s!F39,"")</f>
        <v>9.1648689076442955E-2</v>
      </c>
      <c r="E170" s="37">
        <f>IFERROR(dat_nespresso_profile_s!G39,"")</f>
        <v>9.855657212372515E-2</v>
      </c>
      <c r="F170" s="37">
        <f>IFERROR(dat_nespresso_profile_s!H39,"")</f>
        <v>0.18055647366296029</v>
      </c>
      <c r="G170" s="37">
        <f>IFERROR(dat_nespresso_profile_s!I39,"")</f>
        <v>0.16150193270082441</v>
      </c>
      <c r="I170" s="33">
        <f t="shared" si="54"/>
        <v>-0.49004964922382233</v>
      </c>
      <c r="J170" s="33">
        <f t="shared" si="55"/>
        <v>4.3451137708290011E-2</v>
      </c>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2:36" x14ac:dyDescent="0.25">
      <c r="B171" s="281"/>
      <c r="C171" s="12" t="s">
        <v>190</v>
      </c>
      <c r="D171" s="37">
        <f>IFERROR(dat_nespresso_profile_s!F40,"")</f>
        <v>0.19890065816458011</v>
      </c>
      <c r="E171" s="37">
        <f>IFERROR(dat_nespresso_profile_s!G40,"")</f>
        <v>0.22096589181113321</v>
      </c>
      <c r="F171" s="37">
        <f>IFERROR(dat_nespresso_profile_s!H40,"")</f>
        <v>0.25407302265092752</v>
      </c>
      <c r="G171" s="37">
        <f>IFERROR(dat_nespresso_profile_s!I40,"")</f>
        <v>0.26594216294639939</v>
      </c>
      <c r="I171" s="33">
        <f t="shared" si="54"/>
        <v>-0.50637379559656215</v>
      </c>
      <c r="J171" s="33">
        <f t="shared" si="55"/>
        <v>-0.10832183015424979</v>
      </c>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2:36" x14ac:dyDescent="0.25">
      <c r="B172" s="283"/>
      <c r="C172" s="12" t="s">
        <v>191</v>
      </c>
      <c r="D172" s="37">
        <f>IFERROR(dat_nespresso_profile_s!F41,"")</f>
        <v>0.65391644596541953</v>
      </c>
      <c r="E172" s="37">
        <f>IFERROR(dat_nespresso_profile_s!G41,"")</f>
        <v>0.62685349614565156</v>
      </c>
      <c r="F172" s="37">
        <f>IFERROR(dat_nespresso_profile_s!H41,"")</f>
        <v>0.39189187756705068</v>
      </c>
      <c r="G172" s="37">
        <f>IFERROR(dat_nespresso_profile_s!I41,"")</f>
        <v>0.46150646494356767</v>
      </c>
      <c r="I172" s="33">
        <f t="shared" si="54"/>
        <v>-0.42793755871060279</v>
      </c>
      <c r="J172" s="33">
        <f t="shared" si="55"/>
        <v>-0.20745259236912472</v>
      </c>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2:36" x14ac:dyDescent="0.25">
      <c r="B173" s="2" t="s">
        <v>411</v>
      </c>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5" spans="2:36" s="49" customFormat="1" ht="16.25" hidden="1" customHeight="1" x14ac:dyDescent="0.25">
      <c r="B175" s="289" t="s">
        <v>412</v>
      </c>
      <c r="C175" s="290"/>
      <c r="D175" s="290"/>
      <c r="E175" s="168"/>
      <c r="F175" s="168"/>
      <c r="M175" s="50"/>
      <c r="N175" s="50"/>
      <c r="O175" s="50"/>
    </row>
    <row r="176" spans="2:36" ht="16.25" hidden="1" customHeight="1" x14ac:dyDescent="0.25">
      <c r="B176" s="41" t="s">
        <v>157</v>
      </c>
    </row>
    <row r="177" spans="2:29" ht="16.25" hidden="1" customHeight="1" x14ac:dyDescent="0.25">
      <c r="B177" s="272" t="s">
        <v>413</v>
      </c>
      <c r="C177" s="273"/>
      <c r="D177" s="273"/>
      <c r="E177" s="273"/>
      <c r="F177" s="273"/>
      <c r="G177" s="273"/>
      <c r="H177" s="273"/>
      <c r="I177" s="273"/>
      <c r="J177" s="273"/>
      <c r="K177" s="273"/>
      <c r="L177" s="273"/>
      <c r="M177" s="273"/>
      <c r="N177" s="273"/>
      <c r="O177" s="274"/>
      <c r="Q177" s="299" t="s">
        <v>414</v>
      </c>
      <c r="R177" s="273"/>
      <c r="S177" s="273"/>
      <c r="T177" s="273"/>
      <c r="U177" s="273"/>
      <c r="V177" s="273"/>
      <c r="W177" s="273"/>
      <c r="X177" s="273"/>
      <c r="Y177" s="273"/>
      <c r="Z177" s="273"/>
      <c r="AA177" s="273"/>
      <c r="AB177" s="273"/>
      <c r="AC177" s="274"/>
    </row>
    <row r="178" spans="2:29" ht="16.25" hidden="1" customHeight="1" x14ac:dyDescent="0.25">
      <c r="B178" s="10"/>
      <c r="C178" s="10"/>
      <c r="D178" s="10" t="s">
        <v>4</v>
      </c>
      <c r="E178" s="10" t="s">
        <v>5</v>
      </c>
      <c r="F178" s="10" t="s">
        <v>6</v>
      </c>
      <c r="G178" s="10" t="s">
        <v>7</v>
      </c>
      <c r="H178" s="10" t="s">
        <v>8</v>
      </c>
      <c r="I178" s="10" t="s">
        <v>9</v>
      </c>
      <c r="J178" s="10" t="s">
        <v>10</v>
      </c>
      <c r="K178" s="10" t="s">
        <v>11</v>
      </c>
      <c r="L178" s="10" t="s">
        <v>12</v>
      </c>
      <c r="M178" s="10" t="s">
        <v>13</v>
      </c>
      <c r="N178" s="10" t="s">
        <v>14</v>
      </c>
      <c r="O178" s="10" t="s">
        <v>15</v>
      </c>
      <c r="Q178" s="11"/>
      <c r="R178" s="11" t="s">
        <v>4</v>
      </c>
      <c r="S178" s="11" t="s">
        <v>5</v>
      </c>
      <c r="T178" s="11" t="s">
        <v>6</v>
      </c>
      <c r="U178" s="11" t="s">
        <v>7</v>
      </c>
      <c r="V178" s="11" t="s">
        <v>8</v>
      </c>
      <c r="W178" s="11" t="s">
        <v>9</v>
      </c>
      <c r="X178" s="11" t="s">
        <v>10</v>
      </c>
      <c r="Y178" s="11" t="s">
        <v>11</v>
      </c>
      <c r="Z178" s="11" t="s">
        <v>12</v>
      </c>
      <c r="AA178" s="11" t="s">
        <v>13</v>
      </c>
      <c r="AB178" s="11" t="s">
        <v>14</v>
      </c>
      <c r="AC178" s="11" t="s">
        <v>15</v>
      </c>
    </row>
    <row r="179" spans="2:29" hidden="1" x14ac:dyDescent="0.25">
      <c r="B179" s="277" t="s">
        <v>16</v>
      </c>
      <c r="C179" s="12" t="s">
        <v>39</v>
      </c>
      <c r="D179" s="16">
        <f>H134-D182</f>
        <v>1522074.8599999999</v>
      </c>
      <c r="E179" s="16">
        <v>1866483.85</v>
      </c>
      <c r="F179" s="173">
        <f>N134-F182</f>
        <v>-6426610.1699999999</v>
      </c>
      <c r="G179" s="16"/>
      <c r="H179" s="16"/>
      <c r="I179" s="16"/>
      <c r="J179" s="16"/>
      <c r="K179" s="16"/>
      <c r="L179" s="16"/>
      <c r="M179" s="16"/>
      <c r="N179" s="16"/>
      <c r="O179" s="16"/>
      <c r="Q179" s="31" t="s">
        <v>39</v>
      </c>
      <c r="R179" s="16">
        <v>2960915</v>
      </c>
      <c r="S179" s="16">
        <v>2386193.64</v>
      </c>
      <c r="T179" s="16">
        <f>AB134-T182</f>
        <v>-7041246.8200000003</v>
      </c>
      <c r="U179" s="16"/>
      <c r="V179" s="16"/>
      <c r="W179" s="16"/>
      <c r="X179" s="16"/>
      <c r="Y179" s="16"/>
      <c r="Z179" s="16"/>
      <c r="AA179" s="16"/>
      <c r="AB179" s="16"/>
      <c r="AC179" s="16"/>
    </row>
    <row r="180" spans="2:29" hidden="1" x14ac:dyDescent="0.25">
      <c r="B180" s="281"/>
      <c r="C180" s="12" t="s">
        <v>40</v>
      </c>
      <c r="D180" s="16">
        <v>4256</v>
      </c>
      <c r="E180" s="16">
        <v>5664</v>
      </c>
      <c r="F180" s="173">
        <f>N135-F183</f>
        <v>-10475</v>
      </c>
      <c r="G180" s="16"/>
      <c r="H180" s="16"/>
      <c r="I180" s="16"/>
      <c r="J180" s="16"/>
      <c r="K180" s="16"/>
      <c r="L180" s="16"/>
      <c r="M180" s="16"/>
      <c r="N180" s="16"/>
      <c r="O180" s="16"/>
      <c r="Q180" s="31" t="s">
        <v>40</v>
      </c>
      <c r="R180" s="16">
        <v>8851</v>
      </c>
      <c r="S180" s="16">
        <v>7675</v>
      </c>
      <c r="T180" s="16">
        <f>AB135-T183</f>
        <v>-13550</v>
      </c>
      <c r="U180" s="16"/>
      <c r="V180" s="16"/>
      <c r="W180" s="16"/>
      <c r="X180" s="16"/>
      <c r="Y180" s="16"/>
      <c r="Z180" s="16"/>
      <c r="AA180" s="16"/>
      <c r="AB180" s="16"/>
      <c r="AC180" s="16"/>
    </row>
    <row r="181" spans="2:29" hidden="1" x14ac:dyDescent="0.25">
      <c r="B181" s="281"/>
      <c r="C181" s="12" t="s">
        <v>41</v>
      </c>
      <c r="D181" s="16">
        <f>D179/D180</f>
        <v>357.63037124060145</v>
      </c>
      <c r="E181" s="16">
        <v>329.53457803672308</v>
      </c>
      <c r="F181" s="173">
        <f>F179/F180</f>
        <v>613.51887064439143</v>
      </c>
      <c r="G181" s="16"/>
      <c r="H181" s="16"/>
      <c r="I181" s="16"/>
      <c r="J181" s="16"/>
      <c r="K181" s="16"/>
      <c r="L181" s="16"/>
      <c r="M181" s="16"/>
      <c r="N181" s="16"/>
      <c r="O181" s="16"/>
      <c r="Q181" s="31" t="s">
        <v>41</v>
      </c>
      <c r="R181" s="16">
        <f>IFERROR(R179/R180,"-")</f>
        <v>334.52886679471248</v>
      </c>
      <c r="S181" s="16">
        <v>310.90470879478818</v>
      </c>
      <c r="T181" s="16">
        <f t="shared" ref="T181:AC181" si="56">IFERROR(T179/T180,"-")</f>
        <v>519.64921180811814</v>
      </c>
      <c r="U181" s="16" t="str">
        <f t="shared" si="56"/>
        <v>-</v>
      </c>
      <c r="V181" s="16" t="str">
        <f t="shared" si="56"/>
        <v>-</v>
      </c>
      <c r="W181" s="16" t="str">
        <f t="shared" si="56"/>
        <v>-</v>
      </c>
      <c r="X181" s="16" t="str">
        <f t="shared" si="56"/>
        <v>-</v>
      </c>
      <c r="Y181" s="16" t="str">
        <f t="shared" si="56"/>
        <v>-</v>
      </c>
      <c r="Z181" s="16" t="str">
        <f t="shared" si="56"/>
        <v>-</v>
      </c>
      <c r="AA181" s="16" t="str">
        <f t="shared" si="56"/>
        <v>-</v>
      </c>
      <c r="AB181" s="16" t="str">
        <f t="shared" si="56"/>
        <v>-</v>
      </c>
      <c r="AC181" s="16" t="str">
        <f t="shared" si="56"/>
        <v>-</v>
      </c>
    </row>
    <row r="182" spans="2:29" hidden="1" x14ac:dyDescent="0.25">
      <c r="B182" s="281"/>
      <c r="C182" s="12" t="s">
        <v>42</v>
      </c>
      <c r="D182" s="16">
        <v>4046787.14</v>
      </c>
      <c r="E182" s="16">
        <v>5079762.95</v>
      </c>
      <c r="F182" s="173">
        <v>11663179.17</v>
      </c>
      <c r="G182" s="16"/>
      <c r="H182" s="16"/>
      <c r="I182" s="16"/>
      <c r="J182" s="16"/>
      <c r="K182" s="16"/>
      <c r="L182" s="16"/>
      <c r="M182" s="16"/>
      <c r="N182" s="16"/>
      <c r="O182" s="16"/>
      <c r="Q182" s="31" t="s">
        <v>42</v>
      </c>
      <c r="R182" s="16">
        <v>7366935</v>
      </c>
      <c r="S182" s="16">
        <v>6001082.2400000002</v>
      </c>
      <c r="T182" s="16">
        <v>14657460.82</v>
      </c>
      <c r="U182" s="16"/>
      <c r="V182" s="16"/>
      <c r="W182" s="16"/>
      <c r="X182" s="16"/>
      <c r="Y182" s="16"/>
      <c r="Z182" s="16"/>
      <c r="AA182" s="16"/>
      <c r="AB182" s="16"/>
      <c r="AC182" s="16"/>
    </row>
    <row r="183" spans="2:29" hidden="1" x14ac:dyDescent="0.25">
      <c r="B183" s="281"/>
      <c r="C183" s="12" t="s">
        <v>43</v>
      </c>
      <c r="D183" s="16">
        <v>9630</v>
      </c>
      <c r="E183" s="16">
        <v>12321</v>
      </c>
      <c r="F183" s="173">
        <v>25156</v>
      </c>
      <c r="G183" s="16"/>
      <c r="H183" s="16"/>
      <c r="I183" s="16"/>
      <c r="J183" s="16"/>
      <c r="K183" s="16"/>
      <c r="L183" s="16"/>
      <c r="M183" s="16"/>
      <c r="N183" s="16"/>
      <c r="O183" s="16"/>
      <c r="Q183" s="31" t="s">
        <v>43</v>
      </c>
      <c r="R183" s="16">
        <v>18100</v>
      </c>
      <c r="S183" s="16">
        <v>15651</v>
      </c>
      <c r="T183" s="16">
        <v>34152</v>
      </c>
      <c r="U183" s="16"/>
      <c r="V183" s="16"/>
      <c r="W183" s="16"/>
      <c r="X183" s="16"/>
      <c r="Y183" s="16"/>
      <c r="Z183" s="16"/>
      <c r="AA183" s="16"/>
      <c r="AB183" s="16"/>
      <c r="AC183" s="16"/>
    </row>
    <row r="184" spans="2:29" hidden="1" x14ac:dyDescent="0.25">
      <c r="B184" s="283"/>
      <c r="C184" s="12" t="s">
        <v>44</v>
      </c>
      <c r="D184" s="16">
        <f>D182/D183</f>
        <v>420.22711734164074</v>
      </c>
      <c r="E184" s="16">
        <v>412.28495657819991</v>
      </c>
      <c r="F184" s="173">
        <f>F182/F183</f>
        <v>463.63409007791381</v>
      </c>
      <c r="G184" s="16"/>
      <c r="H184" s="16"/>
      <c r="I184" s="16"/>
      <c r="J184" s="16"/>
      <c r="K184" s="16"/>
      <c r="L184" s="16"/>
      <c r="M184" s="16"/>
      <c r="N184" s="16"/>
      <c r="O184" s="16"/>
      <c r="Q184" s="31" t="s">
        <v>44</v>
      </c>
      <c r="R184" s="16">
        <f>IFERROR(R182/R183,"-")</f>
        <v>407.01298342541435</v>
      </c>
      <c r="S184" s="16">
        <v>383.43123378697851</v>
      </c>
      <c r="T184" s="16">
        <f t="shared" ref="T184:AC184" si="57">IFERROR(T182/T183,"-")</f>
        <v>429.18308795970955</v>
      </c>
      <c r="U184" s="16" t="str">
        <f t="shared" si="57"/>
        <v>-</v>
      </c>
      <c r="V184" s="16" t="str">
        <f t="shared" si="57"/>
        <v>-</v>
      </c>
      <c r="W184" s="16" t="str">
        <f t="shared" si="57"/>
        <v>-</v>
      </c>
      <c r="X184" s="16" t="str">
        <f t="shared" si="57"/>
        <v>-</v>
      </c>
      <c r="Y184" s="16" t="str">
        <f t="shared" si="57"/>
        <v>-</v>
      </c>
      <c r="Z184" s="16" t="str">
        <f t="shared" si="57"/>
        <v>-</v>
      </c>
      <c r="AA184" s="16" t="str">
        <f t="shared" si="57"/>
        <v>-</v>
      </c>
      <c r="AB184" s="16" t="str">
        <f t="shared" si="57"/>
        <v>-</v>
      </c>
      <c r="AC184" s="16" t="str">
        <f t="shared" si="57"/>
        <v>-</v>
      </c>
    </row>
    <row r="185" spans="2:29" hidden="1" x14ac:dyDescent="0.25">
      <c r="B185" s="277" t="s">
        <v>24</v>
      </c>
      <c r="C185" s="12" t="s">
        <v>39</v>
      </c>
      <c r="D185" s="38">
        <f t="shared" ref="D185:D190" si="58">IFERROR(D179/R179-1,"-")</f>
        <v>-0.48594442596292031</v>
      </c>
      <c r="E185" s="38">
        <v>-0.2177986653254177</v>
      </c>
      <c r="F185" s="174">
        <f t="shared" ref="F185:O190" si="59">IFERROR(F179/T179-1,"-")</f>
        <v>-8.7290882667851233E-2</v>
      </c>
      <c r="G185" s="38" t="str">
        <f t="shared" si="59"/>
        <v>-</v>
      </c>
      <c r="H185" s="38" t="str">
        <f t="shared" si="59"/>
        <v>-</v>
      </c>
      <c r="I185" s="38" t="str">
        <f t="shared" si="59"/>
        <v>-</v>
      </c>
      <c r="J185" s="38" t="str">
        <f t="shared" si="59"/>
        <v>-</v>
      </c>
      <c r="K185" s="38" t="str">
        <f t="shared" si="59"/>
        <v>-</v>
      </c>
      <c r="L185" s="38" t="str">
        <f t="shared" si="59"/>
        <v>-</v>
      </c>
      <c r="M185" s="38" t="str">
        <f t="shared" si="59"/>
        <v>-</v>
      </c>
      <c r="N185" s="38" t="str">
        <f t="shared" si="59"/>
        <v>-</v>
      </c>
      <c r="O185" s="38" t="str">
        <f t="shared" si="59"/>
        <v>-</v>
      </c>
      <c r="Q185" s="32"/>
      <c r="R185" s="14"/>
      <c r="S185" s="14"/>
      <c r="T185" s="14"/>
      <c r="U185" s="14"/>
      <c r="V185" s="14"/>
      <c r="W185" s="14"/>
      <c r="X185" s="14"/>
      <c r="Y185" s="14"/>
      <c r="Z185" s="14"/>
      <c r="AA185" s="14"/>
      <c r="AB185" s="14"/>
      <c r="AC185" s="14"/>
    </row>
    <row r="186" spans="2:29" hidden="1" x14ac:dyDescent="0.25">
      <c r="B186" s="281"/>
      <c r="C186" s="12" t="s">
        <v>40</v>
      </c>
      <c r="D186" s="38">
        <f t="shared" si="58"/>
        <v>-0.51915037848830647</v>
      </c>
      <c r="E186" s="38">
        <v>-0.26201954397394128</v>
      </c>
      <c r="F186" s="174">
        <f t="shared" si="59"/>
        <v>-0.22693726937269376</v>
      </c>
      <c r="G186" s="38" t="str">
        <f t="shared" si="59"/>
        <v>-</v>
      </c>
      <c r="H186" s="38" t="str">
        <f t="shared" si="59"/>
        <v>-</v>
      </c>
      <c r="I186" s="38" t="str">
        <f t="shared" si="59"/>
        <v>-</v>
      </c>
      <c r="J186" s="38" t="str">
        <f t="shared" si="59"/>
        <v>-</v>
      </c>
      <c r="K186" s="38" t="str">
        <f t="shared" si="59"/>
        <v>-</v>
      </c>
      <c r="L186" s="38" t="str">
        <f t="shared" si="59"/>
        <v>-</v>
      </c>
      <c r="M186" s="38" t="str">
        <f t="shared" si="59"/>
        <v>-</v>
      </c>
      <c r="N186" s="38" t="str">
        <f t="shared" si="59"/>
        <v>-</v>
      </c>
      <c r="O186" s="38" t="str">
        <f t="shared" si="59"/>
        <v>-</v>
      </c>
      <c r="Q186" s="32"/>
      <c r="R186" s="14"/>
      <c r="S186" s="14"/>
      <c r="T186" s="14"/>
      <c r="U186" s="14"/>
      <c r="V186" s="14"/>
      <c r="W186" s="14"/>
      <c r="X186" s="14"/>
      <c r="Y186" s="14"/>
      <c r="Z186" s="14"/>
      <c r="AA186" s="14"/>
      <c r="AB186" s="14"/>
      <c r="AC186" s="14"/>
    </row>
    <row r="187" spans="2:29" hidden="1" x14ac:dyDescent="0.25">
      <c r="B187" s="281"/>
      <c r="C187" s="12" t="s">
        <v>41</v>
      </c>
      <c r="D187" s="38">
        <f t="shared" si="58"/>
        <v>6.9056834070063911E-2</v>
      </c>
      <c r="E187" s="38">
        <v>5.9921476629134718E-2</v>
      </c>
      <c r="F187" s="174">
        <f t="shared" si="59"/>
        <v>0.1806404333986269</v>
      </c>
      <c r="G187" s="38" t="str">
        <f t="shared" si="59"/>
        <v>-</v>
      </c>
      <c r="H187" s="38" t="str">
        <f t="shared" si="59"/>
        <v>-</v>
      </c>
      <c r="I187" s="38" t="str">
        <f t="shared" si="59"/>
        <v>-</v>
      </c>
      <c r="J187" s="38" t="str">
        <f t="shared" si="59"/>
        <v>-</v>
      </c>
      <c r="K187" s="38" t="str">
        <f t="shared" si="59"/>
        <v>-</v>
      </c>
      <c r="L187" s="38" t="str">
        <f t="shared" si="59"/>
        <v>-</v>
      </c>
      <c r="M187" s="38" t="str">
        <f t="shared" si="59"/>
        <v>-</v>
      </c>
      <c r="N187" s="38" t="str">
        <f t="shared" si="59"/>
        <v>-</v>
      </c>
      <c r="O187" s="38" t="str">
        <f t="shared" si="59"/>
        <v>-</v>
      </c>
      <c r="Q187" s="32"/>
      <c r="R187" s="14"/>
      <c r="S187" s="14"/>
      <c r="T187" s="14"/>
      <c r="U187" s="14"/>
      <c r="V187" s="14"/>
      <c r="W187" s="14"/>
      <c r="X187" s="14"/>
      <c r="Y187" s="14"/>
      <c r="Z187" s="14"/>
      <c r="AA187" s="14"/>
      <c r="AB187" s="14"/>
      <c r="AC187" s="14"/>
    </row>
    <row r="188" spans="2:29" hidden="1" x14ac:dyDescent="0.25">
      <c r="B188" s="281"/>
      <c r="C188" s="12" t="s">
        <v>42</v>
      </c>
      <c r="D188" s="38">
        <f t="shared" si="58"/>
        <v>-0.45068238826594775</v>
      </c>
      <c r="E188" s="38">
        <v>-0.15352552308964859</v>
      </c>
      <c r="F188" s="174">
        <f t="shared" si="59"/>
        <v>-0.20428379013057463</v>
      </c>
      <c r="G188" s="38" t="str">
        <f t="shared" si="59"/>
        <v>-</v>
      </c>
      <c r="H188" s="38" t="str">
        <f t="shared" si="59"/>
        <v>-</v>
      </c>
      <c r="I188" s="38" t="str">
        <f t="shared" si="59"/>
        <v>-</v>
      </c>
      <c r="J188" s="38" t="str">
        <f t="shared" si="59"/>
        <v>-</v>
      </c>
      <c r="K188" s="38" t="str">
        <f t="shared" si="59"/>
        <v>-</v>
      </c>
      <c r="L188" s="38" t="str">
        <f t="shared" si="59"/>
        <v>-</v>
      </c>
      <c r="M188" s="38" t="str">
        <f t="shared" si="59"/>
        <v>-</v>
      </c>
      <c r="N188" s="38" t="str">
        <f t="shared" si="59"/>
        <v>-</v>
      </c>
      <c r="O188" s="38" t="str">
        <f t="shared" si="59"/>
        <v>-</v>
      </c>
      <c r="Q188" s="32"/>
      <c r="R188" s="14"/>
      <c r="S188" s="14"/>
      <c r="T188" s="14"/>
      <c r="U188" s="14"/>
      <c r="V188" s="14"/>
      <c r="W188" s="14"/>
      <c r="X188" s="14"/>
      <c r="Y188" s="14"/>
      <c r="Z188" s="14"/>
      <c r="AA188" s="14"/>
      <c r="AB188" s="14"/>
      <c r="AC188" s="14"/>
    </row>
    <row r="189" spans="2:29" hidden="1" x14ac:dyDescent="0.25">
      <c r="B189" s="281"/>
      <c r="C189" s="12" t="s">
        <v>43</v>
      </c>
      <c r="D189" s="38">
        <f t="shared" si="58"/>
        <v>-0.46795580110497237</v>
      </c>
      <c r="E189" s="38">
        <v>-0.21276595744680851</v>
      </c>
      <c r="F189" s="174">
        <f t="shared" si="59"/>
        <v>-0.26341063480908877</v>
      </c>
      <c r="G189" s="38" t="str">
        <f t="shared" si="59"/>
        <v>-</v>
      </c>
      <c r="H189" s="38" t="str">
        <f t="shared" si="59"/>
        <v>-</v>
      </c>
      <c r="I189" s="38" t="str">
        <f t="shared" si="59"/>
        <v>-</v>
      </c>
      <c r="J189" s="38" t="str">
        <f t="shared" si="59"/>
        <v>-</v>
      </c>
      <c r="K189" s="38" t="str">
        <f t="shared" si="59"/>
        <v>-</v>
      </c>
      <c r="L189" s="38" t="str">
        <f t="shared" si="59"/>
        <v>-</v>
      </c>
      <c r="M189" s="38" t="str">
        <f t="shared" si="59"/>
        <v>-</v>
      </c>
      <c r="N189" s="38" t="str">
        <f t="shared" si="59"/>
        <v>-</v>
      </c>
      <c r="O189" s="38" t="str">
        <f t="shared" si="59"/>
        <v>-</v>
      </c>
      <c r="Q189" s="32"/>
      <c r="R189" s="14"/>
      <c r="S189" s="14"/>
      <c r="T189" s="14"/>
      <c r="U189" s="14"/>
      <c r="V189" s="14"/>
      <c r="W189" s="14"/>
      <c r="X189" s="14"/>
      <c r="Y189" s="14"/>
      <c r="Z189" s="14"/>
      <c r="AA189" s="14"/>
      <c r="AB189" s="14"/>
      <c r="AC189" s="14"/>
    </row>
    <row r="190" spans="2:29" hidden="1" x14ac:dyDescent="0.25">
      <c r="B190" s="283"/>
      <c r="C190" s="12" t="s">
        <v>44</v>
      </c>
      <c r="D190" s="38">
        <f t="shared" si="58"/>
        <v>3.2466123819973713E-2</v>
      </c>
      <c r="E190" s="38">
        <v>7.5251362561797652E-2</v>
      </c>
      <c r="F190" s="174">
        <f t="shared" si="59"/>
        <v>8.027110826286421E-2</v>
      </c>
      <c r="G190" s="38" t="str">
        <f t="shared" si="59"/>
        <v>-</v>
      </c>
      <c r="H190" s="38" t="str">
        <f t="shared" si="59"/>
        <v>-</v>
      </c>
      <c r="I190" s="38" t="str">
        <f t="shared" si="59"/>
        <v>-</v>
      </c>
      <c r="J190" s="38" t="str">
        <f t="shared" si="59"/>
        <v>-</v>
      </c>
      <c r="K190" s="38" t="str">
        <f t="shared" si="59"/>
        <v>-</v>
      </c>
      <c r="L190" s="38" t="str">
        <f t="shared" si="59"/>
        <v>-</v>
      </c>
      <c r="M190" s="38" t="str">
        <f t="shared" si="59"/>
        <v>-</v>
      </c>
      <c r="N190" s="38" t="str">
        <f t="shared" si="59"/>
        <v>-</v>
      </c>
      <c r="O190" s="38" t="str">
        <f t="shared" si="59"/>
        <v>-</v>
      </c>
      <c r="Q190" s="32"/>
      <c r="R190" s="14"/>
      <c r="S190" s="14"/>
      <c r="T190" s="14"/>
      <c r="U190" s="14"/>
      <c r="V190" s="14"/>
      <c r="W190" s="14"/>
      <c r="X190" s="14"/>
      <c r="Y190" s="14"/>
      <c r="Z190" s="14"/>
      <c r="AA190" s="14"/>
      <c r="AB190" s="14"/>
      <c r="AC190" s="14"/>
    </row>
    <row r="191" spans="2:29" hidden="1" x14ac:dyDescent="0.25">
      <c r="B191" s="277" t="s">
        <v>45</v>
      </c>
      <c r="C191" s="12" t="s">
        <v>39</v>
      </c>
      <c r="D191" s="38">
        <f>IFERROR(D179/SUM(D179,D182)-(R179/SUM(R179,R182)),"-")</f>
        <v>-1.3373460703239137E-2</v>
      </c>
      <c r="E191" s="38">
        <v>-1.579769252477153E-2</v>
      </c>
      <c r="F191" s="174">
        <f t="shared" ref="F191:O192" si="60">IFERROR(F179/SUM(F179,F182)-(T179/SUM(T179,T182)),"-")</f>
        <v>-0.30274841306520495</v>
      </c>
      <c r="G191" s="38" t="str">
        <f t="shared" si="60"/>
        <v>-</v>
      </c>
      <c r="H191" s="38" t="str">
        <f t="shared" si="60"/>
        <v>-</v>
      </c>
      <c r="I191" s="38" t="str">
        <f t="shared" si="60"/>
        <v>-</v>
      </c>
      <c r="J191" s="38" t="str">
        <f t="shared" si="60"/>
        <v>-</v>
      </c>
      <c r="K191" s="38" t="str">
        <f t="shared" si="60"/>
        <v>-</v>
      </c>
      <c r="L191" s="38" t="str">
        <f t="shared" si="60"/>
        <v>-</v>
      </c>
      <c r="M191" s="38" t="str">
        <f t="shared" si="60"/>
        <v>-</v>
      </c>
      <c r="N191" s="38" t="str">
        <f t="shared" si="60"/>
        <v>-</v>
      </c>
      <c r="O191" s="38" t="str">
        <f t="shared" si="60"/>
        <v>-</v>
      </c>
      <c r="Q191" s="32"/>
      <c r="R191" s="14"/>
      <c r="S191" s="14"/>
      <c r="T191" s="14"/>
      <c r="U191" s="14"/>
      <c r="V191" s="14"/>
      <c r="W191" s="14"/>
      <c r="X191" s="14"/>
      <c r="Y191" s="14"/>
      <c r="Z191" s="14"/>
      <c r="AA191" s="14"/>
      <c r="AB191" s="14"/>
      <c r="AC191" s="14"/>
    </row>
    <row r="192" spans="2:29" hidden="1" x14ac:dyDescent="0.25">
      <c r="B192" s="281"/>
      <c r="C192" s="12" t="s">
        <v>40</v>
      </c>
      <c r="D192" s="38">
        <f>IFERROR(D180/SUM(D180,D183)-(R180/SUM(R180,R183)),"-")</f>
        <v>-2.1915068519402892E-2</v>
      </c>
      <c r="E192" s="38">
        <v>-1.410287389023562E-2</v>
      </c>
      <c r="F192" s="174">
        <f t="shared" si="60"/>
        <v>-5.5804118656330837E-2</v>
      </c>
      <c r="G192" s="38" t="str">
        <f t="shared" si="60"/>
        <v>-</v>
      </c>
      <c r="H192" s="38" t="str">
        <f t="shared" si="60"/>
        <v>-</v>
      </c>
      <c r="I192" s="38" t="str">
        <f t="shared" si="60"/>
        <v>-</v>
      </c>
      <c r="J192" s="38" t="str">
        <f t="shared" si="60"/>
        <v>-</v>
      </c>
      <c r="K192" s="38" t="str">
        <f t="shared" si="60"/>
        <v>-</v>
      </c>
      <c r="L192" s="38" t="str">
        <f t="shared" si="60"/>
        <v>-</v>
      </c>
      <c r="M192" s="38" t="str">
        <f t="shared" si="60"/>
        <v>-</v>
      </c>
      <c r="N192" s="38" t="str">
        <f t="shared" si="60"/>
        <v>-</v>
      </c>
      <c r="O192" s="38" t="str">
        <f t="shared" si="60"/>
        <v>-</v>
      </c>
      <c r="Q192" s="32"/>
      <c r="R192" s="14"/>
      <c r="S192" s="14"/>
      <c r="T192" s="14"/>
      <c r="U192" s="14"/>
      <c r="V192" s="14"/>
      <c r="W192" s="14"/>
      <c r="X192" s="14"/>
      <c r="Y192" s="14"/>
      <c r="Z192" s="14"/>
      <c r="AA192" s="14"/>
      <c r="AB192" s="14"/>
      <c r="AC192" s="14"/>
    </row>
    <row r="193" spans="2:29" hidden="1" x14ac:dyDescent="0.25">
      <c r="B193" s="281"/>
      <c r="C193" s="12" t="s">
        <v>41</v>
      </c>
      <c r="D193" s="38" t="s">
        <v>132</v>
      </c>
      <c r="E193" s="38" t="s">
        <v>132</v>
      </c>
      <c r="F193" s="174" t="s">
        <v>132</v>
      </c>
      <c r="G193" s="38" t="s">
        <v>132</v>
      </c>
      <c r="H193" s="38" t="s">
        <v>132</v>
      </c>
      <c r="I193" s="38" t="s">
        <v>132</v>
      </c>
      <c r="J193" s="38" t="s">
        <v>132</v>
      </c>
      <c r="K193" s="38" t="s">
        <v>132</v>
      </c>
      <c r="L193" s="38" t="s">
        <v>132</v>
      </c>
      <c r="M193" s="38" t="s">
        <v>132</v>
      </c>
      <c r="N193" s="38" t="s">
        <v>132</v>
      </c>
      <c r="O193" s="38" t="s">
        <v>132</v>
      </c>
      <c r="Q193" s="32"/>
      <c r="R193" s="14"/>
      <c r="S193" s="14"/>
      <c r="T193" s="14"/>
      <c r="U193" s="14"/>
      <c r="V193" s="14"/>
      <c r="W193" s="14"/>
      <c r="X193" s="14"/>
      <c r="Y193" s="14"/>
      <c r="Z193" s="14"/>
      <c r="AA193" s="14"/>
      <c r="AB193" s="14"/>
      <c r="AC193" s="14"/>
    </row>
    <row r="194" spans="2:29" hidden="1" x14ac:dyDescent="0.25">
      <c r="B194" s="281"/>
      <c r="C194" s="12" t="s">
        <v>42</v>
      </c>
      <c r="D194" s="38">
        <f>IFERROR(D182/SUM(D179,D182)-R182/SUM(R182,R179),"-")</f>
        <v>1.3373460703239082E-2</v>
      </c>
      <c r="E194" s="38">
        <v>1.5797692524771589E-2</v>
      </c>
      <c r="F194" s="174">
        <f t="shared" ref="F194:O195" si="61">IFERROR(F182/SUM(F179,F182)-T182/SUM(T182,T179),"-")</f>
        <v>0.30274841306520472</v>
      </c>
      <c r="G194" s="38" t="str">
        <f t="shared" si="61"/>
        <v>-</v>
      </c>
      <c r="H194" s="38" t="str">
        <f t="shared" si="61"/>
        <v>-</v>
      </c>
      <c r="I194" s="38" t="str">
        <f t="shared" si="61"/>
        <v>-</v>
      </c>
      <c r="J194" s="38" t="str">
        <f t="shared" si="61"/>
        <v>-</v>
      </c>
      <c r="K194" s="38" t="str">
        <f t="shared" si="61"/>
        <v>-</v>
      </c>
      <c r="L194" s="38" t="str">
        <f t="shared" si="61"/>
        <v>-</v>
      </c>
      <c r="M194" s="38" t="str">
        <f t="shared" si="61"/>
        <v>-</v>
      </c>
      <c r="N194" s="38" t="str">
        <f t="shared" si="61"/>
        <v>-</v>
      </c>
      <c r="O194" s="38" t="str">
        <f t="shared" si="61"/>
        <v>-</v>
      </c>
      <c r="Q194" s="32"/>
      <c r="R194" s="14"/>
      <c r="S194" s="14"/>
      <c r="T194" s="14"/>
      <c r="U194" s="14"/>
      <c r="V194" s="14"/>
      <c r="W194" s="14"/>
      <c r="X194" s="14"/>
      <c r="Y194" s="14"/>
      <c r="Z194" s="14"/>
      <c r="AA194" s="14"/>
      <c r="AB194" s="14"/>
      <c r="AC194" s="14"/>
    </row>
    <row r="195" spans="2:29" hidden="1" x14ac:dyDescent="0.25">
      <c r="B195" s="281"/>
      <c r="C195" s="12" t="s">
        <v>43</v>
      </c>
      <c r="D195" s="38">
        <f>IFERROR(D183/SUM(D180,D183)-R183/SUM(R183,R180),"-")</f>
        <v>2.1915068519402836E-2</v>
      </c>
      <c r="E195" s="38">
        <v>1.4102873890235569E-2</v>
      </c>
      <c r="F195" s="174">
        <f t="shared" si="61"/>
        <v>5.5804118656330726E-2</v>
      </c>
      <c r="G195" s="38" t="str">
        <f t="shared" si="61"/>
        <v>-</v>
      </c>
      <c r="H195" s="38" t="str">
        <f t="shared" si="61"/>
        <v>-</v>
      </c>
      <c r="I195" s="38" t="str">
        <f t="shared" si="61"/>
        <v>-</v>
      </c>
      <c r="J195" s="38" t="str">
        <f t="shared" si="61"/>
        <v>-</v>
      </c>
      <c r="K195" s="38" t="str">
        <f t="shared" si="61"/>
        <v>-</v>
      </c>
      <c r="L195" s="38" t="str">
        <f t="shared" si="61"/>
        <v>-</v>
      </c>
      <c r="M195" s="38" t="str">
        <f t="shared" si="61"/>
        <v>-</v>
      </c>
      <c r="N195" s="38" t="str">
        <f t="shared" si="61"/>
        <v>-</v>
      </c>
      <c r="O195" s="38" t="str">
        <f t="shared" si="61"/>
        <v>-</v>
      </c>
      <c r="Q195" s="32"/>
      <c r="R195" s="14"/>
      <c r="S195" s="14"/>
      <c r="T195" s="14"/>
      <c r="U195" s="14"/>
      <c r="V195" s="14"/>
      <c r="W195" s="14"/>
      <c r="X195" s="14"/>
      <c r="Y195" s="14"/>
      <c r="Z195" s="14"/>
      <c r="AA195" s="14"/>
      <c r="AB195" s="14"/>
      <c r="AC195" s="14"/>
    </row>
    <row r="196" spans="2:29" hidden="1" x14ac:dyDescent="0.25">
      <c r="B196" s="283"/>
      <c r="C196" s="12" t="s">
        <v>44</v>
      </c>
      <c r="D196" s="38" t="s">
        <v>132</v>
      </c>
      <c r="E196" s="38" t="s">
        <v>132</v>
      </c>
      <c r="F196" s="174" t="s">
        <v>132</v>
      </c>
      <c r="G196" s="38" t="s">
        <v>132</v>
      </c>
      <c r="H196" s="38" t="s">
        <v>132</v>
      </c>
      <c r="I196" s="38" t="s">
        <v>132</v>
      </c>
      <c r="J196" s="38" t="s">
        <v>132</v>
      </c>
      <c r="K196" s="38" t="s">
        <v>132</v>
      </c>
      <c r="L196" s="38" t="s">
        <v>132</v>
      </c>
      <c r="M196" s="38" t="s">
        <v>132</v>
      </c>
      <c r="N196" s="38" t="s">
        <v>132</v>
      </c>
      <c r="O196" s="38" t="s">
        <v>132</v>
      </c>
      <c r="Q196" s="32"/>
      <c r="R196" s="14"/>
      <c r="S196" s="14"/>
      <c r="T196" s="14"/>
      <c r="U196" s="14"/>
      <c r="V196" s="14"/>
      <c r="W196" s="14"/>
      <c r="X196" s="14"/>
      <c r="Y196" s="14"/>
      <c r="Z196" s="14"/>
      <c r="AA196" s="14"/>
      <c r="AB196" s="14"/>
      <c r="AC196" s="14"/>
    </row>
    <row r="197" spans="2:29" hidden="1" x14ac:dyDescent="0.25"/>
    <row r="198" spans="2:29" s="5" customFormat="1" ht="23.5" customHeight="1" x14ac:dyDescent="0.25">
      <c r="B198" s="270" t="s">
        <v>415</v>
      </c>
      <c r="C198" s="271"/>
      <c r="D198" s="271"/>
      <c r="E198" s="271"/>
      <c r="F198" s="271"/>
      <c r="N198" s="6"/>
      <c r="O198" s="6"/>
      <c r="P198" s="6"/>
    </row>
    <row r="199" spans="2:29" ht="16.25" customHeight="1" x14ac:dyDescent="0.25">
      <c r="B199" s="41" t="s">
        <v>157</v>
      </c>
    </row>
    <row r="200" spans="2:29" ht="16.25" customHeight="1" x14ac:dyDescent="0.25">
      <c r="B200" s="9" t="s">
        <v>416</v>
      </c>
      <c r="C200" s="9" t="s">
        <v>167</v>
      </c>
      <c r="D200" s="9" t="s">
        <v>405</v>
      </c>
      <c r="E200" s="9" t="s">
        <v>417</v>
      </c>
      <c r="F200" s="9" t="s">
        <v>418</v>
      </c>
    </row>
    <row r="201" spans="2:29" ht="16.25" customHeight="1" x14ac:dyDescent="0.25">
      <c r="B201" s="10"/>
      <c r="C201" s="10" t="s">
        <v>16</v>
      </c>
      <c r="D201" s="46">
        <v>17331</v>
      </c>
      <c r="E201" s="46">
        <v>6403</v>
      </c>
      <c r="F201" s="46">
        <v>10938</v>
      </c>
    </row>
    <row r="202" spans="2:29" x14ac:dyDescent="0.25">
      <c r="B202" s="277" t="s">
        <v>174</v>
      </c>
      <c r="C202" s="12" t="s">
        <v>175</v>
      </c>
      <c r="D202" s="37">
        <f>IFERROR(dat_nespresso_profile_d!F21,"")</f>
        <v>0.30184105730940147</v>
      </c>
      <c r="E202" s="37">
        <f>IFERROR(dat_nespresso_profile_d!G21,"")</f>
        <v>0.3158799624882776</v>
      </c>
      <c r="F202" s="37">
        <f>IFERROR(dat_nespresso_profile_d!H21,"")</f>
        <v>0.29362247232134692</v>
      </c>
    </row>
    <row r="203" spans="2:29" x14ac:dyDescent="0.25">
      <c r="B203" s="283"/>
      <c r="C203" s="12" t="s">
        <v>176</v>
      </c>
      <c r="D203" s="37">
        <f>IFERROR(dat_nespresso_profile_d!F22,"")</f>
        <v>0.69792808910948234</v>
      </c>
      <c r="E203" s="37">
        <f>IFERROR(dat_nespresso_profile_d!G22,"")</f>
        <v>0.68349484213816813</v>
      </c>
      <c r="F203" s="37">
        <f>IFERROR(dat_nespresso_profile_d!H22,"")</f>
        <v>0.70637752767865314</v>
      </c>
    </row>
    <row r="204" spans="2:29" x14ac:dyDescent="0.25">
      <c r="B204" s="277" t="s">
        <v>177</v>
      </c>
      <c r="C204" s="12" t="s">
        <v>178</v>
      </c>
      <c r="D204" s="37">
        <f>IFERROR(dat_nespresso_profile_d!F23,"")</f>
        <v>3.2261787960985742E-2</v>
      </c>
      <c r="E204" s="37">
        <f>IFERROR(dat_nespresso_profile_d!G23,"")</f>
        <v>4.0950296967802439E-2</v>
      </c>
      <c r="F204" s="37">
        <f>IFERROR(dat_nespresso_profile_d!H23,"")</f>
        <v>2.7175404886082902E-2</v>
      </c>
    </row>
    <row r="205" spans="2:29" x14ac:dyDescent="0.25">
      <c r="B205" s="281"/>
      <c r="C205" s="12" t="s">
        <v>179</v>
      </c>
      <c r="D205" s="37">
        <f>IFERROR(dat_nespresso_profile_d!F24,"")</f>
        <v>0.1157730709297628</v>
      </c>
      <c r="E205" s="37">
        <f>IFERROR(dat_nespresso_profile_d!G24,"")</f>
        <v>0.1473898093154111</v>
      </c>
      <c r="F205" s="37">
        <f>IFERROR(dat_nespresso_profile_d!H24,"")</f>
        <v>9.7264159575441489E-2</v>
      </c>
    </row>
    <row r="206" spans="2:29" x14ac:dyDescent="0.25">
      <c r="B206" s="281"/>
      <c r="C206" s="12" t="s">
        <v>180</v>
      </c>
      <c r="D206" s="37">
        <f>IFERROR(dat_nespresso_profile_d!F25,"")</f>
        <v>0.19518670283372769</v>
      </c>
      <c r="E206" s="37">
        <f>IFERROR(dat_nespresso_profile_d!G25,"")</f>
        <v>0.21522350734604559</v>
      </c>
      <c r="F206" s="37">
        <f>IFERROR(dat_nespresso_profile_d!H25,"")</f>
        <v>0.18345685790099731</v>
      </c>
    </row>
    <row r="207" spans="2:29" x14ac:dyDescent="0.25">
      <c r="B207" s="281"/>
      <c r="C207" s="12" t="s">
        <v>181</v>
      </c>
      <c r="D207" s="37">
        <f>IFERROR(dat_nespresso_profile_d!F26,"")</f>
        <v>0.21013447221100021</v>
      </c>
      <c r="E207" s="37">
        <f>IFERROR(dat_nespresso_profile_d!G26,"")</f>
        <v>0.1974054391997499</v>
      </c>
      <c r="F207" s="37">
        <f>IFERROR(dat_nespresso_profile_d!H26,"")</f>
        <v>0.21758623844816541</v>
      </c>
    </row>
    <row r="208" spans="2:29" x14ac:dyDescent="0.25">
      <c r="B208" s="281"/>
      <c r="C208" s="12" t="s">
        <v>200</v>
      </c>
      <c r="D208" s="37">
        <f>IFERROR(dat_nespresso_profile_d!F27,"")</f>
        <v>0.27904426617417899</v>
      </c>
      <c r="E208" s="37">
        <f>IFERROR(dat_nespresso_profile_d!G27,"")</f>
        <v>0.23382306970928421</v>
      </c>
      <c r="F208" s="37">
        <f>IFERROR(dat_nespresso_profile_d!H27,"")</f>
        <v>0.30551743068899262</v>
      </c>
    </row>
    <row r="209" spans="2:32" x14ac:dyDescent="0.25">
      <c r="B209" s="283"/>
      <c r="C209" s="12" t="s">
        <v>184</v>
      </c>
      <c r="D209" s="37">
        <f>IFERROR(dat_nespresso_profile_d!F28,"")</f>
        <v>0.16413689617360189</v>
      </c>
      <c r="E209" s="37">
        <f>IFERROR(dat_nespresso_profile_d!G28,"")</f>
        <v>0.16145670522038141</v>
      </c>
      <c r="F209" s="37">
        <f>IFERROR(dat_nespresso_profile_d!H28,"")</f>
        <v>0.16570592002927989</v>
      </c>
    </row>
    <row r="210" spans="2:32" x14ac:dyDescent="0.25">
      <c r="B210" s="277" t="s">
        <v>185</v>
      </c>
      <c r="C210" s="22">
        <v>1</v>
      </c>
      <c r="D210" s="37">
        <f>IFERROR(dat_nespresso_profile_d!F29,"")</f>
        <v>0.4156518727996768</v>
      </c>
      <c r="E210" s="37">
        <f>IFERROR(dat_nespresso_profile_d!G29,"")</f>
        <v>0.37824320100031261</v>
      </c>
      <c r="F210" s="37">
        <f>IFERROR(dat_nespresso_profile_d!H29,"")</f>
        <v>0.43755146856985999</v>
      </c>
    </row>
    <row r="211" spans="2:32" x14ac:dyDescent="0.25">
      <c r="B211" s="281"/>
      <c r="C211" s="22">
        <v>2</v>
      </c>
      <c r="D211" s="37">
        <f>IFERROR(dat_nespresso_profile_d!F30,"")</f>
        <v>0.29670456512956661</v>
      </c>
      <c r="E211" s="37">
        <f>IFERROR(dat_nespresso_profile_d!G30,"")</f>
        <v>0.30947170990934669</v>
      </c>
      <c r="F211" s="37">
        <f>IFERROR(dat_nespresso_profile_d!H30,"")</f>
        <v>0.28923048769329313</v>
      </c>
    </row>
    <row r="212" spans="2:32" x14ac:dyDescent="0.25">
      <c r="B212" s="281"/>
      <c r="C212" s="22">
        <v>3</v>
      </c>
      <c r="D212" s="37">
        <f>IFERROR(dat_nespresso_profile_d!F31,"")</f>
        <v>0.12870087147226869</v>
      </c>
      <c r="E212" s="37">
        <f>IFERROR(dat_nespresso_profile_d!G31,"")</f>
        <v>0.12691466083150979</v>
      </c>
      <c r="F212" s="37">
        <f>IFERROR(dat_nespresso_profile_d!H31,"")</f>
        <v>0.12974654588708939</v>
      </c>
    </row>
    <row r="213" spans="2:32" x14ac:dyDescent="0.25">
      <c r="B213" s="281"/>
      <c r="C213" s="22">
        <v>4</v>
      </c>
      <c r="D213" s="37">
        <f>IFERROR(dat_nespresso_profile_d!F32,"")</f>
        <v>2.902983782535927E-2</v>
      </c>
      <c r="E213" s="37">
        <f>IFERROR(dat_nespresso_profile_d!G32,"")</f>
        <v>3.219756173804314E-2</v>
      </c>
      <c r="F213" s="37">
        <f>IFERROR(dat_nespresso_profile_d!H32,"")</f>
        <v>2.7175404886082902E-2</v>
      </c>
    </row>
    <row r="214" spans="2:32" x14ac:dyDescent="0.25">
      <c r="B214" s="281"/>
      <c r="C214" s="22">
        <v>5</v>
      </c>
      <c r="D214" s="37">
        <f>IFERROR(dat_nespresso_profile_d!F33,"")</f>
        <v>3.3185202285450452E-2</v>
      </c>
      <c r="E214" s="37">
        <f>IFERROR(dat_nespresso_profile_d!G33,"")</f>
        <v>3.9074710847139732E-2</v>
      </c>
      <c r="F214" s="37">
        <f>IFERROR(dat_nespresso_profile_d!H33,"")</f>
        <v>2.9737395919114281E-2</v>
      </c>
    </row>
    <row r="215" spans="2:32" x14ac:dyDescent="0.25">
      <c r="B215" s="283"/>
      <c r="C215" s="22">
        <v>6</v>
      </c>
      <c r="D215" s="37">
        <f>IFERROR(dat_nespresso_profile_d!F34,"")</f>
        <v>1.448606221504011E-2</v>
      </c>
      <c r="E215" s="37">
        <f>IFERROR(dat_nespresso_profile_d!G34,"")</f>
        <v>1.6411378555798689E-2</v>
      </c>
      <c r="F215" s="37">
        <f>IFERROR(dat_nespresso_profile_d!H34,"")</f>
        <v>1.335895324366365E-2</v>
      </c>
    </row>
    <row r="216" spans="2:32" x14ac:dyDescent="0.25">
      <c r="B216" s="277" t="s">
        <v>186</v>
      </c>
      <c r="C216" s="12" t="s">
        <v>187</v>
      </c>
      <c r="D216" s="37">
        <f>IFERROR(dat_nespresso_profile_d!F35,"")</f>
        <v>8.8301494776937724E-3</v>
      </c>
      <c r="E216" s="37">
        <f>IFERROR(dat_nespresso_profile_d!G35,"")</f>
        <v>1.7349171616130039E-2</v>
      </c>
      <c r="F216" s="37">
        <f>IFERROR(dat_nespresso_profile_d!H35,"")</f>
        <v>3.8429865495470772E-3</v>
      </c>
    </row>
    <row r="217" spans="2:32" x14ac:dyDescent="0.25">
      <c r="B217" s="281"/>
      <c r="C217" s="12" t="s">
        <v>188</v>
      </c>
      <c r="D217" s="37">
        <f>IFERROR(dat_nespresso_profile_d!F36,"")</f>
        <v>3.6359439025797892E-2</v>
      </c>
      <c r="E217" s="37">
        <f>IFERROR(dat_nespresso_profile_d!G36,"")</f>
        <v>5.4391997499218497E-2</v>
      </c>
      <c r="F217" s="37">
        <f>IFERROR(dat_nespresso_profile_d!H36,"")</f>
        <v>2.5802909689816089E-2</v>
      </c>
    </row>
    <row r="218" spans="2:32" x14ac:dyDescent="0.25">
      <c r="B218" s="281"/>
      <c r="C218" s="12" t="s">
        <v>189</v>
      </c>
      <c r="D218" s="37">
        <f>IFERROR(dat_nespresso_profile_d!F37,"")</f>
        <v>9.5284815605702081E-2</v>
      </c>
      <c r="E218" s="37">
        <f>IFERROR(dat_nespresso_profile_d!G37,"")</f>
        <v>0.1245701781806815</v>
      </c>
      <c r="F218" s="37">
        <f>IFERROR(dat_nespresso_profile_d!H37,"")</f>
        <v>7.8140726507457223E-2</v>
      </c>
    </row>
    <row r="219" spans="2:32" x14ac:dyDescent="0.25">
      <c r="B219" s="281"/>
      <c r="C219" s="12" t="s">
        <v>190</v>
      </c>
      <c r="D219" s="37">
        <f>IFERROR(dat_nespresso_profile_d!F38,"")</f>
        <v>0.20280487101056149</v>
      </c>
      <c r="E219" s="37">
        <f>IFERROR(dat_nespresso_profile_d!G38,"")</f>
        <v>0.21741169115348549</v>
      </c>
      <c r="F219" s="37">
        <f>IFERROR(dat_nespresso_profile_d!H38,"")</f>
        <v>0.19425382011162959</v>
      </c>
    </row>
    <row r="220" spans="2:32" x14ac:dyDescent="0.25">
      <c r="B220" s="283"/>
      <c r="C220" s="12" t="s">
        <v>191</v>
      </c>
      <c r="D220" s="37">
        <f>IFERROR(dat_nespresso_profile_d!F39,"")</f>
        <v>0.65389276851157152</v>
      </c>
      <c r="E220" s="37">
        <f>IFERROR(dat_nespresso_profile_d!G39,"")</f>
        <v>0.57986870897155363</v>
      </c>
      <c r="F220" s="37">
        <f>IFERROR(dat_nespresso_profile_d!H39,"")</f>
        <v>0.697227559703541</v>
      </c>
    </row>
    <row r="221" spans="2:32" x14ac:dyDescent="0.25">
      <c r="B221" s="2" t="s">
        <v>411</v>
      </c>
    </row>
    <row r="223" spans="2:32" s="49" customFormat="1" ht="16.25" customHeight="1" x14ac:dyDescent="0.25">
      <c r="B223" s="289" t="s">
        <v>419</v>
      </c>
      <c r="C223" s="290"/>
      <c r="D223" s="290"/>
      <c r="E223" s="168"/>
      <c r="F223" s="168"/>
      <c r="M223" s="50"/>
      <c r="N223" s="50"/>
      <c r="O223" s="50"/>
    </row>
    <row r="224" spans="2:32" ht="16.25" customHeight="1" x14ac:dyDescent="0.25">
      <c r="B224" s="339" t="s">
        <v>10870</v>
      </c>
      <c r="C224" s="269"/>
      <c r="D224" s="269"/>
      <c r="E224" s="269"/>
      <c r="F224" s="269"/>
      <c r="G224" s="269"/>
      <c r="H224" s="269"/>
      <c r="P224" s="4"/>
      <c r="Q224" s="4"/>
      <c r="R224" s="4"/>
      <c r="S224" s="4"/>
      <c r="T224" s="4"/>
      <c r="U224" s="4"/>
      <c r="V224" s="4"/>
      <c r="W224" s="4"/>
      <c r="X224" s="4"/>
      <c r="Y224" s="4"/>
      <c r="Z224" s="4"/>
      <c r="AA224" s="4"/>
      <c r="AB224" s="4"/>
      <c r="AC224" s="4"/>
      <c r="AD224" s="4"/>
      <c r="AE224" s="4"/>
      <c r="AF224" s="4"/>
    </row>
    <row r="225" spans="2:32" ht="16.25" customHeight="1" x14ac:dyDescent="0.25">
      <c r="B225" s="246" t="s">
        <v>204</v>
      </c>
      <c r="C225" s="246" t="s">
        <v>33</v>
      </c>
      <c r="D225" s="246" t="s">
        <v>205</v>
      </c>
      <c r="E225" s="57" t="s">
        <v>420</v>
      </c>
      <c r="F225" s="344" t="s">
        <v>207</v>
      </c>
      <c r="G225" s="269"/>
      <c r="H225" s="269"/>
      <c r="L225" s="4"/>
      <c r="M225" s="4"/>
      <c r="N225" s="4"/>
      <c r="O225" s="4"/>
      <c r="P225" s="4"/>
      <c r="Q225" s="4"/>
      <c r="R225" s="4"/>
      <c r="S225" s="4"/>
      <c r="T225" s="4"/>
      <c r="U225" s="4"/>
      <c r="V225" s="4"/>
      <c r="W225" s="4"/>
      <c r="X225" s="4"/>
      <c r="Y225" s="4"/>
      <c r="Z225" s="4"/>
      <c r="AA225" s="4"/>
      <c r="AB225" s="4"/>
      <c r="AC225" s="4"/>
      <c r="AD225" s="4"/>
      <c r="AE225" s="4"/>
      <c r="AF225" s="4"/>
    </row>
    <row r="226" spans="2:32" x14ac:dyDescent="0.25">
      <c r="B226" s="247" t="s">
        <v>421</v>
      </c>
      <c r="C226" s="37">
        <v>0.3997</v>
      </c>
      <c r="D226" s="175" t="s">
        <v>10871</v>
      </c>
      <c r="E226" s="60" t="s">
        <v>10872</v>
      </c>
      <c r="F226" s="340" t="s">
        <v>10873</v>
      </c>
      <c r="G226" s="269"/>
      <c r="H226" s="269"/>
      <c r="L226" s="4"/>
      <c r="M226" s="4"/>
      <c r="N226" s="4"/>
      <c r="O226" s="4"/>
      <c r="P226" s="4"/>
      <c r="Q226" s="4"/>
      <c r="R226" s="4"/>
      <c r="S226" s="4"/>
      <c r="T226" s="4"/>
      <c r="U226" s="4"/>
      <c r="V226" s="4"/>
      <c r="W226" s="4"/>
      <c r="X226" s="4"/>
      <c r="Y226" s="4"/>
      <c r="Z226" s="4"/>
      <c r="AA226" s="4"/>
      <c r="AB226" s="4"/>
      <c r="AC226" s="4"/>
      <c r="AD226" s="4"/>
      <c r="AE226" s="4"/>
      <c r="AF226" s="4"/>
    </row>
    <row r="227" spans="2:32" x14ac:dyDescent="0.25">
      <c r="B227" s="247" t="s">
        <v>213</v>
      </c>
      <c r="C227" s="37">
        <v>0.2203</v>
      </c>
      <c r="D227" s="175" t="s">
        <v>10871</v>
      </c>
      <c r="E227" s="59" t="s">
        <v>10792</v>
      </c>
      <c r="F227" s="340" t="s">
        <v>10874</v>
      </c>
      <c r="G227" s="269"/>
      <c r="H227" s="269"/>
      <c r="L227" s="4"/>
      <c r="M227" s="4"/>
      <c r="N227" s="4"/>
      <c r="O227" s="4"/>
      <c r="P227" s="4"/>
      <c r="Q227" s="4"/>
      <c r="R227" s="4"/>
      <c r="S227" s="4"/>
      <c r="T227" s="4"/>
      <c r="U227" s="4"/>
      <c r="V227" s="4"/>
      <c r="W227" s="4"/>
      <c r="X227" s="4"/>
      <c r="Y227" s="4"/>
      <c r="Z227" s="4"/>
      <c r="AA227" s="4"/>
      <c r="AB227" s="4"/>
      <c r="AC227" s="4"/>
      <c r="AD227" s="4"/>
      <c r="AE227" s="4"/>
      <c r="AF227" s="4"/>
    </row>
    <row r="228" spans="2:32" ht="30" customHeight="1" x14ac:dyDescent="0.25">
      <c r="B228" s="247" t="s">
        <v>211</v>
      </c>
      <c r="C228" s="37">
        <v>0.3271</v>
      </c>
      <c r="D228" s="175" t="s">
        <v>10793</v>
      </c>
      <c r="E228" s="58" t="s">
        <v>10788</v>
      </c>
      <c r="F228" s="340" t="s">
        <v>10875</v>
      </c>
      <c r="G228" s="269"/>
      <c r="H228" s="269"/>
      <c r="L228" s="4"/>
      <c r="M228" s="4"/>
      <c r="N228" s="4"/>
      <c r="O228" s="4"/>
      <c r="P228" s="4"/>
      <c r="Q228" s="4"/>
      <c r="R228" s="4"/>
      <c r="S228" s="4"/>
      <c r="T228" s="4"/>
      <c r="U228" s="4"/>
      <c r="V228" s="4"/>
      <c r="W228" s="4"/>
      <c r="X228" s="4"/>
      <c r="Y228" s="4"/>
      <c r="Z228" s="4"/>
      <c r="AA228" s="4"/>
      <c r="AB228" s="4"/>
      <c r="AC228" s="4"/>
      <c r="AD228" s="4"/>
      <c r="AE228" s="4"/>
      <c r="AF228" s="4"/>
    </row>
    <row r="229" spans="2:32" x14ac:dyDescent="0.25">
      <c r="B229" s="247" t="s">
        <v>10876</v>
      </c>
      <c r="C229" s="37">
        <v>0.25679999999999997</v>
      </c>
      <c r="D229" s="175" t="s">
        <v>10793</v>
      </c>
      <c r="E229" s="38" t="s">
        <v>10877</v>
      </c>
      <c r="F229" s="340" t="s">
        <v>10878</v>
      </c>
      <c r="G229" s="269"/>
      <c r="H229" s="269"/>
      <c r="L229" s="4"/>
      <c r="M229" s="4"/>
      <c r="N229" s="4"/>
      <c r="O229" s="4"/>
      <c r="P229" s="4"/>
      <c r="Q229" s="4"/>
      <c r="R229" s="4"/>
      <c r="S229" s="4"/>
      <c r="T229" s="4"/>
      <c r="U229" s="4"/>
      <c r="V229" s="4"/>
      <c r="W229" s="4"/>
      <c r="X229" s="4"/>
      <c r="Y229" s="4"/>
      <c r="Z229" s="4"/>
      <c r="AA229" s="4"/>
      <c r="AB229" s="4"/>
      <c r="AC229" s="4"/>
      <c r="AD229" s="4"/>
      <c r="AE229" s="4"/>
      <c r="AF229" s="4"/>
    </row>
    <row r="230" spans="2:32" ht="18" customHeight="1" x14ac:dyDescent="0.25">
      <c r="B230" s="247" t="s">
        <v>10879</v>
      </c>
      <c r="C230" s="37">
        <v>0.33810000000000001</v>
      </c>
      <c r="D230" s="175" t="s">
        <v>10797</v>
      </c>
      <c r="E230" s="59" t="s">
        <v>10785</v>
      </c>
      <c r="F230" s="340" t="s">
        <v>10880</v>
      </c>
      <c r="G230" s="269"/>
      <c r="H230" s="269"/>
      <c r="L230" s="4"/>
      <c r="M230" s="4"/>
      <c r="N230" s="4"/>
      <c r="O230" s="4"/>
      <c r="P230" s="4"/>
      <c r="Q230" s="4"/>
      <c r="R230" s="4"/>
      <c r="S230" s="4"/>
      <c r="T230" s="4"/>
      <c r="U230" s="4"/>
      <c r="V230" s="4"/>
      <c r="W230" s="4"/>
      <c r="X230" s="4"/>
      <c r="Y230" s="4"/>
      <c r="Z230" s="4"/>
      <c r="AA230" s="4"/>
      <c r="AB230" s="4"/>
      <c r="AC230" s="4"/>
      <c r="AD230" s="4"/>
      <c r="AE230" s="4"/>
      <c r="AF230" s="4"/>
    </row>
    <row r="231" spans="2:32" x14ac:dyDescent="0.25">
      <c r="B231" s="247" t="s">
        <v>10881</v>
      </c>
      <c r="C231" s="37">
        <v>0.41489999999999999</v>
      </c>
      <c r="D231" s="175" t="s">
        <v>10882</v>
      </c>
      <c r="E231" s="59" t="s">
        <v>10883</v>
      </c>
      <c r="F231" s="340" t="s">
        <v>10884</v>
      </c>
      <c r="G231" s="269"/>
      <c r="H231" s="269"/>
      <c r="L231" s="4"/>
      <c r="M231" s="4"/>
      <c r="N231" s="4"/>
      <c r="O231" s="4"/>
      <c r="P231" s="4"/>
      <c r="Q231" s="4"/>
      <c r="R231" s="4"/>
      <c r="S231" s="4"/>
      <c r="T231" s="4"/>
      <c r="U231" s="4"/>
      <c r="V231" s="4"/>
      <c r="W231" s="4"/>
      <c r="X231" s="4"/>
      <c r="Y231" s="4"/>
      <c r="Z231" s="4"/>
      <c r="AA231" s="4"/>
      <c r="AB231" s="4"/>
      <c r="AC231" s="4"/>
      <c r="AD231" s="4"/>
      <c r="AE231" s="4"/>
      <c r="AF231" s="4"/>
    </row>
    <row r="232" spans="2:32" x14ac:dyDescent="0.25">
      <c r="B232" s="247" t="s">
        <v>10885</v>
      </c>
      <c r="C232" s="37">
        <v>0.29149999999999998</v>
      </c>
      <c r="D232" s="175" t="s">
        <v>10882</v>
      </c>
      <c r="E232" s="59" t="s">
        <v>10886</v>
      </c>
      <c r="F232" s="340" t="s">
        <v>10887</v>
      </c>
      <c r="G232" s="269"/>
      <c r="H232" s="269"/>
      <c r="L232" s="4"/>
      <c r="M232" s="4"/>
      <c r="N232" s="4"/>
      <c r="O232" s="4"/>
      <c r="P232" s="4"/>
      <c r="Q232" s="4"/>
      <c r="R232" s="4"/>
      <c r="S232" s="4"/>
      <c r="T232" s="4"/>
      <c r="U232" s="4"/>
      <c r="V232" s="4"/>
      <c r="W232" s="4"/>
      <c r="X232" s="4"/>
      <c r="Y232" s="4"/>
      <c r="Z232" s="4"/>
      <c r="AA232" s="4"/>
      <c r="AB232" s="4"/>
      <c r="AC232" s="4"/>
      <c r="AD232" s="4"/>
      <c r="AE232" s="4"/>
      <c r="AF232" s="4"/>
    </row>
    <row r="233" spans="2:32" x14ac:dyDescent="0.25">
      <c r="B233" s="247" t="s">
        <v>422</v>
      </c>
      <c r="C233" s="37">
        <v>0.26</v>
      </c>
      <c r="D233" s="175" t="s">
        <v>10882</v>
      </c>
      <c r="E233" s="59" t="s">
        <v>423</v>
      </c>
      <c r="F233" s="340" t="s">
        <v>10888</v>
      </c>
      <c r="G233" s="269"/>
      <c r="H233" s="269"/>
      <c r="L233" s="4"/>
      <c r="M233" s="4"/>
      <c r="N233" s="4"/>
      <c r="O233" s="4"/>
      <c r="P233" s="4"/>
      <c r="Q233" s="4"/>
      <c r="R233" s="4"/>
      <c r="S233" s="4"/>
      <c r="T233" s="4"/>
      <c r="U233" s="4"/>
      <c r="V233" s="4"/>
      <c r="W233" s="4"/>
      <c r="X233" s="4"/>
      <c r="Y233" s="4"/>
      <c r="Z233" s="4"/>
      <c r="AA233" s="4"/>
      <c r="AB233" s="4"/>
      <c r="AC233" s="4"/>
      <c r="AD233" s="4"/>
      <c r="AE233" s="4"/>
      <c r="AF233" s="4"/>
    </row>
    <row r="234" spans="2:32" x14ac:dyDescent="0.25">
      <c r="B234" s="247" t="s">
        <v>424</v>
      </c>
      <c r="C234" s="37">
        <v>0.23119999999999999</v>
      </c>
      <c r="D234" s="175" t="s">
        <v>10882</v>
      </c>
      <c r="E234" s="59" t="s">
        <v>10889</v>
      </c>
      <c r="F234" s="340"/>
      <c r="G234" s="269"/>
      <c r="H234" s="269"/>
      <c r="L234" s="4"/>
      <c r="M234" s="4"/>
      <c r="N234" s="4"/>
      <c r="O234" s="4"/>
      <c r="P234" s="4"/>
      <c r="Q234" s="4"/>
      <c r="R234" s="4"/>
      <c r="S234" s="4"/>
      <c r="T234" s="4"/>
      <c r="U234" s="4"/>
      <c r="V234" s="4"/>
      <c r="W234" s="4"/>
      <c r="X234" s="4"/>
      <c r="Y234" s="4"/>
      <c r="Z234" s="4"/>
      <c r="AA234" s="4"/>
      <c r="AB234" s="4"/>
      <c r="AC234" s="4"/>
      <c r="AD234" s="4"/>
      <c r="AE234" s="4"/>
      <c r="AF234" s="4"/>
    </row>
    <row r="235" spans="2:32" x14ac:dyDescent="0.25">
      <c r="B235" s="247" t="s">
        <v>10802</v>
      </c>
      <c r="C235" s="37">
        <v>0.58199999999999996</v>
      </c>
      <c r="D235" s="175" t="s">
        <v>10890</v>
      </c>
      <c r="E235" s="59" t="s">
        <v>10803</v>
      </c>
      <c r="F235" s="340" t="s">
        <v>10891</v>
      </c>
      <c r="G235" s="269"/>
      <c r="H235" s="269"/>
      <c r="L235" s="4"/>
      <c r="M235" s="4"/>
      <c r="N235" s="4"/>
      <c r="O235" s="4"/>
      <c r="P235" s="4"/>
      <c r="Q235" s="4"/>
      <c r="R235" s="4"/>
      <c r="S235" s="4"/>
      <c r="T235" s="4"/>
      <c r="U235" s="4"/>
      <c r="V235" s="4"/>
      <c r="W235" s="4"/>
      <c r="X235" s="4"/>
      <c r="Y235" s="4"/>
      <c r="Z235" s="4"/>
      <c r="AA235" s="4"/>
      <c r="AB235" s="4"/>
      <c r="AC235" s="4"/>
      <c r="AD235" s="4"/>
      <c r="AE235" s="4"/>
      <c r="AF235" s="4"/>
    </row>
    <row r="236" spans="2:32" x14ac:dyDescent="0.25">
      <c r="L236" s="4"/>
      <c r="M236" s="4"/>
      <c r="N236" s="4"/>
      <c r="O236" s="4"/>
      <c r="P236" s="4"/>
      <c r="Q236" s="4"/>
      <c r="R236" s="4"/>
      <c r="S236" s="4"/>
      <c r="T236" s="4"/>
      <c r="U236" s="4"/>
      <c r="V236" s="4"/>
      <c r="W236" s="4"/>
      <c r="X236" s="4"/>
      <c r="Y236" s="4"/>
      <c r="Z236" s="4"/>
      <c r="AA236" s="4"/>
      <c r="AB236" s="4"/>
      <c r="AC236" s="4"/>
      <c r="AD236" s="4"/>
      <c r="AE236" s="4"/>
      <c r="AF236" s="4"/>
    </row>
    <row r="237" spans="2:32" x14ac:dyDescent="0.25">
      <c r="C237" s="2" t="s">
        <v>411</v>
      </c>
      <c r="L237" s="4"/>
      <c r="M237" s="4"/>
      <c r="N237" s="4"/>
      <c r="O237" s="4"/>
      <c r="P237" s="4"/>
      <c r="Q237" s="4"/>
      <c r="R237" s="4"/>
      <c r="S237" s="4"/>
      <c r="T237" s="4"/>
      <c r="U237" s="4"/>
      <c r="V237" s="4"/>
      <c r="W237" s="4"/>
      <c r="X237" s="4"/>
      <c r="Y237" s="4"/>
      <c r="Z237" s="4"/>
      <c r="AA237" s="4"/>
      <c r="AB237" s="4"/>
      <c r="AC237" s="4"/>
      <c r="AD237" s="4"/>
      <c r="AE237" s="4"/>
      <c r="AF237" s="4"/>
    </row>
    <row r="239" spans="2:32" s="49" customFormat="1" ht="16.25" customHeight="1" x14ac:dyDescent="0.25">
      <c r="B239" s="289" t="s">
        <v>425</v>
      </c>
      <c r="C239" s="290"/>
      <c r="D239" s="290"/>
      <c r="E239" s="168"/>
      <c r="F239" s="168"/>
      <c r="M239" s="50"/>
      <c r="N239" s="50"/>
      <c r="O239" s="50"/>
    </row>
    <row r="240" spans="2:32" s="61" customFormat="1" x14ac:dyDescent="0.45"/>
    <row r="241" spans="2:21" ht="17.5" customHeight="1" x14ac:dyDescent="0.25">
      <c r="B241" s="1" t="s">
        <v>426</v>
      </c>
      <c r="G241" s="1" t="s">
        <v>427</v>
      </c>
      <c r="M241" s="341" t="s">
        <v>428</v>
      </c>
      <c r="N241" s="342"/>
      <c r="O241" s="342"/>
      <c r="P241" s="342"/>
      <c r="Q241" s="342"/>
      <c r="R241" s="342"/>
      <c r="S241" s="342"/>
      <c r="T241" s="342"/>
      <c r="U241" s="343"/>
    </row>
    <row r="242" spans="2:21" s="61" customFormat="1" ht="32.5" customHeight="1" x14ac:dyDescent="0.45">
      <c r="B242" s="30">
        <v>23.12</v>
      </c>
      <c r="C242" s="30" t="s">
        <v>429</v>
      </c>
      <c r="D242" s="30" t="s">
        <v>430</v>
      </c>
      <c r="G242" s="30">
        <v>23.12</v>
      </c>
      <c r="H242" s="30" t="s">
        <v>429</v>
      </c>
      <c r="I242" s="30" t="s">
        <v>430</v>
      </c>
      <c r="K242" s="176"/>
      <c r="M242" s="109" t="s">
        <v>138</v>
      </c>
      <c r="N242" s="109" t="s">
        <v>431</v>
      </c>
      <c r="O242" s="109" t="s">
        <v>252</v>
      </c>
      <c r="P242" s="109" t="s">
        <v>253</v>
      </c>
      <c r="Q242" s="109" t="s">
        <v>254</v>
      </c>
      <c r="R242" s="109" t="s">
        <v>432</v>
      </c>
      <c r="S242" s="109" t="s">
        <v>256</v>
      </c>
      <c r="T242" s="109" t="s">
        <v>257</v>
      </c>
      <c r="U242" s="109" t="s">
        <v>258</v>
      </c>
    </row>
    <row r="243" spans="2:21" x14ac:dyDescent="0.4">
      <c r="B243" s="177" t="s">
        <v>433</v>
      </c>
      <c r="C243" s="16">
        <v>10000</v>
      </c>
      <c r="D243" s="17">
        <f>C243/C244</f>
        <v>4.3478260869565216E-2</v>
      </c>
      <c r="E243" s="17">
        <f>C243/C251-1</f>
        <v>-0.65517241379310343</v>
      </c>
      <c r="F243" s="117"/>
      <c r="G243" s="177" t="s">
        <v>433</v>
      </c>
      <c r="H243" s="16">
        <v>8000</v>
      </c>
      <c r="I243" s="17">
        <f>H243/H244</f>
        <v>3.4782608695652174E-2</v>
      </c>
      <c r="J243" s="17">
        <f>H243/H251-1</f>
        <v>-0.66666666666666674</v>
      </c>
      <c r="K243" s="117"/>
      <c r="L243" s="184">
        <v>70000</v>
      </c>
      <c r="M243" s="179" t="s">
        <v>434</v>
      </c>
      <c r="N243" s="119">
        <v>900000</v>
      </c>
      <c r="O243" s="119">
        <v>80000</v>
      </c>
      <c r="P243" s="119">
        <v>9000</v>
      </c>
      <c r="Q243" s="119">
        <v>15000</v>
      </c>
      <c r="R243" s="116" t="str">
        <f>IF(AND(T243="-",U243="-"),"-",TEXT(T243,"#%")&amp;" vs. "&amp; TEXT(U243,"#%"))</f>
        <v>11% vs. 19%</v>
      </c>
      <c r="S243" s="116" t="str">
        <f>IF(AND(T243="-",U243="-"),"-",IF(IF(T243="-",0,T243)-IF(U243="-",0,U243)&gt;0,"高于竞品",IF(IF(T243="-",0,T243)-IF(U243="-",0,U243)=0,"相似","低于竞品")))</f>
        <v>低于竞品</v>
      </c>
      <c r="T243" s="115">
        <f>IFERROR(P243/O243,"-")</f>
        <v>0.1125</v>
      </c>
      <c r="U243" s="115">
        <f>IFERROR(Q243/O243,"-")</f>
        <v>0.1875</v>
      </c>
    </row>
    <row r="244" spans="2:21" s="61" customFormat="1" x14ac:dyDescent="0.45">
      <c r="B244" s="177" t="s">
        <v>435</v>
      </c>
      <c r="C244" s="16">
        <v>230000</v>
      </c>
      <c r="D244" s="17"/>
      <c r="F244" s="183"/>
      <c r="G244" s="177" t="s">
        <v>435</v>
      </c>
      <c r="H244" s="16">
        <v>230000</v>
      </c>
      <c r="I244" s="17"/>
      <c r="K244" s="183"/>
      <c r="L244" s="178">
        <v>18000</v>
      </c>
      <c r="M244" s="179" t="s">
        <v>266</v>
      </c>
      <c r="N244" s="119">
        <v>180000</v>
      </c>
      <c r="O244" s="119">
        <v>41000</v>
      </c>
      <c r="P244" s="119">
        <v>5000</v>
      </c>
      <c r="Q244" s="119">
        <v>6000</v>
      </c>
      <c r="R244" s="116" t="str">
        <f>IF(AND(T244="-",U244="-"),"-",TEXT(T244,"#%")&amp;" vs. "&amp; TEXT(U244,"#%"))</f>
        <v>12% vs. 15%</v>
      </c>
      <c r="S244" s="116" t="str">
        <f>IF(AND(T244="-",U244="-"),"-",IF(IF(T244="-",0,T244)-IF(U244="-",0,U244)&gt;0,"高于竞品",IF(IF(T244="-",0,T244)-IF(U244="-",0,U244)=0,"相似","低于竞品")))</f>
        <v>低于竞品</v>
      </c>
      <c r="T244" s="115">
        <f>IFERROR(P244/O244,"-")</f>
        <v>0.12195121951219512</v>
      </c>
      <c r="U244" s="115">
        <f>IFERROR(Q244/O244,"-")</f>
        <v>0.14634146341463414</v>
      </c>
    </row>
    <row r="245" spans="2:21" x14ac:dyDescent="0.4">
      <c r="B245" s="177" t="s">
        <v>436</v>
      </c>
      <c r="C245" s="16">
        <v>13000</v>
      </c>
      <c r="D245" s="17">
        <f>C245/C246</f>
        <v>4.4827586206896551E-2</v>
      </c>
      <c r="E245" s="17">
        <f>C245/C253-1</f>
        <v>-0.40909090909090906</v>
      </c>
      <c r="F245" s="117"/>
      <c r="G245" s="177" t="s">
        <v>436</v>
      </c>
      <c r="H245" s="16">
        <v>11000</v>
      </c>
      <c r="I245" s="17">
        <f>H245/H246</f>
        <v>3.793103448275862E-2</v>
      </c>
      <c r="J245" s="17">
        <f>H245/H253-1</f>
        <v>-0.3529411764705882</v>
      </c>
      <c r="K245" s="117"/>
      <c r="L245" s="184">
        <v>13000</v>
      </c>
      <c r="M245" s="179" t="s">
        <v>272</v>
      </c>
      <c r="N245" s="119">
        <v>90000</v>
      </c>
      <c r="O245" s="119">
        <v>20000</v>
      </c>
      <c r="P245" s="119">
        <v>2000</v>
      </c>
      <c r="Q245" s="119">
        <v>2000</v>
      </c>
      <c r="R245" s="116" t="str">
        <f>IF(AND(T245="-",U245="-"),"-",TEXT(T245,"#%")&amp;" vs. "&amp; TEXT(U245,"#%"))</f>
        <v>10% vs. 10%</v>
      </c>
      <c r="S245" s="116" t="str">
        <f>IF(AND(T245="-",U245="-"),"-",IF(IF(T245="-",0,T245)-IF(U245="-",0,U245)&gt;0,"高于竞品",IF(IF(T245="-",0,T245)-IF(U245="-",0,U245)=0,"相似","低于竞品")))</f>
        <v>相似</v>
      </c>
      <c r="T245" s="115">
        <f>IFERROR(P245/O245,"-")</f>
        <v>0.1</v>
      </c>
      <c r="U245" s="115">
        <f>IFERROR(Q245/O245,"-")</f>
        <v>0.1</v>
      </c>
    </row>
    <row r="246" spans="2:21" s="61" customFormat="1" x14ac:dyDescent="0.45">
      <c r="B246" s="177" t="s">
        <v>437</v>
      </c>
      <c r="C246" s="16">
        <v>290000</v>
      </c>
      <c r="D246" s="17"/>
      <c r="E246" s="20"/>
      <c r="G246" s="177" t="s">
        <v>437</v>
      </c>
      <c r="H246" s="16">
        <v>290000</v>
      </c>
      <c r="I246" s="17"/>
      <c r="J246" s="20"/>
      <c r="L246" s="178">
        <v>50000</v>
      </c>
      <c r="M246" s="179" t="s">
        <v>260</v>
      </c>
      <c r="N246" s="119">
        <v>420000</v>
      </c>
      <c r="O246" s="118" t="s">
        <v>132</v>
      </c>
      <c r="P246" s="118" t="s">
        <v>132</v>
      </c>
      <c r="Q246" s="118" t="s">
        <v>132</v>
      </c>
      <c r="R246" s="181"/>
      <c r="S246" s="182"/>
      <c r="T246" s="180" t="str">
        <f>IFERROR(P246/O246,"-")</f>
        <v>-</v>
      </c>
      <c r="U246" s="180" t="str">
        <f>IFERROR(Q246/O246,"-")</f>
        <v>-</v>
      </c>
    </row>
    <row r="247" spans="2:21" x14ac:dyDescent="0.25">
      <c r="B247" s="177" t="s">
        <v>438</v>
      </c>
      <c r="C247" s="16">
        <v>3000</v>
      </c>
      <c r="D247" s="17">
        <f>C247/C248</f>
        <v>0.06</v>
      </c>
      <c r="E247" s="17">
        <f>C247/C255-1</f>
        <v>0</v>
      </c>
      <c r="G247" s="177" t="s">
        <v>438</v>
      </c>
      <c r="H247" s="16">
        <v>2000</v>
      </c>
      <c r="I247" s="17">
        <f>H247/H248</f>
        <v>0.04</v>
      </c>
      <c r="J247" s="17">
        <f>H247/H255-1</f>
        <v>0</v>
      </c>
    </row>
    <row r="248" spans="2:21" s="61" customFormat="1" x14ac:dyDescent="0.45">
      <c r="B248" s="177" t="s">
        <v>439</v>
      </c>
      <c r="C248" s="16">
        <v>50000</v>
      </c>
      <c r="D248" s="17"/>
      <c r="E248" s="20"/>
      <c r="G248" s="177" t="s">
        <v>439</v>
      </c>
      <c r="H248" s="16">
        <v>50000</v>
      </c>
      <c r="I248" s="17"/>
      <c r="J248" s="20"/>
      <c r="K248" s="4"/>
    </row>
    <row r="249" spans="2:21" x14ac:dyDescent="0.45">
      <c r="B249" s="251"/>
      <c r="C249" s="251"/>
      <c r="D249" s="61"/>
      <c r="E249" s="20"/>
      <c r="G249" s="251"/>
      <c r="H249" s="251"/>
      <c r="I249" s="61"/>
      <c r="J249" s="20"/>
      <c r="K249" s="4"/>
      <c r="L249" s="320" t="s">
        <v>440</v>
      </c>
      <c r="M249" s="269"/>
      <c r="N249" s="269"/>
      <c r="O249" s="269"/>
    </row>
    <row r="250" spans="2:21" s="61" customFormat="1" ht="16.25" customHeight="1" x14ac:dyDescent="0.45">
      <c r="B250" s="30">
        <v>23.11</v>
      </c>
      <c r="C250" s="30" t="s">
        <v>429</v>
      </c>
      <c r="D250" s="30" t="s">
        <v>430</v>
      </c>
      <c r="E250" s="30" t="s">
        <v>441</v>
      </c>
      <c r="G250" s="30">
        <v>23.11</v>
      </c>
      <c r="H250" s="30" t="s">
        <v>429</v>
      </c>
      <c r="I250" s="30" t="s">
        <v>430</v>
      </c>
      <c r="J250" s="30" t="s">
        <v>441</v>
      </c>
      <c r="K250" s="4"/>
      <c r="L250" s="20" t="s">
        <v>138</v>
      </c>
      <c r="M250" s="20" t="str">
        <f>G250&amp;"复购率"</f>
        <v>23.11复购率</v>
      </c>
      <c r="N250" s="214" t="str">
        <f>G242&amp;"复购率"</f>
        <v>23.12复购率</v>
      </c>
      <c r="O250" s="214" t="s">
        <v>221</v>
      </c>
    </row>
    <row r="251" spans="2:21" x14ac:dyDescent="0.45">
      <c r="B251" s="177" t="s">
        <v>433</v>
      </c>
      <c r="C251" s="16">
        <v>29000</v>
      </c>
      <c r="D251" s="17">
        <f>C251/C252</f>
        <v>0.12083333333333333</v>
      </c>
      <c r="E251" s="17">
        <f>C243/C251-1</f>
        <v>-0.65517241379310343</v>
      </c>
      <c r="G251" s="177" t="s">
        <v>433</v>
      </c>
      <c r="H251" s="16">
        <v>24000</v>
      </c>
      <c r="I251" s="17">
        <f>H251/H252</f>
        <v>0.1</v>
      </c>
      <c r="J251" s="17">
        <f>H243/H251-1</f>
        <v>-0.66666666666666674</v>
      </c>
      <c r="K251" s="4"/>
      <c r="L251" s="214" t="s">
        <v>260</v>
      </c>
      <c r="M251" s="223">
        <f>I251</f>
        <v>0.1</v>
      </c>
      <c r="N251" s="224">
        <f>I243</f>
        <v>3.4782608695652174E-2</v>
      </c>
      <c r="O251" s="33">
        <f>N251/M251-1</f>
        <v>-0.65217391304347827</v>
      </c>
    </row>
    <row r="252" spans="2:21" s="61" customFormat="1" x14ac:dyDescent="0.45">
      <c r="B252" s="177" t="s">
        <v>435</v>
      </c>
      <c r="C252" s="16">
        <v>240000</v>
      </c>
      <c r="D252" s="17"/>
      <c r="E252" s="17"/>
      <c r="G252" s="177" t="s">
        <v>435</v>
      </c>
      <c r="H252" s="16">
        <v>240000</v>
      </c>
      <c r="I252" s="17"/>
      <c r="J252" s="17"/>
      <c r="K252" s="4"/>
      <c r="L252" s="20" t="s">
        <v>434</v>
      </c>
      <c r="M252" s="224">
        <f>I253</f>
        <v>5.8620689655172413E-2</v>
      </c>
      <c r="N252" s="223">
        <f>I245</f>
        <v>3.793103448275862E-2</v>
      </c>
      <c r="O252" s="33">
        <f>N252/M252-1</f>
        <v>-0.3529411764705882</v>
      </c>
    </row>
    <row r="253" spans="2:21" x14ac:dyDescent="0.45">
      <c r="B253" s="177" t="s">
        <v>436</v>
      </c>
      <c r="C253" s="16">
        <v>22000</v>
      </c>
      <c r="D253" s="17">
        <f>C253/C254</f>
        <v>7.586206896551724E-2</v>
      </c>
      <c r="E253" s="17">
        <f>C245/C253-1</f>
        <v>-0.40909090909090906</v>
      </c>
      <c r="G253" s="177" t="s">
        <v>436</v>
      </c>
      <c r="H253" s="16">
        <v>17000</v>
      </c>
      <c r="I253" s="17">
        <f>H253/H254</f>
        <v>5.8620689655172413E-2</v>
      </c>
      <c r="J253" s="17">
        <f>H245/H253-1</f>
        <v>-0.3529411764705882</v>
      </c>
      <c r="K253" s="4"/>
      <c r="L253" s="214" t="s">
        <v>272</v>
      </c>
      <c r="M253" s="223">
        <f>I255</f>
        <v>3.3333333333333333E-2</v>
      </c>
      <c r="N253" s="224">
        <f>I247</f>
        <v>0.04</v>
      </c>
      <c r="O253" s="33">
        <f>N253/M253-1</f>
        <v>0.19999999999999996</v>
      </c>
    </row>
    <row r="254" spans="2:21" s="61" customFormat="1" x14ac:dyDescent="0.45">
      <c r="B254" s="177" t="s">
        <v>437</v>
      </c>
      <c r="C254" s="16">
        <v>290000</v>
      </c>
      <c r="D254" s="17"/>
      <c r="E254" s="17"/>
      <c r="G254" s="177" t="s">
        <v>437</v>
      </c>
      <c r="H254" s="16">
        <v>290000</v>
      </c>
      <c r="I254" s="17"/>
      <c r="J254" s="17"/>
      <c r="K254" s="4"/>
    </row>
    <row r="255" spans="2:21" x14ac:dyDescent="0.25">
      <c r="B255" s="177" t="s">
        <v>438</v>
      </c>
      <c r="C255" s="16">
        <v>3000</v>
      </c>
      <c r="D255" s="17">
        <f>C255/C256</f>
        <v>0.05</v>
      </c>
      <c r="E255" s="17">
        <f>C247/C255-1</f>
        <v>0</v>
      </c>
      <c r="G255" s="177" t="s">
        <v>438</v>
      </c>
      <c r="H255" s="16">
        <v>2000</v>
      </c>
      <c r="I255" s="17">
        <f>H255/H256</f>
        <v>3.3333333333333333E-2</v>
      </c>
      <c r="J255" s="17">
        <f>H247/H255-1</f>
        <v>0</v>
      </c>
      <c r="K255" s="4"/>
      <c r="L255" s="4"/>
      <c r="M255" s="4"/>
      <c r="N255" s="4"/>
      <c r="O255" s="4"/>
      <c r="P255" s="4"/>
      <c r="Q255" s="4"/>
      <c r="R255" s="4"/>
      <c r="S255" s="4"/>
      <c r="T255" s="4"/>
    </row>
    <row r="256" spans="2:21" s="61" customFormat="1" x14ac:dyDescent="0.45">
      <c r="B256" s="177" t="s">
        <v>439</v>
      </c>
      <c r="C256" s="16">
        <v>60000</v>
      </c>
      <c r="D256" s="17"/>
      <c r="E256" s="17"/>
      <c r="G256" s="177" t="s">
        <v>439</v>
      </c>
      <c r="H256" s="16">
        <v>60000</v>
      </c>
      <c r="I256" s="17"/>
      <c r="J256" s="17"/>
      <c r="K256" s="4"/>
      <c r="L256" s="4"/>
      <c r="M256" s="4"/>
      <c r="N256" s="4"/>
      <c r="O256" s="4"/>
    </row>
    <row r="257" spans="2:24" x14ac:dyDescent="0.45">
      <c r="G257" s="61"/>
      <c r="H257" s="61"/>
      <c r="N257" s="4"/>
      <c r="O257" s="4"/>
      <c r="P257" s="4"/>
      <c r="Q257" s="4"/>
      <c r="R257" s="61"/>
      <c r="S257" s="61"/>
      <c r="T257" s="61"/>
      <c r="U257" s="61"/>
      <c r="V257" s="61"/>
      <c r="W257" s="61"/>
      <c r="X257" s="61"/>
    </row>
    <row r="258" spans="2:24" x14ac:dyDescent="0.45">
      <c r="R258" s="61"/>
      <c r="S258" s="61"/>
      <c r="T258" s="61"/>
      <c r="U258" s="61"/>
      <c r="V258" s="61"/>
      <c r="W258" s="61"/>
      <c r="X258" s="61"/>
    </row>
    <row r="259" spans="2:24" s="61" customFormat="1" ht="16.25" customHeight="1" x14ac:dyDescent="0.45">
      <c r="B259" s="272" t="s">
        <v>442</v>
      </c>
      <c r="C259" s="273"/>
      <c r="D259" s="273"/>
      <c r="E259" s="273"/>
      <c r="F259" s="273"/>
      <c r="G259" s="273"/>
      <c r="H259" s="273"/>
      <c r="I259" s="273"/>
      <c r="J259" s="273"/>
      <c r="K259" s="273"/>
      <c r="L259" s="273"/>
      <c r="M259" s="273"/>
      <c r="N259" s="273"/>
      <c r="O259" s="274"/>
    </row>
    <row r="260" spans="2:24" s="61" customFormat="1" ht="16.25" customHeight="1" x14ac:dyDescent="0.45">
      <c r="B260" s="276" t="s">
        <v>443</v>
      </c>
      <c r="C260" s="274"/>
      <c r="D260" s="30">
        <v>2023.01</v>
      </c>
      <c r="E260" s="30">
        <v>2023.02</v>
      </c>
      <c r="F260" s="30">
        <v>2023.03</v>
      </c>
      <c r="G260" s="30">
        <v>2023.04</v>
      </c>
      <c r="H260" s="30">
        <v>2023.05</v>
      </c>
      <c r="I260" s="30">
        <v>2023.06</v>
      </c>
      <c r="J260" s="30">
        <v>2023.07</v>
      </c>
      <c r="K260" s="30">
        <v>2023.08</v>
      </c>
      <c r="L260" s="30">
        <v>2023.09</v>
      </c>
      <c r="M260" s="30">
        <v>2023.1</v>
      </c>
      <c r="N260" s="30">
        <v>2023.11</v>
      </c>
      <c r="O260" s="30">
        <v>2023.12</v>
      </c>
      <c r="Q260" s="320" t="s">
        <v>219</v>
      </c>
      <c r="R260" s="321"/>
      <c r="S260" s="321"/>
      <c r="T260" s="321"/>
    </row>
    <row r="261" spans="2:24" s="61" customFormat="1" ht="16.25" customHeight="1" x14ac:dyDescent="0.45">
      <c r="B261" s="277" t="s">
        <v>16</v>
      </c>
      <c r="C261" s="185" t="s">
        <v>43</v>
      </c>
      <c r="D261" s="16">
        <v>294788</v>
      </c>
      <c r="E261" s="16">
        <v>290459</v>
      </c>
      <c r="F261" s="16">
        <v>266129</v>
      </c>
      <c r="G261" s="16">
        <v>253805</v>
      </c>
      <c r="H261" s="70"/>
      <c r="I261" s="16">
        <v>254383</v>
      </c>
      <c r="J261" s="16">
        <v>254527</v>
      </c>
      <c r="K261" s="101">
        <v>252496</v>
      </c>
      <c r="L261" s="16">
        <v>252219</v>
      </c>
      <c r="M261" s="16">
        <v>245966</v>
      </c>
      <c r="N261" s="16">
        <v>240748</v>
      </c>
      <c r="O261" s="16">
        <v>230611</v>
      </c>
      <c r="Q261" s="214" t="s">
        <v>239</v>
      </c>
      <c r="R261" s="215" t="str">
        <f>K260&amp;"复购率"</f>
        <v>2023.08复购率</v>
      </c>
      <c r="S261" s="215" t="str">
        <f>L260&amp;"复购率"</f>
        <v>2023.09复购率</v>
      </c>
      <c r="T261" s="216" t="s">
        <v>221</v>
      </c>
    </row>
    <row r="262" spans="2:24" s="61" customFormat="1" x14ac:dyDescent="0.45">
      <c r="B262" s="281"/>
      <c r="C262" s="68" t="s">
        <v>444</v>
      </c>
      <c r="D262" s="16">
        <v>9098</v>
      </c>
      <c r="E262" s="16">
        <v>11585</v>
      </c>
      <c r="F262" s="16">
        <v>23171</v>
      </c>
      <c r="G262" s="16">
        <v>12495</v>
      </c>
      <c r="H262" s="70"/>
      <c r="I262" s="16">
        <v>28883</v>
      </c>
      <c r="J262" s="16">
        <v>9444</v>
      </c>
      <c r="K262" s="101">
        <v>13857</v>
      </c>
      <c r="L262" s="16">
        <v>14821</v>
      </c>
      <c r="M262" s="16">
        <v>32378</v>
      </c>
      <c r="N262" s="16">
        <v>28143</v>
      </c>
      <c r="O262" s="16">
        <v>10166</v>
      </c>
      <c r="Q262" s="68" t="s">
        <v>444</v>
      </c>
      <c r="R262" s="225">
        <f>K265</f>
        <v>5.4880077308155376E-2</v>
      </c>
      <c r="S262" s="225">
        <f>L265</f>
        <v>5.8762424718201249E-2</v>
      </c>
      <c r="T262" s="225">
        <f>L269</f>
        <v>6.9567727502345411E-2</v>
      </c>
    </row>
    <row r="263" spans="2:24" s="61" customFormat="1" x14ac:dyDescent="0.45">
      <c r="B263" s="281"/>
      <c r="C263" s="72" t="s">
        <v>445</v>
      </c>
      <c r="D263" s="16">
        <v>6000</v>
      </c>
      <c r="E263" s="16">
        <v>8000</v>
      </c>
      <c r="F263" s="16">
        <v>10000</v>
      </c>
      <c r="G263" s="16">
        <v>9782</v>
      </c>
      <c r="H263" s="70"/>
      <c r="I263" s="16">
        <v>9918</v>
      </c>
      <c r="J263" s="16">
        <v>5433</v>
      </c>
      <c r="K263" s="101">
        <f>20934-K262</f>
        <v>7077</v>
      </c>
      <c r="L263" s="16">
        <v>7315</v>
      </c>
      <c r="M263" s="16">
        <v>8541</v>
      </c>
      <c r="N263" s="16">
        <v>9371</v>
      </c>
      <c r="O263" s="16">
        <v>6513</v>
      </c>
      <c r="Q263" s="72" t="s">
        <v>445</v>
      </c>
      <c r="R263" s="225">
        <f>K266</f>
        <v>2.8028166782840123E-2</v>
      </c>
      <c r="S263" s="225">
        <f>L266</f>
        <v>2.900257316062628E-2</v>
      </c>
      <c r="T263" s="225">
        <f>L270</f>
        <v>3.3630069238377747E-2</v>
      </c>
    </row>
    <row r="264" spans="2:24" s="61" customFormat="1" x14ac:dyDescent="0.45">
      <c r="B264" s="283"/>
      <c r="C264" s="105" t="s">
        <v>446</v>
      </c>
      <c r="D264" s="16">
        <v>411</v>
      </c>
      <c r="E264" s="16">
        <v>362</v>
      </c>
      <c r="F264" s="16">
        <v>496</v>
      </c>
      <c r="G264" s="16">
        <v>422</v>
      </c>
      <c r="H264" s="70"/>
      <c r="I264" s="16">
        <v>1206</v>
      </c>
      <c r="J264" s="16">
        <v>259</v>
      </c>
      <c r="K264" s="101">
        <v>404</v>
      </c>
      <c r="L264" s="16">
        <v>398</v>
      </c>
      <c r="M264" s="16">
        <v>720</v>
      </c>
      <c r="N264" s="16">
        <v>1504</v>
      </c>
      <c r="O264" s="16">
        <v>377</v>
      </c>
      <c r="Q264" s="222"/>
      <c r="R264" s="212"/>
      <c r="S264" s="212"/>
      <c r="T264" s="213"/>
    </row>
    <row r="265" spans="2:24" s="61" customFormat="1" x14ac:dyDescent="0.45">
      <c r="B265" s="277" t="s">
        <v>33</v>
      </c>
      <c r="C265" s="68" t="s">
        <v>444</v>
      </c>
      <c r="D265" s="17">
        <f t="shared" ref="D265:O265" si="62">IFERROR(D262/D$261,"-")</f>
        <v>3.0862857375469829E-2</v>
      </c>
      <c r="E265" s="24">
        <f t="shared" si="62"/>
        <v>3.9885147301340296E-2</v>
      </c>
      <c r="F265" s="17">
        <f t="shared" si="62"/>
        <v>8.7066798432339207E-2</v>
      </c>
      <c r="G265" s="17">
        <f t="shared" si="62"/>
        <v>4.9230708614881505E-2</v>
      </c>
      <c r="H265" s="17" t="str">
        <f t="shared" si="62"/>
        <v>-</v>
      </c>
      <c r="I265" s="17">
        <f t="shared" si="62"/>
        <v>0.11354139231002072</v>
      </c>
      <c r="J265" s="17">
        <f t="shared" si="62"/>
        <v>3.7104118620028527E-2</v>
      </c>
      <c r="K265" s="17">
        <f t="shared" si="62"/>
        <v>5.4880077308155376E-2</v>
      </c>
      <c r="L265" s="17">
        <f t="shared" si="62"/>
        <v>5.8762424718201249E-2</v>
      </c>
      <c r="M265" s="17">
        <f t="shared" si="62"/>
        <v>0.13163607978338471</v>
      </c>
      <c r="N265" s="17">
        <f t="shared" si="62"/>
        <v>0.11689816737833751</v>
      </c>
      <c r="O265" s="17">
        <f t="shared" si="62"/>
        <v>4.4082892836855139E-2</v>
      </c>
    </row>
    <row r="266" spans="2:24" s="61" customFormat="1" x14ac:dyDescent="0.45">
      <c r="B266" s="281"/>
      <c r="C266" s="72" t="s">
        <v>445</v>
      </c>
      <c r="D266" s="17">
        <f t="shared" ref="D266:O266" si="63">IFERROR(D263/D$261,"-")</f>
        <v>2.0353610051969551E-2</v>
      </c>
      <c r="E266" s="24">
        <f t="shared" si="63"/>
        <v>2.7542613587459849E-2</v>
      </c>
      <c r="F266" s="17">
        <f t="shared" si="63"/>
        <v>3.7575762130395408E-2</v>
      </c>
      <c r="G266" s="17">
        <f t="shared" si="63"/>
        <v>3.854139989361912E-2</v>
      </c>
      <c r="H266" s="17" t="str">
        <f t="shared" si="63"/>
        <v>-</v>
      </c>
      <c r="I266" s="17">
        <f t="shared" si="63"/>
        <v>3.8988454417158376E-2</v>
      </c>
      <c r="J266" s="17">
        <f t="shared" si="63"/>
        <v>2.134547611844716E-2</v>
      </c>
      <c r="K266" s="17">
        <f t="shared" si="63"/>
        <v>2.8028166782840123E-2</v>
      </c>
      <c r="L266" s="17">
        <f t="shared" si="63"/>
        <v>2.900257316062628E-2</v>
      </c>
      <c r="M266" s="17">
        <f t="shared" si="63"/>
        <v>3.4724311490205967E-2</v>
      </c>
      <c r="N266" s="17">
        <f t="shared" si="63"/>
        <v>3.892451858374732E-2</v>
      </c>
      <c r="O266" s="17">
        <f t="shared" si="63"/>
        <v>2.8242364848164225E-2</v>
      </c>
    </row>
    <row r="267" spans="2:24" s="61" customFormat="1" x14ac:dyDescent="0.45">
      <c r="B267" s="283"/>
      <c r="C267" s="105" t="s">
        <v>446</v>
      </c>
      <c r="D267" s="17">
        <f t="shared" ref="D267:O267" si="64">IFERROR(D264/D$261,"-")</f>
        <v>1.3942222885599143E-3</v>
      </c>
      <c r="E267" s="17">
        <f t="shared" si="64"/>
        <v>1.246303264832558E-3</v>
      </c>
      <c r="F267" s="17">
        <f t="shared" si="64"/>
        <v>1.8637578016676122E-3</v>
      </c>
      <c r="G267" s="17">
        <f t="shared" si="64"/>
        <v>1.6626938003585429E-3</v>
      </c>
      <c r="H267" s="17" t="str">
        <f t="shared" si="64"/>
        <v>-</v>
      </c>
      <c r="I267" s="17">
        <f t="shared" si="64"/>
        <v>4.7408828420138138E-3</v>
      </c>
      <c r="J267" s="17">
        <f t="shared" si="64"/>
        <v>1.0175737740986221E-3</v>
      </c>
      <c r="K267" s="17">
        <f t="shared" si="64"/>
        <v>1.6000253469361891E-3</v>
      </c>
      <c r="L267" s="17">
        <f t="shared" si="64"/>
        <v>1.577993727673173E-3</v>
      </c>
      <c r="M267" s="17">
        <f t="shared" si="64"/>
        <v>2.9272338453282163E-3</v>
      </c>
      <c r="N267" s="17">
        <f t="shared" si="64"/>
        <v>6.24719623839035E-3</v>
      </c>
      <c r="O267" s="17">
        <f t="shared" si="64"/>
        <v>1.6347875860214822E-3</v>
      </c>
    </row>
    <row r="268" spans="2:24" s="61" customFormat="1" x14ac:dyDescent="0.45">
      <c r="B268" s="277" t="s">
        <v>232</v>
      </c>
      <c r="C268" s="185" t="s">
        <v>43</v>
      </c>
      <c r="D268" s="17" t="str">
        <f t="shared" ref="D268:O268" si="65">IFERROR(D261/C261-1,"-")</f>
        <v>-</v>
      </c>
      <c r="E268" s="17">
        <f t="shared" si="65"/>
        <v>-1.4685129652496021E-2</v>
      </c>
      <c r="F268" s="17">
        <f t="shared" si="65"/>
        <v>-8.3763973572862249E-2</v>
      </c>
      <c r="G268" s="17">
        <f t="shared" si="65"/>
        <v>-4.6308369249499326E-2</v>
      </c>
      <c r="H268" s="17">
        <f t="shared" si="65"/>
        <v>-1</v>
      </c>
      <c r="I268" s="17" t="str">
        <f t="shared" si="65"/>
        <v>-</v>
      </c>
      <c r="J268" s="17">
        <f t="shared" si="65"/>
        <v>5.6607556322552099E-4</v>
      </c>
      <c r="K268" s="17">
        <f t="shared" si="65"/>
        <v>-7.9795070856922834E-3</v>
      </c>
      <c r="L268" s="17">
        <f t="shared" si="65"/>
        <v>-1.0970470819339218E-3</v>
      </c>
      <c r="M268" s="17">
        <f t="shared" si="65"/>
        <v>-2.4791946681257171E-2</v>
      </c>
      <c r="N268" s="17">
        <f t="shared" si="65"/>
        <v>-2.1214314173503612E-2</v>
      </c>
      <c r="O268" s="17">
        <f t="shared" si="65"/>
        <v>-4.2106268795587098E-2</v>
      </c>
    </row>
    <row r="269" spans="2:24" s="61" customFormat="1" x14ac:dyDescent="0.45">
      <c r="B269" s="281"/>
      <c r="C269" s="68" t="s">
        <v>444</v>
      </c>
      <c r="D269" s="17" t="str">
        <f t="shared" ref="D269:I271" si="66">IFERROR(D262/C262-1,"-")</f>
        <v>-</v>
      </c>
      <c r="E269" s="17">
        <f t="shared" si="66"/>
        <v>0.27335678171026601</v>
      </c>
      <c r="F269" s="17">
        <f t="shared" si="66"/>
        <v>1.0000863185153217</v>
      </c>
      <c r="G269" s="17">
        <f t="shared" si="66"/>
        <v>-0.46074834922964047</v>
      </c>
      <c r="H269" s="17">
        <f t="shared" si="66"/>
        <v>-1</v>
      </c>
      <c r="I269" s="17" t="str">
        <f t="shared" si="66"/>
        <v>-</v>
      </c>
      <c r="J269" s="17">
        <f>IFERROR(J262/G262-1,"-")</f>
        <v>-0.24417767106842736</v>
      </c>
      <c r="K269" s="17">
        <f t="shared" ref="K269:O271" si="67">IFERROR(K262/J262-1,"-")</f>
        <v>0.46728081321473947</v>
      </c>
      <c r="L269" s="17">
        <f t="shared" si="67"/>
        <v>6.9567727502345411E-2</v>
      </c>
      <c r="M269" s="17">
        <f t="shared" si="67"/>
        <v>1.1846029282774442</v>
      </c>
      <c r="N269" s="17">
        <f t="shared" si="67"/>
        <v>-0.13079869046883685</v>
      </c>
      <c r="O269" s="17">
        <f t="shared" si="67"/>
        <v>-0.6387734072415876</v>
      </c>
    </row>
    <row r="270" spans="2:24" s="61" customFormat="1" x14ac:dyDescent="0.45">
      <c r="B270" s="281"/>
      <c r="C270" s="72" t="s">
        <v>445</v>
      </c>
      <c r="D270" s="17" t="str">
        <f t="shared" si="66"/>
        <v>-</v>
      </c>
      <c r="E270" s="17">
        <f t="shared" si="66"/>
        <v>0.33333333333333326</v>
      </c>
      <c r="F270" s="17">
        <f t="shared" si="66"/>
        <v>0.25</v>
      </c>
      <c r="G270" s="17">
        <f t="shared" si="66"/>
        <v>-2.1800000000000042E-2</v>
      </c>
      <c r="H270" s="17">
        <f t="shared" si="66"/>
        <v>-1</v>
      </c>
      <c r="I270" s="17" t="str">
        <f t="shared" si="66"/>
        <v>-</v>
      </c>
      <c r="J270" s="17">
        <f>IFERROR(J263/G263-1,"-")</f>
        <v>-0.44459210795338377</v>
      </c>
      <c r="K270" s="17">
        <f t="shared" si="67"/>
        <v>0.30259525124240749</v>
      </c>
      <c r="L270" s="17">
        <f t="shared" si="67"/>
        <v>3.3630069238377747E-2</v>
      </c>
      <c r="M270" s="17">
        <f t="shared" si="67"/>
        <v>0.16760082023239908</v>
      </c>
      <c r="N270" s="17">
        <f t="shared" si="67"/>
        <v>9.717831635639862E-2</v>
      </c>
      <c r="O270" s="17">
        <f t="shared" si="67"/>
        <v>-0.3049834596094334</v>
      </c>
    </row>
    <row r="271" spans="2:24" s="61" customFormat="1" ht="16.25" customHeight="1" x14ac:dyDescent="0.45">
      <c r="B271" s="283"/>
      <c r="C271" s="105" t="s">
        <v>446</v>
      </c>
      <c r="D271" s="17" t="str">
        <f t="shared" si="66"/>
        <v>-</v>
      </c>
      <c r="E271" s="17">
        <f t="shared" si="66"/>
        <v>-0.11922141119221408</v>
      </c>
      <c r="F271" s="17">
        <f t="shared" si="66"/>
        <v>0.37016574585635365</v>
      </c>
      <c r="G271" s="17">
        <f t="shared" si="66"/>
        <v>-0.14919354838709675</v>
      </c>
      <c r="H271" s="17">
        <f t="shared" si="66"/>
        <v>-1</v>
      </c>
      <c r="I271" s="17" t="str">
        <f t="shared" si="66"/>
        <v>-</v>
      </c>
      <c r="J271" s="17">
        <f>IFERROR(J264/G264-1,"-")</f>
        <v>-0.38625592417061616</v>
      </c>
      <c r="K271" s="17">
        <f t="shared" si="67"/>
        <v>0.55984555984555984</v>
      </c>
      <c r="L271" s="17">
        <f t="shared" si="67"/>
        <v>-1.4851485148514865E-2</v>
      </c>
      <c r="M271" s="17">
        <f t="shared" si="67"/>
        <v>0.80904522613065333</v>
      </c>
      <c r="N271" s="17">
        <f t="shared" si="67"/>
        <v>1.088888888888889</v>
      </c>
      <c r="O271" s="17">
        <f t="shared" si="67"/>
        <v>-0.74933510638297873</v>
      </c>
      <c r="Q271" s="186"/>
      <c r="R271" s="20"/>
      <c r="S271" s="20"/>
      <c r="T271" s="20"/>
      <c r="U271" s="20"/>
    </row>
    <row r="272" spans="2:24" s="61" customFormat="1" x14ac:dyDescent="0.45">
      <c r="R272" s="187"/>
      <c r="S272" s="188"/>
      <c r="T272" s="130"/>
      <c r="U272" s="20"/>
    </row>
    <row r="273" spans="2:21" s="61" customFormat="1" ht="16.25" customHeight="1" x14ac:dyDescent="0.45">
      <c r="B273" s="276" t="s">
        <v>447</v>
      </c>
      <c r="C273" s="274"/>
      <c r="D273" s="30">
        <v>2023.01</v>
      </c>
      <c r="E273" s="30">
        <v>2023.02</v>
      </c>
      <c r="F273" s="30">
        <v>2023.03</v>
      </c>
      <c r="G273" s="30">
        <v>2023.04</v>
      </c>
      <c r="H273" s="30">
        <v>2023.05</v>
      </c>
      <c r="I273" s="30">
        <v>2023.06</v>
      </c>
      <c r="J273" s="30">
        <v>2023.07</v>
      </c>
      <c r="K273" s="30">
        <v>2023.08</v>
      </c>
      <c r="L273" s="30">
        <v>2023.09</v>
      </c>
      <c r="M273" s="30">
        <v>2023.1</v>
      </c>
      <c r="N273" s="30">
        <v>2023.11</v>
      </c>
      <c r="O273" s="30">
        <v>2023.12</v>
      </c>
      <c r="R273" s="187"/>
      <c r="S273" s="20"/>
      <c r="T273" s="130"/>
      <c r="U273" s="20"/>
    </row>
    <row r="274" spans="2:21" s="61" customFormat="1" x14ac:dyDescent="0.45">
      <c r="B274" s="277" t="s">
        <v>16</v>
      </c>
      <c r="C274" s="185" t="s">
        <v>43</v>
      </c>
      <c r="D274" s="16">
        <v>1300000</v>
      </c>
      <c r="E274" s="16">
        <v>1300000</v>
      </c>
      <c r="F274" s="16">
        <v>1300000</v>
      </c>
      <c r="G274" s="16">
        <v>1247271</v>
      </c>
      <c r="H274" s="70"/>
      <c r="I274" s="16">
        <v>1300000</v>
      </c>
      <c r="J274" s="16">
        <v>1300000</v>
      </c>
      <c r="K274" s="101">
        <v>1300000</v>
      </c>
      <c r="L274" s="16">
        <v>1400000</v>
      </c>
      <c r="M274" s="16">
        <v>1400000</v>
      </c>
      <c r="N274" s="16">
        <v>1400000</v>
      </c>
      <c r="O274" s="16">
        <v>1300000</v>
      </c>
      <c r="R274" s="20"/>
      <c r="S274" s="20"/>
      <c r="T274" s="130"/>
      <c r="U274" s="20"/>
    </row>
    <row r="275" spans="2:21" s="61" customFormat="1" x14ac:dyDescent="0.45">
      <c r="B275" s="281"/>
      <c r="C275" s="72" t="s">
        <v>236</v>
      </c>
      <c r="D275" s="16">
        <v>50000</v>
      </c>
      <c r="E275" s="16">
        <v>70000</v>
      </c>
      <c r="F275" s="16">
        <v>100000</v>
      </c>
      <c r="G275" s="16">
        <v>85026</v>
      </c>
      <c r="H275" s="70"/>
      <c r="I275" s="16">
        <v>120000</v>
      </c>
      <c r="J275" s="16">
        <v>60000</v>
      </c>
      <c r="K275" s="101">
        <v>90000</v>
      </c>
      <c r="L275" s="16">
        <v>80000</v>
      </c>
      <c r="M275" s="16">
        <v>130000</v>
      </c>
      <c r="N275" s="16">
        <v>120000</v>
      </c>
      <c r="O275" s="16">
        <v>70000</v>
      </c>
      <c r="R275" s="187"/>
      <c r="S275" s="188"/>
      <c r="T275" s="130"/>
      <c r="U275" s="20"/>
    </row>
    <row r="276" spans="2:21" s="61" customFormat="1" x14ac:dyDescent="0.45">
      <c r="B276" s="283"/>
      <c r="C276" s="105" t="s">
        <v>448</v>
      </c>
      <c r="D276" s="16">
        <v>2000</v>
      </c>
      <c r="E276" s="16">
        <v>2000</v>
      </c>
      <c r="F276" s="16">
        <v>3000</v>
      </c>
      <c r="G276" s="16">
        <v>2000</v>
      </c>
      <c r="H276" s="70"/>
      <c r="I276" s="16">
        <v>5000</v>
      </c>
      <c r="J276" s="16">
        <v>2000</v>
      </c>
      <c r="K276" s="101">
        <v>3000</v>
      </c>
      <c r="L276" s="16">
        <v>3000</v>
      </c>
      <c r="M276" s="16">
        <v>6000</v>
      </c>
      <c r="N276" s="16">
        <v>5000</v>
      </c>
      <c r="O276" s="16">
        <v>3000</v>
      </c>
      <c r="R276" s="187"/>
      <c r="S276" s="20"/>
      <c r="T276" s="130"/>
      <c r="U276" s="20"/>
    </row>
    <row r="277" spans="2:21" s="61" customFormat="1" x14ac:dyDescent="0.45">
      <c r="B277" s="277" t="s">
        <v>33</v>
      </c>
      <c r="C277" s="72" t="s">
        <v>236</v>
      </c>
      <c r="D277" s="17">
        <f t="shared" ref="D277:O277" si="68">IFERROR(D275/D$274,"-")</f>
        <v>3.8461538461538464E-2</v>
      </c>
      <c r="E277" s="17">
        <f t="shared" si="68"/>
        <v>5.3846153846153849E-2</v>
      </c>
      <c r="F277" s="17">
        <f t="shared" si="68"/>
        <v>7.6923076923076927E-2</v>
      </c>
      <c r="G277" s="17">
        <f t="shared" si="68"/>
        <v>6.8169627931700491E-2</v>
      </c>
      <c r="H277" s="17" t="str">
        <f t="shared" si="68"/>
        <v>-</v>
      </c>
      <c r="I277" s="17">
        <f t="shared" si="68"/>
        <v>9.2307692307692313E-2</v>
      </c>
      <c r="J277" s="17">
        <f t="shared" si="68"/>
        <v>4.6153846153846156E-2</v>
      </c>
      <c r="K277" s="17">
        <f t="shared" si="68"/>
        <v>6.9230769230769235E-2</v>
      </c>
      <c r="L277" s="17">
        <f t="shared" si="68"/>
        <v>5.7142857142857141E-2</v>
      </c>
      <c r="M277" s="17">
        <f t="shared" si="68"/>
        <v>9.285714285714286E-2</v>
      </c>
      <c r="N277" s="17">
        <f t="shared" si="68"/>
        <v>8.5714285714285715E-2</v>
      </c>
      <c r="O277" s="17">
        <f t="shared" si="68"/>
        <v>5.3846153846153849E-2</v>
      </c>
      <c r="R277" s="20"/>
      <c r="S277" s="20"/>
      <c r="T277" s="130"/>
      <c r="U277" s="20"/>
    </row>
    <row r="278" spans="2:21" s="61" customFormat="1" x14ac:dyDescent="0.45">
      <c r="B278" s="283"/>
      <c r="C278" s="105" t="s">
        <v>448</v>
      </c>
      <c r="D278" s="17">
        <f t="shared" ref="D278:O278" si="69">IFERROR(D276/D$274,"-")</f>
        <v>1.5384615384615385E-3</v>
      </c>
      <c r="E278" s="17">
        <f t="shared" si="69"/>
        <v>1.5384615384615385E-3</v>
      </c>
      <c r="F278" s="17">
        <f t="shared" si="69"/>
        <v>2.3076923076923079E-3</v>
      </c>
      <c r="G278" s="17">
        <f t="shared" si="69"/>
        <v>1.6035007628654879E-3</v>
      </c>
      <c r="H278" s="17" t="str">
        <f t="shared" si="69"/>
        <v>-</v>
      </c>
      <c r="I278" s="17">
        <f t="shared" si="69"/>
        <v>3.8461538461538464E-3</v>
      </c>
      <c r="J278" s="17">
        <f t="shared" si="69"/>
        <v>1.5384615384615385E-3</v>
      </c>
      <c r="K278" s="17">
        <f t="shared" si="69"/>
        <v>2.3076923076923079E-3</v>
      </c>
      <c r="L278" s="17">
        <f t="shared" si="69"/>
        <v>2.142857142857143E-3</v>
      </c>
      <c r="M278" s="17">
        <f t="shared" si="69"/>
        <v>4.2857142857142859E-3</v>
      </c>
      <c r="N278" s="17">
        <f t="shared" si="69"/>
        <v>3.5714285714285713E-3</v>
      </c>
      <c r="O278" s="17">
        <f t="shared" si="69"/>
        <v>2.3076923076923079E-3</v>
      </c>
      <c r="R278" s="187"/>
      <c r="S278" s="188"/>
      <c r="T278" s="130"/>
      <c r="U278" s="20"/>
    </row>
    <row r="279" spans="2:21" s="61" customFormat="1" x14ac:dyDescent="0.45">
      <c r="B279" s="277" t="s">
        <v>232</v>
      </c>
      <c r="C279" s="185" t="s">
        <v>43</v>
      </c>
      <c r="D279" s="17" t="str">
        <f t="shared" ref="D279:O279" si="70">IFERROR(D274/C274-1,"-")</f>
        <v>-</v>
      </c>
      <c r="E279" s="17">
        <f t="shared" si="70"/>
        <v>0</v>
      </c>
      <c r="F279" s="17">
        <f t="shared" si="70"/>
        <v>0</v>
      </c>
      <c r="G279" s="17">
        <f t="shared" si="70"/>
        <v>-4.0560769230769234E-2</v>
      </c>
      <c r="H279" s="17">
        <f t="shared" si="70"/>
        <v>-1</v>
      </c>
      <c r="I279" s="17" t="str">
        <f t="shared" si="70"/>
        <v>-</v>
      </c>
      <c r="J279" s="17">
        <f t="shared" si="70"/>
        <v>0</v>
      </c>
      <c r="K279" s="17">
        <f t="shared" si="70"/>
        <v>0</v>
      </c>
      <c r="L279" s="17">
        <f t="shared" si="70"/>
        <v>7.6923076923076872E-2</v>
      </c>
      <c r="M279" s="17">
        <f t="shared" si="70"/>
        <v>0</v>
      </c>
      <c r="N279" s="17">
        <f t="shared" si="70"/>
        <v>0</v>
      </c>
      <c r="O279" s="17">
        <f t="shared" si="70"/>
        <v>-7.1428571428571397E-2</v>
      </c>
      <c r="R279" s="187"/>
    </row>
    <row r="280" spans="2:21" x14ac:dyDescent="0.45">
      <c r="B280" s="281"/>
      <c r="C280" s="72" t="s">
        <v>236</v>
      </c>
      <c r="D280" s="17" t="str">
        <f t="shared" ref="D280:O280" si="71">IFERROR(D275/C275-1,"-")</f>
        <v>-</v>
      </c>
      <c r="E280" s="17">
        <f t="shared" si="71"/>
        <v>0.39999999999999991</v>
      </c>
      <c r="F280" s="17">
        <f t="shared" si="71"/>
        <v>0.4285714285714286</v>
      </c>
      <c r="G280" s="17">
        <f t="shared" si="71"/>
        <v>-0.14973999999999998</v>
      </c>
      <c r="H280" s="17">
        <f t="shared" si="71"/>
        <v>-1</v>
      </c>
      <c r="I280" s="17" t="str">
        <f t="shared" si="71"/>
        <v>-</v>
      </c>
      <c r="J280" s="17">
        <f t="shared" si="71"/>
        <v>-0.5</v>
      </c>
      <c r="K280" s="17">
        <f t="shared" si="71"/>
        <v>0.5</v>
      </c>
      <c r="L280" s="17">
        <f t="shared" si="71"/>
        <v>-0.11111111111111116</v>
      </c>
      <c r="M280" s="17">
        <f t="shared" si="71"/>
        <v>0.625</v>
      </c>
      <c r="N280" s="17">
        <f t="shared" si="71"/>
        <v>-7.6923076923076872E-2</v>
      </c>
      <c r="O280" s="17">
        <f t="shared" si="71"/>
        <v>-0.41666666666666663</v>
      </c>
    </row>
    <row r="281" spans="2:21" x14ac:dyDescent="0.45">
      <c r="B281" s="283"/>
      <c r="C281" s="105" t="s">
        <v>448</v>
      </c>
      <c r="D281" s="17" t="str">
        <f t="shared" ref="D281:O281" si="72">IFERROR(D276/C276-1,"-")</f>
        <v>-</v>
      </c>
      <c r="E281" s="17">
        <f t="shared" si="72"/>
        <v>0</v>
      </c>
      <c r="F281" s="17">
        <f t="shared" si="72"/>
        <v>0.5</v>
      </c>
      <c r="G281" s="17">
        <f t="shared" si="72"/>
        <v>-0.33333333333333337</v>
      </c>
      <c r="H281" s="17">
        <f t="shared" si="72"/>
        <v>-1</v>
      </c>
      <c r="I281" s="17" t="str">
        <f t="shared" si="72"/>
        <v>-</v>
      </c>
      <c r="J281" s="17">
        <f t="shared" si="72"/>
        <v>-0.6</v>
      </c>
      <c r="K281" s="17">
        <f t="shared" si="72"/>
        <v>0.5</v>
      </c>
      <c r="L281" s="17">
        <f t="shared" si="72"/>
        <v>0</v>
      </c>
      <c r="M281" s="17">
        <f t="shared" si="72"/>
        <v>1</v>
      </c>
      <c r="N281" s="17">
        <f t="shared" si="72"/>
        <v>-0.16666666666666663</v>
      </c>
      <c r="O281" s="17">
        <f t="shared" si="72"/>
        <v>-0.4</v>
      </c>
    </row>
    <row r="283" spans="2:21" s="49" customFormat="1" ht="16.25" customHeight="1" x14ac:dyDescent="0.25">
      <c r="B283" s="289" t="s">
        <v>449</v>
      </c>
      <c r="C283" s="290"/>
      <c r="D283" s="290"/>
      <c r="E283" s="168"/>
      <c r="F283" s="168"/>
      <c r="M283" s="50"/>
      <c r="N283" s="50"/>
      <c r="O283" s="50"/>
    </row>
    <row r="284" spans="2:21" s="61" customFormat="1" x14ac:dyDescent="0.45"/>
    <row r="285" spans="2:21" ht="16.25" customHeight="1" x14ac:dyDescent="0.25">
      <c r="C285" s="272" t="s">
        <v>450</v>
      </c>
      <c r="D285" s="273"/>
      <c r="E285" s="273"/>
      <c r="F285" s="274"/>
    </row>
    <row r="286" spans="2:21" ht="16.25" customHeight="1" x14ac:dyDescent="0.25">
      <c r="C286" s="10" t="s">
        <v>138</v>
      </c>
      <c r="D286" s="108" t="s">
        <v>10895</v>
      </c>
      <c r="E286" s="246" t="s">
        <v>10814</v>
      </c>
      <c r="F286" s="10" t="s">
        <v>251</v>
      </c>
      <c r="G286" s="4"/>
      <c r="H286" s="245"/>
      <c r="I286" s="245" t="s">
        <v>277</v>
      </c>
      <c r="J286" s="4"/>
      <c r="K286" s="4"/>
      <c r="L286" s="4"/>
      <c r="M286" s="4"/>
      <c r="N286" s="4"/>
      <c r="O286" s="4"/>
    </row>
    <row r="287" spans="2:21" x14ac:dyDescent="0.25">
      <c r="C287" s="16" t="s">
        <v>10807</v>
      </c>
      <c r="D287" s="37">
        <f t="shared" ref="D287:D295" si="73">IFERROR(VLOOKUP(C287,$H$287:$I$297,2,0),"-")</f>
        <v>0.223</v>
      </c>
      <c r="E287" s="111">
        <v>0.2</v>
      </c>
      <c r="F287" s="17">
        <f t="shared" ref="F287:F295" si="74">IFERROR(E287-D287,"-")</f>
        <v>-2.2999999999999993E-2</v>
      </c>
      <c r="G287" s="4"/>
      <c r="H287" s="16" t="s">
        <v>262</v>
      </c>
      <c r="I287" s="111">
        <v>0.27260000000000001</v>
      </c>
      <c r="J287" s="4"/>
      <c r="K287" s="4"/>
      <c r="L287" s="4"/>
      <c r="M287" s="4"/>
      <c r="N287" s="4"/>
      <c r="O287" s="4"/>
    </row>
    <row r="288" spans="2:21" x14ac:dyDescent="0.25">
      <c r="C288" s="16" t="s">
        <v>262</v>
      </c>
      <c r="D288" s="37">
        <f t="shared" si="73"/>
        <v>0.27260000000000001</v>
      </c>
      <c r="E288" s="111">
        <v>0.1487</v>
      </c>
      <c r="F288" s="17">
        <f t="shared" si="74"/>
        <v>-0.12390000000000001</v>
      </c>
      <c r="G288" s="4"/>
      <c r="H288" s="16" t="s">
        <v>10807</v>
      </c>
      <c r="I288" s="111">
        <v>0.223</v>
      </c>
      <c r="J288" s="4"/>
      <c r="K288" s="4"/>
      <c r="L288" s="4"/>
      <c r="M288" s="4"/>
      <c r="N288" s="4"/>
      <c r="O288" s="4"/>
    </row>
    <row r="289" spans="2:18" x14ac:dyDescent="0.25">
      <c r="C289" s="16" t="s">
        <v>10892</v>
      </c>
      <c r="D289" s="37">
        <f t="shared" si="73"/>
        <v>7.9100000000000004E-2</v>
      </c>
      <c r="E289" s="111">
        <v>0.1216</v>
      </c>
      <c r="F289" s="17">
        <f t="shared" si="74"/>
        <v>4.2499999999999996E-2</v>
      </c>
      <c r="G289" s="4"/>
      <c r="H289" s="16" t="s">
        <v>268</v>
      </c>
      <c r="I289" s="111">
        <v>8.4900000000000003E-2</v>
      </c>
      <c r="J289" s="4"/>
      <c r="K289" s="4"/>
      <c r="L289" s="4"/>
      <c r="M289" s="4"/>
      <c r="N289" s="4"/>
      <c r="O289" s="4"/>
    </row>
    <row r="290" spans="2:18" x14ac:dyDescent="0.25">
      <c r="C290" s="16" t="s">
        <v>264</v>
      </c>
      <c r="D290" s="37">
        <f t="shared" si="73"/>
        <v>7.4999999999999997E-2</v>
      </c>
      <c r="E290" s="121">
        <v>9.9699999999999997E-2</v>
      </c>
      <c r="F290" s="17">
        <f t="shared" si="74"/>
        <v>2.47E-2</v>
      </c>
      <c r="G290" s="4"/>
      <c r="H290" s="16" t="s">
        <v>10892</v>
      </c>
      <c r="I290" s="121">
        <v>7.9100000000000004E-2</v>
      </c>
      <c r="J290" s="4"/>
      <c r="K290" s="4"/>
      <c r="L290" s="4"/>
      <c r="M290" s="4"/>
      <c r="N290" s="4"/>
      <c r="O290" s="4"/>
    </row>
    <row r="291" spans="2:18" x14ac:dyDescent="0.25">
      <c r="C291" s="16" t="s">
        <v>268</v>
      </c>
      <c r="D291" s="37">
        <f t="shared" si="73"/>
        <v>8.4900000000000003E-2</v>
      </c>
      <c r="E291" s="111">
        <v>7.6999999999999999E-2</v>
      </c>
      <c r="F291" s="17">
        <f t="shared" si="74"/>
        <v>-7.9000000000000042E-3</v>
      </c>
      <c r="G291" s="4"/>
      <c r="H291" s="16" t="s">
        <v>264</v>
      </c>
      <c r="I291" s="111">
        <v>7.4999999999999997E-2</v>
      </c>
      <c r="J291" s="4"/>
      <c r="K291" s="4"/>
      <c r="L291" s="4"/>
      <c r="M291" s="4"/>
      <c r="N291" s="4"/>
      <c r="O291" s="4"/>
    </row>
    <row r="292" spans="2:18" x14ac:dyDescent="0.25">
      <c r="C292" s="16" t="s">
        <v>266</v>
      </c>
      <c r="D292" s="37">
        <f t="shared" si="73"/>
        <v>7.3200000000000001E-2</v>
      </c>
      <c r="E292" s="111">
        <v>6.3E-2</v>
      </c>
      <c r="F292" s="17">
        <f t="shared" si="74"/>
        <v>-1.0200000000000001E-2</v>
      </c>
      <c r="G292" s="4"/>
      <c r="H292" s="16" t="s">
        <v>266</v>
      </c>
      <c r="I292" s="111">
        <v>7.3200000000000001E-2</v>
      </c>
      <c r="J292" s="4"/>
      <c r="K292" s="4"/>
      <c r="L292" s="4"/>
      <c r="M292" s="4"/>
      <c r="N292" s="4"/>
      <c r="O292" s="4"/>
    </row>
    <row r="293" spans="2:18" x14ac:dyDescent="0.25">
      <c r="C293" s="16" t="s">
        <v>272</v>
      </c>
      <c r="D293" s="37">
        <f t="shared" si="73"/>
        <v>2.69E-2</v>
      </c>
      <c r="E293" s="111">
        <v>5.5800000000000002E-2</v>
      </c>
      <c r="F293" s="17">
        <f t="shared" si="74"/>
        <v>2.8900000000000002E-2</v>
      </c>
      <c r="G293" s="4"/>
      <c r="H293" s="16" t="s">
        <v>270</v>
      </c>
      <c r="I293" s="111">
        <v>4.6699999999999998E-2</v>
      </c>
      <c r="J293" s="4"/>
      <c r="K293" s="4"/>
      <c r="L293" s="4"/>
      <c r="M293" s="4"/>
      <c r="N293" s="4"/>
      <c r="O293" s="4"/>
    </row>
    <row r="294" spans="2:18" x14ac:dyDescent="0.25">
      <c r="C294" s="16" t="s">
        <v>270</v>
      </c>
      <c r="D294" s="37">
        <f t="shared" si="73"/>
        <v>4.6699999999999998E-2</v>
      </c>
      <c r="E294" s="111">
        <v>4.53E-2</v>
      </c>
      <c r="F294" s="17">
        <f t="shared" si="74"/>
        <v>-1.3999999999999985E-3</v>
      </c>
      <c r="G294" s="4"/>
      <c r="H294" s="16" t="s">
        <v>272</v>
      </c>
      <c r="I294" s="111">
        <v>2.69E-2</v>
      </c>
      <c r="J294" s="4"/>
      <c r="K294" s="4"/>
      <c r="L294" s="4"/>
      <c r="M294" s="4"/>
      <c r="N294" s="4"/>
      <c r="O294" s="4"/>
    </row>
    <row r="295" spans="2:18" x14ac:dyDescent="0.25">
      <c r="C295" s="16" t="s">
        <v>10893</v>
      </c>
      <c r="D295" s="37">
        <f t="shared" si="73"/>
        <v>1.23E-2</v>
      </c>
      <c r="E295" s="111">
        <v>0.02</v>
      </c>
      <c r="F295" s="17">
        <f t="shared" si="74"/>
        <v>7.7000000000000002E-3</v>
      </c>
      <c r="G295" s="4"/>
      <c r="H295" s="16" t="s">
        <v>10894</v>
      </c>
      <c r="I295" s="111">
        <v>1.72E-2</v>
      </c>
      <c r="J295" s="4"/>
      <c r="K295" s="4"/>
      <c r="L295" s="4"/>
      <c r="M295" s="4"/>
      <c r="N295" s="4"/>
      <c r="O295" s="4"/>
    </row>
    <row r="296" spans="2:18" x14ac:dyDescent="0.25">
      <c r="C296" s="250" t="s">
        <v>10808</v>
      </c>
      <c r="E296" s="111">
        <v>1.89E-2</v>
      </c>
      <c r="G296" s="4"/>
      <c r="H296" s="250" t="s">
        <v>10808</v>
      </c>
      <c r="I296" s="111">
        <v>1.3599999999999999E-2</v>
      </c>
      <c r="J296" s="4"/>
      <c r="K296" s="4"/>
      <c r="L296" s="4"/>
      <c r="M296" s="4"/>
      <c r="N296" s="4"/>
      <c r="O296" s="4"/>
    </row>
    <row r="297" spans="2:18" x14ac:dyDescent="0.25">
      <c r="C297" s="16" t="s">
        <v>10894</v>
      </c>
      <c r="D297" s="37">
        <f>IFERROR(VLOOKUP(C297,$H$287:$I$297,2,0),"-")</f>
        <v>1.72E-2</v>
      </c>
      <c r="E297" s="226">
        <v>1.84E-2</v>
      </c>
      <c r="F297" s="17">
        <f>IFERROR(E297-D297,"-")</f>
        <v>1.1999999999999997E-3</v>
      </c>
      <c r="G297" s="4"/>
      <c r="H297" s="16" t="s">
        <v>10893</v>
      </c>
      <c r="I297" s="226">
        <v>1.23E-2</v>
      </c>
      <c r="J297" s="4"/>
      <c r="K297" s="4"/>
      <c r="L297" s="4"/>
      <c r="M297" s="4"/>
      <c r="N297" s="4"/>
      <c r="O297" s="4"/>
    </row>
    <row r="298" spans="2:18" x14ac:dyDescent="0.25">
      <c r="G298" s="20"/>
      <c r="H298" s="20"/>
    </row>
    <row r="299" spans="2:18" s="43" customFormat="1" ht="16.25" customHeight="1" x14ac:dyDescent="0.25">
      <c r="B299" s="296" t="s">
        <v>300</v>
      </c>
      <c r="C299" s="297"/>
      <c r="D299" s="297"/>
      <c r="E299" s="297"/>
      <c r="F299" s="297"/>
      <c r="M299" s="44"/>
      <c r="N299" s="44"/>
      <c r="O299" s="44"/>
    </row>
    <row r="301" spans="2:18" s="5" customFormat="1" ht="23.5" customHeight="1" x14ac:dyDescent="0.25">
      <c r="B301" s="270" t="s">
        <v>453</v>
      </c>
      <c r="C301" s="271"/>
      <c r="D301" s="271"/>
      <c r="E301" s="271"/>
      <c r="F301" s="271"/>
      <c r="N301" s="6"/>
      <c r="O301" s="6"/>
      <c r="P301" s="6"/>
    </row>
    <row r="303" spans="2:18" ht="16.25" customHeight="1" x14ac:dyDescent="0.25">
      <c r="B303" s="272" t="s">
        <v>10896</v>
      </c>
      <c r="C303" s="273"/>
      <c r="D303" s="273"/>
      <c r="E303" s="273"/>
      <c r="F303" s="274"/>
      <c r="H303" s="299" t="s">
        <v>10907</v>
      </c>
      <c r="I303" s="273"/>
      <c r="J303" s="273"/>
      <c r="K303" s="273"/>
      <c r="L303" s="274"/>
      <c r="N303" s="299" t="s">
        <v>10912</v>
      </c>
      <c r="O303" s="273"/>
      <c r="P303" s="273"/>
      <c r="Q303" s="273"/>
      <c r="R303" s="274"/>
    </row>
    <row r="304" spans="2:18" ht="16.25" customHeight="1" x14ac:dyDescent="0.25">
      <c r="B304" s="246" t="s">
        <v>137</v>
      </c>
      <c r="C304" s="246" t="s">
        <v>10897</v>
      </c>
      <c r="D304" s="246" t="s">
        <v>315</v>
      </c>
      <c r="E304" s="246" t="s">
        <v>316</v>
      </c>
      <c r="F304" s="246" t="s">
        <v>317</v>
      </c>
      <c r="H304" s="11" t="s">
        <v>137</v>
      </c>
      <c r="I304" s="11" t="s">
        <v>314</v>
      </c>
      <c r="J304" s="11" t="s">
        <v>318</v>
      </c>
      <c r="K304" s="11" t="s">
        <v>316</v>
      </c>
      <c r="L304" s="11" t="s">
        <v>317</v>
      </c>
      <c r="N304" s="11" t="s">
        <v>137</v>
      </c>
      <c r="O304" s="11" t="s">
        <v>314</v>
      </c>
      <c r="P304" s="11" t="s">
        <v>318</v>
      </c>
      <c r="Q304" s="11" t="s">
        <v>316</v>
      </c>
      <c r="R304" s="11" t="s">
        <v>317</v>
      </c>
    </row>
    <row r="305" spans="2:24" x14ac:dyDescent="0.25">
      <c r="B305" s="248">
        <v>1</v>
      </c>
      <c r="C305" s="141" t="s">
        <v>10898</v>
      </c>
      <c r="D305" s="37" t="s">
        <v>10826</v>
      </c>
      <c r="E305" s="37" t="s">
        <v>10826</v>
      </c>
      <c r="F305" s="23" t="str">
        <f t="shared" ref="F305:F314" si="75">IFERROR((D305+1)/(E305+1)-1,"-")</f>
        <v>-</v>
      </c>
      <c r="H305" s="142">
        <v>1</v>
      </c>
      <c r="I305" s="141" t="s">
        <v>457</v>
      </c>
      <c r="J305" s="23">
        <v>0.1651</v>
      </c>
      <c r="K305" s="23">
        <v>0.1764</v>
      </c>
      <c r="L305" s="23">
        <f t="shared" ref="L305:L314" si="76">IFERROR((J305+1)/(K305+1)-1,"-")</f>
        <v>-9.6055763345801459E-3</v>
      </c>
      <c r="N305" s="142">
        <v>1</v>
      </c>
      <c r="O305" s="141" t="s">
        <v>458</v>
      </c>
      <c r="P305" s="23" t="s">
        <v>132</v>
      </c>
      <c r="Q305" s="23" t="s">
        <v>132</v>
      </c>
      <c r="R305" s="23" t="str">
        <f t="shared" ref="R305:R314" si="77">IFERROR((P305+1)/(Q305+1)-1,"-")</f>
        <v>-</v>
      </c>
    </row>
    <row r="306" spans="2:24" x14ac:dyDescent="0.25">
      <c r="B306" s="248">
        <v>2</v>
      </c>
      <c r="C306" s="141" t="s">
        <v>10899</v>
      </c>
      <c r="D306" s="37" t="s">
        <v>10826</v>
      </c>
      <c r="E306" s="37" t="s">
        <v>10826</v>
      </c>
      <c r="F306" s="23" t="str">
        <f t="shared" si="75"/>
        <v>-</v>
      </c>
      <c r="H306" s="142">
        <v>2</v>
      </c>
      <c r="I306" s="141" t="s">
        <v>10908</v>
      </c>
      <c r="J306" s="23" t="s">
        <v>132</v>
      </c>
      <c r="K306" s="23" t="s">
        <v>132</v>
      </c>
      <c r="L306" s="23" t="str">
        <f t="shared" si="76"/>
        <v>-</v>
      </c>
      <c r="N306" s="142">
        <v>2</v>
      </c>
      <c r="O306" s="141" t="s">
        <v>455</v>
      </c>
      <c r="P306" s="23" t="s">
        <v>132</v>
      </c>
      <c r="Q306" s="23" t="s">
        <v>132</v>
      </c>
      <c r="R306" s="23" t="str">
        <f t="shared" si="77"/>
        <v>-</v>
      </c>
    </row>
    <row r="307" spans="2:24" x14ac:dyDescent="0.25">
      <c r="B307" s="248">
        <v>3</v>
      </c>
      <c r="C307" s="141" t="s">
        <v>10900</v>
      </c>
      <c r="D307" s="23" t="s">
        <v>10826</v>
      </c>
      <c r="E307" s="23" t="s">
        <v>10826</v>
      </c>
      <c r="F307" s="23" t="str">
        <f t="shared" si="75"/>
        <v>-</v>
      </c>
      <c r="H307" s="142">
        <v>3</v>
      </c>
      <c r="I307" s="141" t="s">
        <v>454</v>
      </c>
      <c r="J307" s="23">
        <v>0.87129999999999996</v>
      </c>
      <c r="K307" s="23">
        <v>0.92420000000000002</v>
      </c>
      <c r="L307" s="23">
        <f t="shared" si="76"/>
        <v>-2.7491944704292615E-2</v>
      </c>
      <c r="N307" s="142">
        <v>3</v>
      </c>
      <c r="O307" s="141" t="s">
        <v>10913</v>
      </c>
      <c r="P307" s="23" t="s">
        <v>132</v>
      </c>
      <c r="Q307" s="23" t="s">
        <v>132</v>
      </c>
      <c r="R307" s="23" t="str">
        <f t="shared" si="77"/>
        <v>-</v>
      </c>
    </row>
    <row r="308" spans="2:24" x14ac:dyDescent="0.25">
      <c r="B308" s="248">
        <v>4</v>
      </c>
      <c r="C308" s="141" t="s">
        <v>10901</v>
      </c>
      <c r="D308" s="23" t="s">
        <v>10826</v>
      </c>
      <c r="E308" s="23" t="s">
        <v>10826</v>
      </c>
      <c r="F308" s="23" t="str">
        <f t="shared" si="75"/>
        <v>-</v>
      </c>
      <c r="H308" s="142">
        <v>4</v>
      </c>
      <c r="I308" s="141" t="s">
        <v>10909</v>
      </c>
      <c r="J308" s="23" t="s">
        <v>132</v>
      </c>
      <c r="K308" s="23" t="s">
        <v>132</v>
      </c>
      <c r="L308" s="23" t="str">
        <f t="shared" si="76"/>
        <v>-</v>
      </c>
      <c r="N308" s="142">
        <v>4</v>
      </c>
      <c r="O308" s="141" t="s">
        <v>454</v>
      </c>
      <c r="P308" s="23" t="s">
        <v>132</v>
      </c>
      <c r="Q308" s="23" t="s">
        <v>132</v>
      </c>
      <c r="R308" s="23" t="str">
        <f t="shared" si="77"/>
        <v>-</v>
      </c>
    </row>
    <row r="309" spans="2:24" x14ac:dyDescent="0.25">
      <c r="B309" s="248">
        <v>5</v>
      </c>
      <c r="C309" s="141" t="s">
        <v>10902</v>
      </c>
      <c r="D309" s="23" t="s">
        <v>10826</v>
      </c>
      <c r="E309" s="23" t="s">
        <v>10826</v>
      </c>
      <c r="F309" s="23" t="str">
        <f t="shared" si="75"/>
        <v>-</v>
      </c>
      <c r="H309" s="142">
        <v>5</v>
      </c>
      <c r="I309" s="141" t="s">
        <v>462</v>
      </c>
      <c r="J309" s="23">
        <v>-0.13769999999999999</v>
      </c>
      <c r="K309" s="23">
        <v>-0.23369999999999999</v>
      </c>
      <c r="L309" s="23">
        <f t="shared" si="76"/>
        <v>0.12527730653790958</v>
      </c>
      <c r="N309" s="142">
        <v>5</v>
      </c>
      <c r="O309" s="141" t="s">
        <v>10914</v>
      </c>
      <c r="P309" s="23" t="s">
        <v>132</v>
      </c>
      <c r="Q309" s="23" t="s">
        <v>132</v>
      </c>
      <c r="R309" s="23" t="str">
        <f t="shared" si="77"/>
        <v>-</v>
      </c>
    </row>
    <row r="310" spans="2:24" x14ac:dyDescent="0.25">
      <c r="B310" s="248">
        <v>6</v>
      </c>
      <c r="C310" s="141" t="s">
        <v>10903</v>
      </c>
      <c r="D310" s="23" t="s">
        <v>10826</v>
      </c>
      <c r="E310" s="23" t="s">
        <v>10826</v>
      </c>
      <c r="F310" s="23" t="str">
        <f t="shared" si="75"/>
        <v>-</v>
      </c>
      <c r="H310" s="142">
        <v>6</v>
      </c>
      <c r="I310" s="141" t="s">
        <v>10910</v>
      </c>
      <c r="J310" s="23">
        <v>-0.35799999999999998</v>
      </c>
      <c r="K310" s="23">
        <v>-0.35139999999999999</v>
      </c>
      <c r="L310" s="23">
        <f t="shared" si="76"/>
        <v>-1.0175763182238784E-2</v>
      </c>
      <c r="N310" s="142">
        <v>6</v>
      </c>
      <c r="O310" s="141" t="s">
        <v>10915</v>
      </c>
      <c r="P310" s="23">
        <v>1.0720000000000001</v>
      </c>
      <c r="Q310" s="23">
        <v>1.5583</v>
      </c>
      <c r="R310" s="23">
        <f t="shared" si="77"/>
        <v>-0.19008716725950825</v>
      </c>
    </row>
    <row r="311" spans="2:24" x14ac:dyDescent="0.25">
      <c r="B311" s="248">
        <v>7</v>
      </c>
      <c r="C311" s="141" t="s">
        <v>10904</v>
      </c>
      <c r="D311" s="23" t="s">
        <v>10826</v>
      </c>
      <c r="E311" s="23" t="s">
        <v>10826</v>
      </c>
      <c r="F311" s="23" t="str">
        <f t="shared" si="75"/>
        <v>-</v>
      </c>
      <c r="H311" s="142">
        <v>7</v>
      </c>
      <c r="I311" s="141" t="s">
        <v>459</v>
      </c>
      <c r="J311" s="23">
        <v>-0.36809999999999998</v>
      </c>
      <c r="K311" s="23">
        <v>-0.36159999999999998</v>
      </c>
      <c r="L311" s="23">
        <f t="shared" si="76"/>
        <v>-1.0181704260651681E-2</v>
      </c>
      <c r="N311" s="142">
        <v>7</v>
      </c>
      <c r="O311" s="141" t="s">
        <v>460</v>
      </c>
      <c r="P311" s="23" t="s">
        <v>132</v>
      </c>
      <c r="Q311" s="23" t="s">
        <v>132</v>
      </c>
      <c r="R311" s="23" t="str">
        <f t="shared" si="77"/>
        <v>-</v>
      </c>
    </row>
    <row r="312" spans="2:24" x14ac:dyDescent="0.25">
      <c r="B312" s="248">
        <v>8</v>
      </c>
      <c r="C312" s="141" t="s">
        <v>10905</v>
      </c>
      <c r="D312" s="23">
        <v>-0.14799999999999999</v>
      </c>
      <c r="E312" s="23">
        <v>-0.1024</v>
      </c>
      <c r="F312" s="23">
        <f t="shared" si="75"/>
        <v>-5.0802139037433136E-2</v>
      </c>
      <c r="H312" s="142">
        <v>8</v>
      </c>
      <c r="I312" s="141" t="s">
        <v>10911</v>
      </c>
      <c r="J312" s="23" t="s">
        <v>132</v>
      </c>
      <c r="K312" s="23" t="s">
        <v>132</v>
      </c>
      <c r="L312" s="23" t="str">
        <f t="shared" si="76"/>
        <v>-</v>
      </c>
      <c r="N312" s="142">
        <v>8</v>
      </c>
      <c r="O312" s="141" t="s">
        <v>456</v>
      </c>
      <c r="P312" s="23" t="s">
        <v>132</v>
      </c>
      <c r="Q312" s="23" t="s">
        <v>132</v>
      </c>
      <c r="R312" s="23" t="str">
        <f t="shared" si="77"/>
        <v>-</v>
      </c>
    </row>
    <row r="313" spans="2:24" x14ac:dyDescent="0.25">
      <c r="B313" s="248">
        <v>9</v>
      </c>
      <c r="C313" s="141"/>
      <c r="D313" s="23" t="s">
        <v>10826</v>
      </c>
      <c r="E313" s="23" t="s">
        <v>10826</v>
      </c>
      <c r="F313" s="23" t="str">
        <f t="shared" si="75"/>
        <v>-</v>
      </c>
      <c r="H313" s="142">
        <v>9</v>
      </c>
      <c r="I313" s="141" t="s">
        <v>455</v>
      </c>
      <c r="J313" s="23">
        <v>0.2041</v>
      </c>
      <c r="K313" s="23">
        <v>0.13589999999999999</v>
      </c>
      <c r="L313" s="23">
        <f t="shared" si="76"/>
        <v>6.0040496522581144E-2</v>
      </c>
      <c r="N313" s="142">
        <v>9</v>
      </c>
      <c r="O313" s="141" t="s">
        <v>10916</v>
      </c>
      <c r="P313" s="23">
        <v>0.51990000000000003</v>
      </c>
      <c r="Q313" s="23">
        <v>0.8</v>
      </c>
      <c r="R313" s="23">
        <f t="shared" si="77"/>
        <v>-0.15561111111111114</v>
      </c>
    </row>
    <row r="314" spans="2:24" x14ac:dyDescent="0.25">
      <c r="B314" s="248">
        <v>10</v>
      </c>
      <c r="C314" s="141" t="s">
        <v>10906</v>
      </c>
      <c r="D314" s="23" t="s">
        <v>10826</v>
      </c>
      <c r="E314" s="23" t="s">
        <v>10826</v>
      </c>
      <c r="F314" s="23" t="str">
        <f t="shared" si="75"/>
        <v>-</v>
      </c>
      <c r="H314" s="142">
        <v>10</v>
      </c>
      <c r="I314" s="141" t="s">
        <v>461</v>
      </c>
      <c r="J314" s="23">
        <v>0.6653</v>
      </c>
      <c r="K314" s="23">
        <v>1.3562000000000001</v>
      </c>
      <c r="L314" s="23">
        <f t="shared" si="76"/>
        <v>-0.29322638146167568</v>
      </c>
      <c r="N314" s="142">
        <v>10</v>
      </c>
      <c r="O314" s="141" t="s">
        <v>461</v>
      </c>
      <c r="P314" s="23" t="s">
        <v>10826</v>
      </c>
      <c r="Q314" s="23" t="s">
        <v>10826</v>
      </c>
      <c r="R314" s="23" t="str">
        <f t="shared" si="77"/>
        <v>-</v>
      </c>
    </row>
    <row r="315" spans="2:24" x14ac:dyDescent="0.25">
      <c r="B315" s="2" t="s">
        <v>196</v>
      </c>
      <c r="C315" s="1" t="s">
        <v>463</v>
      </c>
      <c r="D315" s="260">
        <v>0.38</v>
      </c>
      <c r="E315" s="167"/>
      <c r="I315" s="259" t="s">
        <v>463</v>
      </c>
      <c r="J315" s="261">
        <v>0.77</v>
      </c>
    </row>
    <row r="316" spans="2:24" ht="16.25" customHeight="1" x14ac:dyDescent="0.25">
      <c r="B316" s="41" t="s">
        <v>157</v>
      </c>
    </row>
    <row r="318" spans="2:24" s="5" customFormat="1" ht="23.5" customHeight="1" x14ac:dyDescent="0.25">
      <c r="B318" s="270" t="s">
        <v>464</v>
      </c>
      <c r="C318" s="271"/>
      <c r="D318" s="271"/>
      <c r="E318" s="271"/>
      <c r="F318" s="271"/>
      <c r="N318" s="6"/>
      <c r="O318" s="6"/>
      <c r="P318" s="6"/>
    </row>
    <row r="320" spans="2:24" ht="16.25" customHeight="1" x14ac:dyDescent="0.25">
      <c r="B320" s="339" t="s">
        <v>465</v>
      </c>
      <c r="C320" s="269"/>
      <c r="D320" s="269"/>
      <c r="E320" s="269"/>
      <c r="F320" s="269"/>
      <c r="G320" s="269"/>
      <c r="H320" s="269"/>
      <c r="I320" s="269"/>
      <c r="J320" s="269"/>
      <c r="K320" s="269"/>
      <c r="L320" s="269"/>
      <c r="M320" s="269"/>
      <c r="N320" s="269"/>
      <c r="O320" s="4"/>
      <c r="R320" s="338" t="s">
        <v>466</v>
      </c>
      <c r="S320" s="301"/>
      <c r="T320" s="301"/>
      <c r="U320" s="301"/>
      <c r="V320" s="301"/>
      <c r="W320" s="301"/>
      <c r="X320" s="301"/>
    </row>
    <row r="321" spans="2:24" ht="16.25" customHeight="1" x14ac:dyDescent="0.25">
      <c r="B321" s="10" t="s">
        <v>137</v>
      </c>
      <c r="C321" s="10" t="s">
        <v>467</v>
      </c>
      <c r="D321" s="199" t="s">
        <v>333</v>
      </c>
      <c r="E321" s="10" t="s">
        <v>468</v>
      </c>
      <c r="F321" s="10" t="s">
        <v>335</v>
      </c>
      <c r="G321" s="10" t="s">
        <v>22</v>
      </c>
      <c r="H321" s="10" t="s">
        <v>336</v>
      </c>
      <c r="I321" s="10" t="s">
        <v>337</v>
      </c>
      <c r="J321" s="10" t="s">
        <v>338</v>
      </c>
      <c r="K321" s="10" t="s">
        <v>339</v>
      </c>
      <c r="L321" s="10" t="s">
        <v>340</v>
      </c>
      <c r="M321" s="4"/>
      <c r="N321" s="10" t="s">
        <v>341</v>
      </c>
      <c r="O321" s="4"/>
      <c r="P321" s="4"/>
      <c r="R321" s="11" t="s">
        <v>137</v>
      </c>
      <c r="S321" s="11" t="s">
        <v>467</v>
      </c>
      <c r="T321" s="194" t="s">
        <v>333</v>
      </c>
      <c r="U321" s="11" t="s">
        <v>468</v>
      </c>
      <c r="V321" s="11" t="s">
        <v>335</v>
      </c>
      <c r="W321" s="11" t="s">
        <v>22</v>
      </c>
      <c r="X321" s="11" t="s">
        <v>336</v>
      </c>
    </row>
    <row r="322" spans="2:24" ht="62.5" customHeight="1" x14ac:dyDescent="0.25">
      <c r="B322" s="22">
        <v>1</v>
      </c>
      <c r="C322" s="189" t="str">
        <f>IFERROR(VLOOKUP("胶囊咖啡-"&amp;B322,dat_nespresso_shop_ct_rk_item!$C:$U,5,0),"")</f>
        <v>NESPRESSO雀巢胶囊咖啡 瑞士原装进口美式浓缩黑咖啡套装50颗装</v>
      </c>
      <c r="D322" s="239"/>
      <c r="E322" s="16">
        <v>50</v>
      </c>
      <c r="F322" s="16">
        <f>IFERROR(VLOOKUP("胶囊咖啡-"&amp;B322,dat_nespresso_shop_ct_rk_item!$C:$U,8,0),"")</f>
        <v>1061517</v>
      </c>
      <c r="G322" s="16">
        <f>IFERROR(VLOOKUP("胶囊咖啡-"&amp;B322,dat_nespresso_shop_ct_rk_item!$C:$U,14,0),"")</f>
        <v>263</v>
      </c>
      <c r="H322" s="196">
        <f>F322/$S$134</f>
        <v>0.17039676850071545</v>
      </c>
      <c r="I322" s="37">
        <f>IFERROR(VLOOKUP("咖啡机-"&amp;B322,dat_nespresso_shop_ct_rk_item!$E:$U,8,0),"")</f>
        <v>-0.63794802045751742</v>
      </c>
      <c r="J322" s="196">
        <f>H322-N322/$AG$134</f>
        <v>8.3060656706056349E-2</v>
      </c>
      <c r="K322" s="16">
        <f>IFERROR(VLOOKUP("胶囊咖啡-"&amp;B322,dat_nespresso_shop_ct_rk_item!$C:$U,7,0),"")</f>
        <v>3</v>
      </c>
      <c r="L322" s="38">
        <f>IFERROR(VLOOKUP("胶囊咖啡-"&amp;B322,dat_nespresso_shop_ct_rk_item!$C:$U,16,0),"")</f>
        <v>-7.2808882944243952E-2</v>
      </c>
      <c r="M322" s="130"/>
      <c r="N322" s="153">
        <f>IFERROR(VLOOKUP("胶囊咖啡-"&amp;B322,dat_nespresso_shop_ct_rk_item!$C:$U,9,0),"")</f>
        <v>1241132</v>
      </c>
      <c r="O322" s="130"/>
      <c r="P322" s="130"/>
      <c r="R322" s="142">
        <v>1</v>
      </c>
      <c r="S322" s="189" t="str">
        <f>IFERROR(VLOOKUP("胶囊咖啡-"&amp;R322,dat_nespresso_shop_ct_rk_item!$E:$U,3,0),"")</f>
        <v>NESPRESSO雀巢胶囊咖啡150颗装进口黑咖啡赠杯碟套装新用户礼遇</v>
      </c>
      <c r="T322" s="239"/>
      <c r="U322" s="16">
        <f>IFERROR(VLOOKUP("胶囊咖啡-"&amp;R322,dat_nespresso_shop_ct_rk_item!$E:$U,17,0),"")</f>
        <v>150</v>
      </c>
      <c r="V322" s="16">
        <f>IFERROR(VLOOKUP("胶囊咖啡-"&amp;B322,dat_nespresso_shop_ct_rk_item!$E:$U,7,0),"")</f>
        <v>1580699</v>
      </c>
      <c r="W322" s="16">
        <f>IFERROR(VLOOKUP("胶囊咖啡-"&amp;B322,dat_nespresso_shop_ct_rk_item!$E:$U,13,0),"")</f>
        <v>582</v>
      </c>
      <c r="X322" s="196">
        <f>V322/$AG$134</f>
        <v>0.11123079944575262</v>
      </c>
    </row>
    <row r="323" spans="2:24" ht="62.5" customHeight="1" x14ac:dyDescent="0.25">
      <c r="B323" s="22">
        <v>2</v>
      </c>
      <c r="C323" s="189" t="str">
        <f>IFERROR(VLOOKUP("胶囊咖啡-"&amp;B323,dat_nespresso_shop_ct_rk_item!$C:$U,5,0),"")</f>
        <v>NESPRESSO雀巢胶囊咖啡套装 遇意悠长100颗装 进口美式意式黑咖啡</v>
      </c>
      <c r="D323" s="239"/>
      <c r="E323" s="16">
        <f>IFERROR(VLOOKUP("胶囊咖啡-"&amp;B323,dat_nespresso_shop_ct_rk_item!$C:$U,19,0),"")</f>
        <v>100</v>
      </c>
      <c r="F323" s="16">
        <f>IFERROR(VLOOKUP("胶囊咖啡-"&amp;B323,dat_nespresso_shop_ct_rk_item!$C:$U,8,0),"")</f>
        <v>575082</v>
      </c>
      <c r="G323" s="16">
        <f>IFERROR(VLOOKUP("胶囊咖啡-"&amp;B323,dat_nespresso_shop_ct_rk_item!$C:$U,14,0),"")</f>
        <v>462</v>
      </c>
      <c r="H323" s="196">
        <f>F323/$S$134</f>
        <v>9.2313278471214719E-2</v>
      </c>
      <c r="I323" s="37">
        <f>IFERROR(VLOOKUP("咖啡机-"&amp;B323,dat_nespresso_shop_ct_rk_item!$E:$U,8,0),"")</f>
        <v>-0.43473918129822342</v>
      </c>
      <c r="J323" s="196">
        <f>H323-N323/$AG$134</f>
        <v>5.879955179938632E-2</v>
      </c>
      <c r="K323" s="16">
        <f>IFERROR(VLOOKUP("胶囊咖啡-"&amp;B323,dat_nespresso_shop_ct_rk_item!$C:$U,7,0),"")</f>
        <v>9</v>
      </c>
      <c r="L323" s="38">
        <f>IFERROR(VLOOKUP("胶囊咖啡-"&amp;B323,dat_nespresso_shop_ct_rk_item!$C:$U,16,0),"")</f>
        <v>0.14342683385503449</v>
      </c>
      <c r="M323" s="130"/>
      <c r="N323" s="153">
        <f>IFERROR(VLOOKUP("胶囊咖啡-"&amp;B323,dat_nespresso_shop_ct_rk_item!$C:$U,9,0),"")</f>
        <v>476263</v>
      </c>
      <c r="O323" s="130"/>
      <c r="P323" s="189"/>
      <c r="R323" s="142">
        <v>2</v>
      </c>
      <c r="S323" s="189" t="str">
        <f>IFERROR(VLOOKUP("胶囊咖啡-"&amp;R323,dat_nespresso_shop_ct_rk_item!$E:$U,3,0),"")</f>
        <v>NESPRESSO胶囊咖啡 大师匠心和意式浓烈组合装 含进口黑咖啡100颗</v>
      </c>
      <c r="T323" s="239"/>
      <c r="U323" s="16">
        <v>100</v>
      </c>
      <c r="V323" s="16">
        <f>IFERROR(VLOOKUP("胶囊咖啡-"&amp;B323,dat_nespresso_shop_ct_rk_item!$E:$U,7,0),"")</f>
        <v>1303518</v>
      </c>
      <c r="W323" s="16">
        <f>IFERROR(VLOOKUP("胶囊咖啡-"&amp;B323,dat_nespresso_shop_ct_rk_item!$E:$U,13,0),"")</f>
        <v>441</v>
      </c>
      <c r="X323" s="196">
        <f>V323/$AG$134</f>
        <v>9.1726096639479476E-2</v>
      </c>
    </row>
    <row r="324" spans="2:24" ht="62.5" customHeight="1" x14ac:dyDescent="0.25">
      <c r="B324" s="22">
        <v>3</v>
      </c>
      <c r="C324" s="189" t="str">
        <f>IFERROR(VLOOKUP("胶囊咖啡-"&amp;B324,dat_nespresso_shop_ct_rk_item!$C:$U,5,0),"")</f>
        <v>NESPRESSO雀巢胶囊咖啡150颗装进口黑咖啡赠杯碟套装新用户礼遇</v>
      </c>
      <c r="D324" s="239"/>
      <c r="E324" s="16">
        <f>IFERROR(VLOOKUP("胶囊咖啡-"&amp;B324,dat_nespresso_shop_ct_rk_item!$C:$U,19,0),"")</f>
        <v>150</v>
      </c>
      <c r="F324" s="16">
        <f>IFERROR(VLOOKUP("胶囊咖啡-"&amp;B324,dat_nespresso_shop_ct_rk_item!$C:$U,8,0),"")</f>
        <v>446023</v>
      </c>
      <c r="G324" s="16">
        <f>IFERROR(VLOOKUP("胶囊咖啡-"&amp;B324,dat_nespresso_shop_ct_rk_item!$C:$U,14,0),"")</f>
        <v>660</v>
      </c>
      <c r="H324" s="196">
        <f>F324/$S$134</f>
        <v>7.1596477378124523E-2</v>
      </c>
      <c r="I324" s="37">
        <f>IFERROR(VLOOKUP("咖啡机-"&amp;B324,dat_nespresso_shop_ct_rk_item!$E:$U,8,0),"")</f>
        <v>-0.35334498923927882</v>
      </c>
      <c r="J324" s="196">
        <f>H324-N324/$AG$134</f>
        <v>-3.9634322067628097E-2</v>
      </c>
      <c r="K324" s="16">
        <f>IFERROR(VLOOKUP("胶囊咖啡-"&amp;B324,dat_nespresso_shop_ct_rk_item!$C:$U,7,0),"")</f>
        <v>1</v>
      </c>
      <c r="L324" s="38">
        <f>IFERROR(VLOOKUP("胶囊咖啡-"&amp;B324,dat_nespresso_shop_ct_rk_item!$C:$U,16,0),"")</f>
        <v>0.13368097482055269</v>
      </c>
      <c r="M324" s="130"/>
      <c r="N324" s="153">
        <f>IFERROR(VLOOKUP("胶囊咖啡-"&amp;B324,dat_nespresso_shop_ct_rk_item!$C:$U,9,0),"")</f>
        <v>1580699</v>
      </c>
      <c r="O324" s="130"/>
      <c r="P324" s="130"/>
      <c r="R324" s="142">
        <v>3</v>
      </c>
      <c r="S324" s="189" t="str">
        <f>IFERROR(VLOOKUP("胶囊咖啡-"&amp;R324,dat_nespresso_shop_ct_rk_item!$E:$U,3,0),"")</f>
        <v>NESPRESSO雀巢胶囊咖啡 瑞士原装进口美式浓缩黑咖啡套装50颗装</v>
      </c>
      <c r="T324" s="239"/>
      <c r="U324" s="16">
        <v>50</v>
      </c>
      <c r="V324" s="16">
        <f>IFERROR(VLOOKUP("胶囊咖啡-"&amp;B324,dat_nespresso_shop_ct_rk_item!$E:$U,7,0),"")</f>
        <v>1241132</v>
      </c>
      <c r="W324" s="16">
        <f>IFERROR(VLOOKUP("胶囊咖啡-"&amp;B324,dat_nespresso_shop_ct_rk_item!$E:$U,13,0),"")</f>
        <v>284</v>
      </c>
      <c r="X324" s="196">
        <f>V324/$AG$134</f>
        <v>8.7336111794659096E-2</v>
      </c>
    </row>
    <row r="325" spans="2:24" ht="62.5" customHeight="1" x14ac:dyDescent="0.25">
      <c r="B325" s="22">
        <v>4</v>
      </c>
      <c r="C325" s="189" t="str">
        <f>IFERROR(VLOOKUP("胶囊咖啡-"&amp;B325,dat_nespresso_shop_ct_rk_item!$C:$U,5,0),"")</f>
        <v>NESPRESSO雀巢胶囊咖啡套装 人气精选100颗装 进口美式意式黑咖啡</v>
      </c>
      <c r="D325" s="239"/>
      <c r="E325" s="16">
        <f>IFERROR(VLOOKUP("胶囊咖啡-"&amp;B325,dat_nespresso_shop_ct_rk_item!$C:$U,19,0),"")</f>
        <v>100</v>
      </c>
      <c r="F325" s="16">
        <f>IFERROR(VLOOKUP("胶囊咖啡-"&amp;B325,dat_nespresso_shop_ct_rk_item!$C:$U,8,0),"")</f>
        <v>324356</v>
      </c>
      <c r="G325" s="16">
        <f>IFERROR(VLOOKUP("胶囊咖啡-"&amp;B325,dat_nespresso_shop_ct_rk_item!$C:$U,14,0),"")</f>
        <v>473</v>
      </c>
      <c r="H325" s="196">
        <f>F325/$S$134</f>
        <v>5.2066254467726905E-2</v>
      </c>
      <c r="I325" s="37">
        <f>IFERROR(VLOOKUP("咖啡机-"&amp;B325,dat_nespresso_shop_ct_rk_item!$E:$U,8,0),"")</f>
        <v>-0.83951617181029015</v>
      </c>
      <c r="J325" s="196">
        <f>H325-N325/$AG$134</f>
        <v>2.8564285183186183E-3</v>
      </c>
      <c r="K325" s="16">
        <f>IFERROR(VLOOKUP("胶囊咖啡-"&amp;B325,dat_nespresso_shop_ct_rk_item!$C:$U,7,0),"")</f>
        <v>6</v>
      </c>
      <c r="L325" s="38">
        <f>IFERROR(VLOOKUP("胶囊咖啡-"&amp;B325,dat_nespresso_shop_ct_rk_item!$C:$U,16,0),"")</f>
        <v>0.123707502604713</v>
      </c>
      <c r="M325" s="130"/>
      <c r="N325" s="153">
        <f>IFERROR(VLOOKUP("胶囊咖啡-"&amp;B325,dat_nespresso_shop_ct_rk_item!$C:$U,9,0),"")</f>
        <v>699320</v>
      </c>
      <c r="O325" s="130"/>
      <c r="P325" s="130"/>
      <c r="R325" s="142">
        <v>4</v>
      </c>
      <c r="S325" s="189" t="str">
        <f>IFERROR(VLOOKUP("胶囊咖啡-"&amp;R325,dat_nespresso_shop_ct_rk_item!$E:$U,3,0),"")</f>
        <v>NESPRESSO雀巢胶囊咖啡 环球之旅套装 瑞士进口黑咖啡100颗装包邮</v>
      </c>
      <c r="T325" s="239"/>
      <c r="U325" s="16">
        <v>100</v>
      </c>
      <c r="V325" s="16">
        <f>IFERROR(VLOOKUP("胶囊咖啡-"&amp;B325,dat_nespresso_shop_ct_rk_item!$E:$U,7,0),"")</f>
        <v>1203755</v>
      </c>
      <c r="W325" s="16">
        <f>IFERROR(VLOOKUP("胶囊咖啡-"&amp;B325,dat_nespresso_shop_ct_rk_item!$E:$U,13,0),"")</f>
        <v>402</v>
      </c>
      <c r="X325" s="196">
        <f>V325/$AG$134</f>
        <v>8.4705962986515435E-2</v>
      </c>
    </row>
    <row r="326" spans="2:24" ht="62.5" customHeight="1" x14ac:dyDescent="0.25">
      <c r="B326" s="22">
        <v>5</v>
      </c>
      <c r="C326" s="189" t="str">
        <f>IFERROR(VLOOKUP("胶囊咖啡-"&amp;B326,dat_nespresso_shop_ct_rk_item!$C:$U,5,0),"")</f>
        <v>NESPRESSO雀巢胶囊咖啡 意式浓烈套装 进口美式浓烈黑咖啡50颗装</v>
      </c>
      <c r="D326" s="239"/>
      <c r="E326" s="16">
        <f>IFERROR(VLOOKUP("胶囊咖啡-"&amp;B326,dat_nespresso_shop_ct_rk_item!$C:$U,19,0),"")</f>
        <v>50</v>
      </c>
      <c r="F326" s="16">
        <f>IFERROR(VLOOKUP("胶囊咖啡-"&amp;B326,dat_nespresso_shop_ct_rk_item!$C:$U,8,0),"")</f>
        <v>285895</v>
      </c>
      <c r="G326" s="16">
        <f>IFERROR(VLOOKUP("胶囊咖啡-"&amp;B326,dat_nespresso_shop_ct_rk_item!$C:$U,14,0),"")</f>
        <v>276</v>
      </c>
      <c r="H326" s="196">
        <f>F326/$S$134</f>
        <v>4.589242012187468E-2</v>
      </c>
      <c r="I326" s="37">
        <f>IFERROR(VLOOKUP("咖啡机-"&amp;B326,dat_nespresso_shop_ct_rk_item!$E:$U,8,0),"")</f>
        <v>-0.8996280322342326</v>
      </c>
      <c r="J326" s="196">
        <f>H326-N326/$AG$134</f>
        <v>8.2069201110731779E-3</v>
      </c>
      <c r="K326" s="16">
        <f>IFERROR(VLOOKUP("胶囊咖啡-"&amp;B326,dat_nespresso_shop_ct_rk_item!$C:$U,7,0),"")</f>
        <v>8</v>
      </c>
      <c r="L326" s="38">
        <f>IFERROR(VLOOKUP("胶囊咖啡-"&amp;B326,dat_nespresso_shop_ct_rk_item!$C:$U,16,0),"")</f>
        <v>-5.6630334671550063E-2</v>
      </c>
      <c r="M326" s="130"/>
      <c r="N326" s="153">
        <f>IFERROR(VLOOKUP("胶囊咖啡-"&amp;B326,dat_nespresso_shop_ct_rk_item!$C:$U,9,0),"")</f>
        <v>535548</v>
      </c>
      <c r="O326" s="130"/>
      <c r="P326" s="130"/>
      <c r="R326" s="142">
        <v>5</v>
      </c>
      <c r="S326" s="189" t="str">
        <f>IFERROR(VLOOKUP("胶囊咖啡-"&amp;R326,dat_nespresso_shop_ct_rk_item!$E:$U,3,0),"")</f>
        <v>NESPRESSO雀巢胶囊咖啡套装 浓遇啡凡150颗装 意式进口浓缩黑咖啡</v>
      </c>
      <c r="T326" s="239"/>
      <c r="U326" s="16">
        <v>150</v>
      </c>
      <c r="V326" s="16">
        <f>IFERROR(VLOOKUP("胶囊咖啡-"&amp;B326,dat_nespresso_shop_ct_rk_item!$E:$U,7,0),"")</f>
        <v>764692</v>
      </c>
      <c r="W326" s="16">
        <f>IFERROR(VLOOKUP("胶囊咖啡-"&amp;B326,dat_nespresso_shop_ct_rk_item!$E:$U,13,0),"")</f>
        <v>653</v>
      </c>
      <c r="X326" s="196">
        <f>V326/$AG$134</f>
        <v>5.3809929967546931E-2</v>
      </c>
    </row>
    <row r="327" spans="2:24" x14ac:dyDescent="0.25">
      <c r="F327" s="16">
        <f>SUM(F322:F326)</f>
        <v>2692873</v>
      </c>
      <c r="G327" s="107"/>
      <c r="H327" s="146">
        <f>SUM(H322:H326)</f>
        <v>0.43226519893965626</v>
      </c>
      <c r="V327" s="16">
        <f>SUM(V322:V326)</f>
        <v>6093796</v>
      </c>
      <c r="W327" s="107"/>
      <c r="X327" s="146">
        <f>SUM(X322:X326)</f>
        <v>0.42880890083395357</v>
      </c>
    </row>
    <row r="328" spans="2:24" x14ac:dyDescent="0.25">
      <c r="B328" s="2" t="s">
        <v>0</v>
      </c>
      <c r="E328" s="16"/>
    </row>
    <row r="330" spans="2:24" s="43" customFormat="1" ht="16.25" customHeight="1" x14ac:dyDescent="0.25">
      <c r="B330" s="296" t="s">
        <v>343</v>
      </c>
      <c r="C330" s="297"/>
      <c r="D330" s="297"/>
      <c r="E330" s="297"/>
      <c r="F330" s="297"/>
      <c r="M330" s="44"/>
      <c r="N330" s="44"/>
      <c r="O330" s="44"/>
    </row>
    <row r="332" spans="2:24" s="5" customFormat="1" ht="23.5" customHeight="1" x14ac:dyDescent="0.25">
      <c r="B332" s="270" t="s">
        <v>469</v>
      </c>
      <c r="C332" s="271"/>
      <c r="D332" s="271"/>
      <c r="E332" s="271"/>
      <c r="F332" s="271"/>
      <c r="N332" s="6"/>
      <c r="O332" s="6"/>
      <c r="P332" s="6"/>
    </row>
    <row r="334" spans="2:24" s="147" customFormat="1" ht="16.25" customHeight="1" x14ac:dyDescent="0.25">
      <c r="B334" s="134" t="s">
        <v>47</v>
      </c>
      <c r="C334" s="134" t="s">
        <v>48</v>
      </c>
      <c r="D334" s="134" t="s">
        <v>49</v>
      </c>
      <c r="E334" s="134" t="s">
        <v>50</v>
      </c>
      <c r="F334" s="134" t="s">
        <v>52</v>
      </c>
      <c r="G334" s="134" t="s">
        <v>51</v>
      </c>
      <c r="H334" s="134" t="s">
        <v>53</v>
      </c>
      <c r="I334" s="134" t="s">
        <v>54</v>
      </c>
      <c r="J334" s="134" t="s">
        <v>55</v>
      </c>
      <c r="L334" s="134" t="s">
        <v>56</v>
      </c>
      <c r="M334" s="134" t="s">
        <v>57</v>
      </c>
      <c r="N334" s="134" t="s">
        <v>58</v>
      </c>
      <c r="O334" s="1"/>
      <c r="P334" s="1"/>
      <c r="Q334" s="1"/>
    </row>
    <row r="335" spans="2:24" x14ac:dyDescent="0.25">
      <c r="B335" s="298" t="s">
        <v>59</v>
      </c>
      <c r="C335" s="298" t="s">
        <v>60</v>
      </c>
      <c r="D335" s="25" t="s">
        <v>61</v>
      </c>
      <c r="E335" s="148">
        <f>VLOOKUP("胶囊咖啡"&amp;"-"&amp;$B$335&amp;"-"&amp;$C$335&amp;"-"&amp;$D335,dat_nespresso_shop_ct_chl!$G:$K,2,0)</f>
        <v>156033</v>
      </c>
      <c r="F335" s="149">
        <f>VLOOKUP("胶囊咖啡"&amp;"-"&amp;$B$335&amp;"-"&amp;$C$335&amp;"-"&amp;$D335,dat_nespresso_shop_ct_chl!$G:$K,4,0)</f>
        <v>2.6411079707497769E-2</v>
      </c>
      <c r="G335" s="148">
        <f>VLOOKUP("胶囊咖啡"&amp;"-"&amp;$B$335&amp;"-"&amp;$C$335&amp;"-"&amp;$D335,dat_nespresso_shop_ct_chl!$G:$K,3,0)</f>
        <v>66808</v>
      </c>
      <c r="H335" s="149">
        <f>VLOOKUP("胶囊咖啡"&amp;"-"&amp;$B$335&amp;"-"&amp;$C$335&amp;"-"&amp;$D335,dat_nespresso_shop_ct_chl!$G:$K,5,0)</f>
        <v>3.1912345826847092E-2</v>
      </c>
      <c r="I335" s="150">
        <f t="shared" ref="I335:I340" si="78">IFERROR(E335*F335,"-")</f>
        <v>4120.9999999999991</v>
      </c>
      <c r="J335" s="150">
        <f t="shared" ref="J335:J340" si="79">IFERROR(G335*H335,"-")</f>
        <v>2132.0000000000005</v>
      </c>
      <c r="L335" s="82">
        <f t="shared" ref="L335:L340" si="80">IFERROR(J335/I335-1,"-")</f>
        <v>-0.48264984227129315</v>
      </c>
      <c r="M335" s="82">
        <f t="shared" ref="M335:M340" si="81">IFERROR(G335/E335-1,"-")</f>
        <v>-0.57183416328597159</v>
      </c>
      <c r="N335" s="82">
        <f t="shared" ref="N335:N340" si="82">IFERROR(H335-F335,"-")</f>
        <v>5.5012661193493233E-3</v>
      </c>
    </row>
    <row r="336" spans="2:24" x14ac:dyDescent="0.25">
      <c r="B336" s="281"/>
      <c r="C336" s="281"/>
      <c r="D336" s="248" t="s">
        <v>62</v>
      </c>
      <c r="E336" s="148">
        <f>VLOOKUP("胶囊咖啡"&amp;"-"&amp;$B$335&amp;"-"&amp;$C$335&amp;"-"&amp;$D336,dat_nespresso_shop_ct_chl!$G:$K,2,0)</f>
        <v>162867</v>
      </c>
      <c r="F336" s="149">
        <f>VLOOKUP("胶囊咖啡"&amp;"-"&amp;$B$335&amp;"-"&amp;$C$335&amp;"-"&amp;$D336,dat_nespresso_shop_ct_chl!$G:$K,4,0)</f>
        <v>4.316405410549712E-3</v>
      </c>
      <c r="G336" s="148">
        <f>VLOOKUP("胶囊咖啡"&amp;"-"&amp;$B$335&amp;"-"&amp;$C$335&amp;"-"&amp;$D336,dat_nespresso_shop_ct_chl!$G:$K,3,0)</f>
        <v>53476</v>
      </c>
      <c r="H336" s="23">
        <f>VLOOKUP("胶囊咖啡"&amp;"-"&amp;$B$335&amp;"-"&amp;$C$335&amp;"-"&amp;$D336,dat_nespresso_shop_ct_chl!$G:$K,5,0)</f>
        <v>1.0658987209215349E-3</v>
      </c>
      <c r="I336" s="150">
        <f t="shared" si="78"/>
        <v>703</v>
      </c>
      <c r="J336" s="150">
        <f t="shared" si="79"/>
        <v>57</v>
      </c>
      <c r="L336" s="82">
        <f t="shared" si="80"/>
        <v>-0.91891891891891886</v>
      </c>
      <c r="M336" s="17">
        <f t="shared" si="81"/>
        <v>-0.67165846979437216</v>
      </c>
      <c r="N336" s="17">
        <f t="shared" si="82"/>
        <v>-3.2505066896281768E-3</v>
      </c>
    </row>
    <row r="337" spans="2:17" x14ac:dyDescent="0.25">
      <c r="B337" s="281"/>
      <c r="C337" s="283"/>
      <c r="D337" s="248" t="s">
        <v>10838</v>
      </c>
      <c r="E337" s="148">
        <f>VLOOKUP("胶囊咖啡"&amp;"-"&amp;$B$335&amp;"-"&amp;$C$335&amp;"-"&amp;$D337,dat_nespresso_shop_ct_chl!$G:$K,2,0)</f>
        <v>44189</v>
      </c>
      <c r="F337" s="149">
        <f>VLOOKUP("胶囊咖啡"&amp;"-"&amp;$B$335&amp;"-"&amp;$C$335&amp;"-"&amp;$D337,dat_nespresso_shop_ct_chl!$G:$K,4,0)</f>
        <v>4.6934757518839527E-2</v>
      </c>
      <c r="G337" s="148">
        <f>VLOOKUP("胶囊咖啡"&amp;"-"&amp;$B$335&amp;"-"&amp;$C$335&amp;"-"&amp;$D337,dat_nespresso_shop_ct_chl!$G:$K,3,0)</f>
        <v>37046</v>
      </c>
      <c r="H337" s="23">
        <f>VLOOKUP("胶囊咖啡"&amp;"-"&amp;$B$335&amp;"-"&amp;$C$335&amp;"-"&amp;$D337,dat_nespresso_shop_ct_chl!$G:$K,5,0)</f>
        <v>3.5820331479781892E-2</v>
      </c>
      <c r="I337" s="150">
        <f t="shared" si="78"/>
        <v>2074</v>
      </c>
      <c r="J337" s="150">
        <f t="shared" si="79"/>
        <v>1327</v>
      </c>
      <c r="L337" s="82">
        <f t="shared" si="80"/>
        <v>-0.36017357762777247</v>
      </c>
      <c r="M337" s="17">
        <f t="shared" si="81"/>
        <v>-0.16164656362443142</v>
      </c>
      <c r="N337" s="17">
        <f t="shared" si="82"/>
        <v>-1.1114426039057636E-2</v>
      </c>
    </row>
    <row r="338" spans="2:17" x14ac:dyDescent="0.25">
      <c r="B338" s="281"/>
      <c r="C338" s="249" t="s">
        <v>10917</v>
      </c>
      <c r="D338" s="248" t="s">
        <v>10842</v>
      </c>
      <c r="E338" s="16">
        <f>VLOOKUP("胶囊咖啡"&amp;"-"&amp;$B$335&amp;"-"&amp;$C338&amp;"-"&amp;$D338,dat_nespresso_shop_ct_chl!$G:$K,2,0)</f>
        <v>0</v>
      </c>
      <c r="F338" s="23">
        <f>VLOOKUP("胶囊咖啡"&amp;"-"&amp;$B$335&amp;"-"&amp;$C338&amp;"-"&amp;$D338,dat_nespresso_shop_ct_chl!$G:$K,4,0)</f>
        <v>0</v>
      </c>
      <c r="G338" s="16">
        <f>VLOOKUP("胶囊咖啡"&amp;"-"&amp;$B$335&amp;"-"&amp;$C338&amp;"-"&amp;$D338,dat_nespresso_shop_ct_chl!$G:$K,3,0)</f>
        <v>10523</v>
      </c>
      <c r="H338" s="23">
        <f>VLOOKUP("胶囊咖啡"&amp;"-"&amp;$B$335&amp;"-"&amp;$C338&amp;"-"&amp;$D338,dat_nespresso_shop_ct_chl!$G:$K,5,0)</f>
        <v>0</v>
      </c>
      <c r="I338" s="150">
        <f t="shared" si="78"/>
        <v>0</v>
      </c>
      <c r="J338" s="150">
        <f t="shared" si="79"/>
        <v>0</v>
      </c>
      <c r="L338" s="82" t="str">
        <f t="shared" si="80"/>
        <v>-</v>
      </c>
      <c r="M338" s="17" t="str">
        <f t="shared" si="81"/>
        <v>-</v>
      </c>
      <c r="N338" s="17">
        <f t="shared" si="82"/>
        <v>0</v>
      </c>
    </row>
    <row r="339" spans="2:17" x14ac:dyDescent="0.25">
      <c r="B339" s="281"/>
      <c r="C339" s="249" t="s">
        <v>64</v>
      </c>
      <c r="D339" s="248" t="s">
        <v>10918</v>
      </c>
      <c r="E339" s="16" t="e">
        <f>VLOOKUP("胶囊咖啡"&amp;"-"&amp;$B$335&amp;"-"&amp;$C339&amp;"-"&amp;$D339,dat_nespresso_shop_ct_chl!$G:$K,2,0)</f>
        <v>#N/A</v>
      </c>
      <c r="F339" s="23" t="e">
        <f>VLOOKUP("胶囊咖啡"&amp;"-"&amp;$B$335&amp;"-"&amp;$C339&amp;"-"&amp;$D339,dat_nespresso_shop_ct_chl!$G:$K,4,0)</f>
        <v>#N/A</v>
      </c>
      <c r="G339" s="16" t="e">
        <f>VLOOKUP("胶囊咖啡"&amp;"-"&amp;$B$335&amp;"-"&amp;$C339&amp;"-"&amp;$D339,dat_nespresso_shop_ct_chl!$G:$K,3,0)</f>
        <v>#N/A</v>
      </c>
      <c r="H339" s="23" t="e">
        <f>VLOOKUP("胶囊咖啡"&amp;"-"&amp;$B$335&amp;"-"&amp;$C339&amp;"-"&amp;$D339,dat_nespresso_shop_ct_chl!$G:$K,5,0)</f>
        <v>#N/A</v>
      </c>
      <c r="I339" s="150" t="str">
        <f t="shared" si="78"/>
        <v>-</v>
      </c>
      <c r="J339" s="150" t="str">
        <f t="shared" si="79"/>
        <v>-</v>
      </c>
      <c r="L339" s="82" t="str">
        <f t="shared" si="80"/>
        <v>-</v>
      </c>
      <c r="M339" s="17" t="str">
        <f t="shared" si="81"/>
        <v>-</v>
      </c>
      <c r="N339" s="17" t="str">
        <f t="shared" si="82"/>
        <v>-</v>
      </c>
    </row>
    <row r="340" spans="2:17" x14ac:dyDescent="0.25">
      <c r="B340" s="283"/>
      <c r="C340" s="248" t="s">
        <v>72</v>
      </c>
      <c r="D340" s="248" t="s">
        <v>10839</v>
      </c>
      <c r="E340" s="16">
        <f>VLOOKUP("胶囊咖啡"&amp;"-"&amp;$B$335&amp;"-"&amp;$C340&amp;"-"&amp;$D340,dat_nespresso_shop_ct_chl!$G:$K,2,0)</f>
        <v>10204</v>
      </c>
      <c r="F340" s="23">
        <f>VLOOKUP("胶囊咖啡"&amp;"-"&amp;$B$335&amp;"-"&amp;$C340&amp;"-"&amp;$D340,dat_nespresso_shop_ct_chl!$G:$K,4,0)</f>
        <v>0.13935711485691879</v>
      </c>
      <c r="G340" s="16">
        <f>VLOOKUP("胶囊咖啡"&amp;"-"&amp;$B$335&amp;"-"&amp;$C340&amp;"-"&amp;$D340,dat_nespresso_shop_ct_chl!$G:$K,3,0)</f>
        <v>6185</v>
      </c>
      <c r="H340" s="23">
        <f>VLOOKUP("胶囊咖啡"&amp;"-"&amp;$B$335&amp;"-"&amp;$C340&amp;"-"&amp;$D340,dat_nespresso_shop_ct_chl!$G:$K,5,0)</f>
        <v>7.72837510105093E-2</v>
      </c>
      <c r="I340" s="150">
        <f t="shared" si="78"/>
        <v>1421.9999999999993</v>
      </c>
      <c r="J340" s="150">
        <f t="shared" si="79"/>
        <v>478</v>
      </c>
      <c r="L340" s="82">
        <f t="shared" si="80"/>
        <v>-0.66385372714486623</v>
      </c>
      <c r="M340" s="17">
        <f t="shared" si="81"/>
        <v>-0.39386515092120733</v>
      </c>
      <c r="N340" s="17">
        <f t="shared" si="82"/>
        <v>-6.2073363846409491E-2</v>
      </c>
    </row>
    <row r="342" spans="2:17" s="147" customFormat="1" ht="16.25" customHeight="1" x14ac:dyDescent="0.25">
      <c r="B342" s="134" t="s">
        <v>47</v>
      </c>
      <c r="C342" s="134" t="s">
        <v>48</v>
      </c>
      <c r="D342" s="134" t="s">
        <v>49</v>
      </c>
      <c r="E342" s="134" t="s">
        <v>50</v>
      </c>
      <c r="F342" s="134" t="s">
        <v>52</v>
      </c>
      <c r="G342" s="134" t="s">
        <v>51</v>
      </c>
      <c r="H342" s="134" t="s">
        <v>53</v>
      </c>
      <c r="I342" s="134" t="s">
        <v>54</v>
      </c>
      <c r="J342" s="134" t="s">
        <v>55</v>
      </c>
      <c r="K342" s="1"/>
      <c r="L342" s="134" t="s">
        <v>56</v>
      </c>
      <c r="M342" s="134" t="s">
        <v>57</v>
      </c>
      <c r="N342" s="134" t="s">
        <v>58</v>
      </c>
      <c r="O342" s="1"/>
      <c r="P342" s="1"/>
      <c r="Q342" s="1"/>
    </row>
    <row r="343" spans="2:17" x14ac:dyDescent="0.25">
      <c r="B343" s="287" t="s">
        <v>76</v>
      </c>
      <c r="C343" s="248" t="s">
        <v>80</v>
      </c>
      <c r="D343" s="248" t="s">
        <v>78</v>
      </c>
      <c r="E343" s="148">
        <f>VLOOKUP("胶囊咖啡"&amp;"-"&amp;$B$343&amp;"-"&amp;$C343&amp;"-"&amp;$D343,dat_nespresso_shop_ct_chl!$G:$K,2,0)</f>
        <v>38716</v>
      </c>
      <c r="F343" s="23">
        <f>VLOOKUP("胶囊咖啡"&amp;"-"&amp;$B$343&amp;"-"&amp;$C343&amp;"-"&amp;$D343,dat_nespresso_shop_ct_chl!$G:$K,4,0)</f>
        <v>8.1645831180907125E-2</v>
      </c>
      <c r="G343" s="16">
        <f>VLOOKUP("胶囊咖啡"&amp;"-"&amp;$B$343&amp;"-"&amp;$C343&amp;"-"&amp;$D343,dat_nespresso_shop_ct_chl!$G:$K,3,0)</f>
        <v>41380</v>
      </c>
      <c r="H343" s="23">
        <f>VLOOKUP("胶囊咖啡"&amp;"-"&amp;$B$343&amp;"-"&amp;$C343&amp;"-"&amp;$D343,dat_nespresso_shop_ct_chl!$G:$K,5,0)</f>
        <v>9.0236829386176901E-2</v>
      </c>
      <c r="I343" s="150">
        <f t="shared" ref="I343:I349" si="83">IFERROR(E343*F343,"-")</f>
        <v>3161.0000000000005</v>
      </c>
      <c r="J343" s="150">
        <f t="shared" ref="J343:J349" si="84">IFERROR(G343*H343,"-")</f>
        <v>3734</v>
      </c>
      <c r="L343" s="82">
        <f t="shared" ref="L343:L349" si="85">IFERROR(J343/I343-1,"-")</f>
        <v>0.18127174944637758</v>
      </c>
      <c r="M343" s="82">
        <f t="shared" ref="M343:M349" si="86">IFERROR(G343/E343-1,"-")</f>
        <v>6.8808761235664928E-2</v>
      </c>
      <c r="N343" s="82">
        <f t="shared" ref="N343:N349" si="87">IFERROR(H343-F343,"-")</f>
        <v>8.5909982052697759E-3</v>
      </c>
    </row>
    <row r="344" spans="2:17" x14ac:dyDescent="0.25">
      <c r="B344" s="281"/>
      <c r="C344" s="248" t="s">
        <v>10919</v>
      </c>
      <c r="D344" s="248" t="s">
        <v>78</v>
      </c>
      <c r="E344" s="16">
        <f>VLOOKUP("胶囊咖啡"&amp;"-"&amp;$B$343&amp;"-"&amp;$C344&amp;"-"&amp;$D344,dat_nespresso_shop_ct_chl!$G:$K,2,0)</f>
        <v>27692</v>
      </c>
      <c r="F344" s="23">
        <f>VLOOKUP("胶囊咖啡"&amp;"-"&amp;$B$343&amp;"-"&amp;$C344&amp;"-"&amp;$D344,dat_nespresso_shop_ct_chl!$G:$K,4,0)</f>
        <v>2.2100245558283979E-2</v>
      </c>
      <c r="G344" s="16">
        <f>VLOOKUP("胶囊咖啡"&amp;"-"&amp;$B$343&amp;"-"&amp;$C344&amp;"-"&amp;$D344,dat_nespresso_shop_ct_chl!$G:$K,3,0)</f>
        <v>7263</v>
      </c>
      <c r="H344" s="23">
        <f>VLOOKUP("胶囊咖啡"&amp;"-"&amp;$B$343&amp;"-"&amp;$C344&amp;"-"&amp;$D344,dat_nespresso_shop_ct_chl!$G:$K,5,0)</f>
        <v>4.0203772545779982E-2</v>
      </c>
      <c r="I344" s="19">
        <f t="shared" si="83"/>
        <v>612</v>
      </c>
      <c r="J344" s="19">
        <f t="shared" si="84"/>
        <v>292</v>
      </c>
      <c r="L344" s="82">
        <f t="shared" si="85"/>
        <v>-0.52287581699346397</v>
      </c>
      <c r="M344" s="17">
        <f t="shared" si="86"/>
        <v>-0.73772208580095333</v>
      </c>
      <c r="N344" s="17">
        <f t="shared" si="87"/>
        <v>1.8103526987496003E-2</v>
      </c>
    </row>
    <row r="345" spans="2:17" x14ac:dyDescent="0.25">
      <c r="B345" s="281"/>
      <c r="C345" s="248" t="s">
        <v>10843</v>
      </c>
      <c r="D345" s="248" t="s">
        <v>78</v>
      </c>
      <c r="E345" s="16">
        <f>VLOOKUP("胶囊咖啡"&amp;"-"&amp;$B$343&amp;"-"&amp;$C345&amp;"-"&amp;$D345,dat_nespresso_shop_ct_chl!$G:$K,2,0)</f>
        <v>3891</v>
      </c>
      <c r="F345" s="23">
        <f>VLOOKUP("胶囊咖啡"&amp;"-"&amp;$B$343&amp;"-"&amp;$C345&amp;"-"&amp;$D345,dat_nespresso_shop_ct_chl!$G:$K,4,0)</f>
        <v>8.0956052428681577E-2</v>
      </c>
      <c r="G345" s="16">
        <f>VLOOKUP("胶囊咖啡"&amp;"-"&amp;$B$343&amp;"-"&amp;$C345&amp;"-"&amp;$D345,dat_nespresso_shop_ct_chl!$G:$K,3,0)</f>
        <v>3085</v>
      </c>
      <c r="H345" s="23">
        <f>VLOOKUP("胶囊咖啡"&amp;"-"&amp;$B$343&amp;"-"&amp;$C345&amp;"-"&amp;$D345,dat_nespresso_shop_ct_chl!$G:$K,5,0)</f>
        <v>5.5429497568881693E-2</v>
      </c>
      <c r="I345" s="19">
        <f t="shared" si="83"/>
        <v>315</v>
      </c>
      <c r="J345" s="19">
        <f t="shared" si="84"/>
        <v>171.00000000000003</v>
      </c>
      <c r="L345" s="82">
        <f t="shared" si="85"/>
        <v>-0.45714285714285707</v>
      </c>
      <c r="M345" s="17">
        <f t="shared" si="86"/>
        <v>-0.20714469288100745</v>
      </c>
      <c r="N345" s="17">
        <f t="shared" si="87"/>
        <v>-2.5526554859799884E-2</v>
      </c>
    </row>
    <row r="346" spans="2:17" x14ac:dyDescent="0.25">
      <c r="B346" s="281"/>
      <c r="C346" s="248" t="s">
        <v>10845</v>
      </c>
      <c r="D346" s="248" t="s">
        <v>78</v>
      </c>
      <c r="E346" s="16">
        <f>VLOOKUP("胶囊咖啡"&amp;"-"&amp;$B$343&amp;"-"&amp;$C346&amp;"-"&amp;$D346,dat_nespresso_shop_ct_chl!$G:$K,2,0)</f>
        <v>3444</v>
      </c>
      <c r="F346" s="23">
        <f>VLOOKUP("胶囊咖啡"&amp;"-"&amp;$B$343&amp;"-"&amp;$C346&amp;"-"&amp;$D346,dat_nespresso_shop_ct_chl!$G:$K,4,0)</f>
        <v>0.12804878048780491</v>
      </c>
      <c r="G346" s="16">
        <f>VLOOKUP("胶囊咖啡"&amp;"-"&amp;$B$343&amp;"-"&amp;$C346&amp;"-"&amp;$D346,dat_nespresso_shop_ct_chl!$G:$K,3,0)</f>
        <v>1904</v>
      </c>
      <c r="H346" s="23">
        <f>VLOOKUP("胶囊咖啡"&amp;"-"&amp;$B$343&amp;"-"&amp;$C346&amp;"-"&amp;$D346,dat_nespresso_shop_ct_chl!$G:$K,5,0)</f>
        <v>0.13445378151260501</v>
      </c>
      <c r="I346" s="19">
        <f t="shared" si="83"/>
        <v>441.00000000000011</v>
      </c>
      <c r="J346" s="19">
        <f t="shared" si="84"/>
        <v>255.99999999999994</v>
      </c>
      <c r="L346" s="82">
        <f t="shared" si="85"/>
        <v>-0.41950113378684839</v>
      </c>
      <c r="M346" s="17">
        <f t="shared" si="86"/>
        <v>-0.44715447154471544</v>
      </c>
      <c r="N346" s="17">
        <f t="shared" si="87"/>
        <v>6.4050010248000999E-3</v>
      </c>
    </row>
    <row r="347" spans="2:17" x14ac:dyDescent="0.25">
      <c r="B347" s="281"/>
      <c r="C347" s="248" t="s">
        <v>10844</v>
      </c>
      <c r="D347" s="248" t="s">
        <v>78</v>
      </c>
      <c r="E347" s="16">
        <f>VLOOKUP("胶囊咖啡"&amp;"-"&amp;$B$343&amp;"-"&amp;$C347&amp;"-"&amp;$D347,dat_nespresso_shop_ct_chl!$G:$K,2,0)</f>
        <v>5208</v>
      </c>
      <c r="F347" s="23">
        <f>VLOOKUP("胶囊咖啡"&amp;"-"&amp;$B$343&amp;"-"&amp;$C347&amp;"-"&amp;$D347,dat_nespresso_shop_ct_chl!$G:$K,4,0)</f>
        <v>6.4324116743471577E-2</v>
      </c>
      <c r="G347" s="16">
        <f>VLOOKUP("胶囊咖啡"&amp;"-"&amp;$B$343&amp;"-"&amp;$C347&amp;"-"&amp;$D347,dat_nespresso_shop_ct_chl!$G:$K,3,0)</f>
        <v>1602</v>
      </c>
      <c r="H347" s="23">
        <f>VLOOKUP("胶囊咖啡"&amp;"-"&amp;$B$343&amp;"-"&amp;$C347&amp;"-"&amp;$D347,dat_nespresso_shop_ct_chl!$G:$K,5,0)</f>
        <v>7.990012484394507E-2</v>
      </c>
      <c r="I347" s="19">
        <f t="shared" si="83"/>
        <v>334.99999999999994</v>
      </c>
      <c r="J347" s="19">
        <f t="shared" si="84"/>
        <v>128</v>
      </c>
      <c r="L347" s="82">
        <f t="shared" si="85"/>
        <v>-0.61791044776119397</v>
      </c>
      <c r="M347" s="17">
        <f t="shared" si="86"/>
        <v>-0.69239631336405538</v>
      </c>
      <c r="N347" s="17">
        <f t="shared" si="87"/>
        <v>1.5576008100473493E-2</v>
      </c>
    </row>
    <row r="348" spans="2:17" x14ac:dyDescent="0.25">
      <c r="B348" s="281"/>
      <c r="C348" s="248" t="s">
        <v>10846</v>
      </c>
      <c r="D348" s="248" t="s">
        <v>78</v>
      </c>
      <c r="E348" s="16">
        <f>VLOOKUP("胶囊咖啡"&amp;"-"&amp;$B$343&amp;"-"&amp;$C348&amp;"-"&amp;$D348,dat_nespresso_shop_ct_chl!$G:$K,2,0)</f>
        <v>2905</v>
      </c>
      <c r="F348" s="23">
        <f>VLOOKUP("胶囊咖啡"&amp;"-"&amp;$B$343&amp;"-"&amp;$C348&amp;"-"&amp;$D348,dat_nespresso_shop_ct_chl!$G:$K,4,0)</f>
        <v>9.5697074010327024E-2</v>
      </c>
      <c r="G348" s="16">
        <f>VLOOKUP("胶囊咖啡"&amp;"-"&amp;$B$343&amp;"-"&amp;$C348&amp;"-"&amp;$D348,dat_nespresso_shop_ct_chl!$G:$K,3,0)</f>
        <v>597</v>
      </c>
      <c r="H348" s="23">
        <f>VLOOKUP("胶囊咖啡"&amp;"-"&amp;$B$343&amp;"-"&amp;$C348&amp;"-"&amp;$D348,dat_nespresso_shop_ct_chl!$G:$K,5,0)</f>
        <v>6.5326633165829151E-2</v>
      </c>
      <c r="I348" s="19">
        <f t="shared" si="83"/>
        <v>278</v>
      </c>
      <c r="J348" s="19">
        <f t="shared" si="84"/>
        <v>39</v>
      </c>
      <c r="L348" s="82">
        <f t="shared" si="85"/>
        <v>-0.85971223021582732</v>
      </c>
      <c r="M348" s="17">
        <f t="shared" si="86"/>
        <v>-0.79449225473321861</v>
      </c>
      <c r="N348" s="17">
        <f t="shared" si="87"/>
        <v>-3.0370440844497873E-2</v>
      </c>
    </row>
    <row r="349" spans="2:17" x14ac:dyDescent="0.25">
      <c r="B349" s="283"/>
      <c r="C349" s="248" t="s">
        <v>10847</v>
      </c>
      <c r="D349" s="248" t="s">
        <v>78</v>
      </c>
      <c r="E349" s="16">
        <f>VLOOKUP("胶囊咖啡"&amp;"-"&amp;$B$343&amp;"-"&amp;$C349&amp;"-"&amp;$D349,dat_nespresso_shop_ct_chl!$G:$K,2,0)</f>
        <v>188</v>
      </c>
      <c r="F349" s="23">
        <f>VLOOKUP("胶囊咖啡"&amp;"-"&amp;$B$343&amp;"-"&amp;$C349&amp;"-"&amp;$D349,dat_nespresso_shop_ct_chl!$G:$K,4,0)</f>
        <v>2.1276595744680851E-2</v>
      </c>
      <c r="G349" s="16">
        <f>VLOOKUP("胶囊咖啡"&amp;"-"&amp;$B$343&amp;"-"&amp;$C349&amp;"-"&amp;$D349,dat_nespresso_shop_ct_chl!$G:$K,3,0)</f>
        <v>61</v>
      </c>
      <c r="H349" s="23">
        <f>VLOOKUP("胶囊咖啡"&amp;"-"&amp;$B$343&amp;"-"&amp;$C349&amp;"-"&amp;$D349,dat_nespresso_shop_ct_chl!$G:$K,5,0)</f>
        <v>1.6393442622950821E-2</v>
      </c>
      <c r="I349" s="19">
        <f t="shared" si="83"/>
        <v>4</v>
      </c>
      <c r="J349" s="19">
        <f t="shared" si="84"/>
        <v>1</v>
      </c>
      <c r="L349" s="82">
        <f t="shared" si="85"/>
        <v>-0.75</v>
      </c>
      <c r="M349" s="17">
        <f t="shared" si="86"/>
        <v>-0.67553191489361697</v>
      </c>
      <c r="N349" s="17">
        <f t="shared" si="87"/>
        <v>-4.88315312173003E-3</v>
      </c>
    </row>
    <row r="352" spans="2:17" s="5" customFormat="1" ht="23.5" customHeight="1" x14ac:dyDescent="0.25">
      <c r="B352" s="270" t="s">
        <v>471</v>
      </c>
      <c r="C352" s="271"/>
      <c r="D352" s="271"/>
      <c r="E352" s="271"/>
      <c r="F352" s="271"/>
      <c r="N352" s="6"/>
      <c r="O352" s="6"/>
      <c r="P352" s="6"/>
    </row>
    <row r="354" spans="2:16" ht="16.25" customHeight="1" x14ac:dyDescent="0.25">
      <c r="B354" s="1" t="s">
        <v>472</v>
      </c>
      <c r="D354" s="20"/>
      <c r="E354" s="10" t="s">
        <v>260</v>
      </c>
      <c r="F354" s="10" t="s">
        <v>392</v>
      </c>
      <c r="G354" s="10" t="s">
        <v>390</v>
      </c>
      <c r="H354" s="10" t="s">
        <v>473</v>
      </c>
      <c r="I354" s="10" t="s">
        <v>349</v>
      </c>
      <c r="J354" s="10" t="s">
        <v>394</v>
      </c>
    </row>
    <row r="355" spans="2:16" x14ac:dyDescent="0.25">
      <c r="C355" s="295" t="s">
        <v>350</v>
      </c>
      <c r="D355" s="279"/>
      <c r="E355" s="14">
        <f>IFERROR(VLOOKUP("胶囊咖啡"&amp;"-"&amp;E354,dat_nespresso_compet!$D:$J,7,0),"")</f>
        <v>229010</v>
      </c>
      <c r="F355" s="14">
        <f>IFERROR(VLOOKUP("胶囊咖啡"&amp;"-"&amp;F354,dat_nespresso_compet!$D:$J,7,0),"")</f>
        <v>116029</v>
      </c>
      <c r="G355" s="14">
        <f>IFERROR(VLOOKUP("胶囊咖啡"&amp;"-"&amp;G354,dat_nespresso_compet!$D:$J,7,0),"")</f>
        <v>70949</v>
      </c>
      <c r="H355" s="14">
        <f>IFERROR(VLOOKUP("胶囊咖啡"&amp;"-"&amp;H354,dat_nespresso_compet!$D:$J,7,0),"")</f>
        <v>64425</v>
      </c>
      <c r="I355" s="14">
        <f>IFERROR(VLOOKUP("胶囊咖啡"&amp;"-"&amp;I354,dat_nespresso_compet!$D:$J,7,0),"")</f>
        <v>37790</v>
      </c>
      <c r="J355" s="14">
        <f>IFERROR(VLOOKUP("胶囊咖啡"&amp;"-"&amp;J354,dat_nespresso_compet!$D:$J,7,0),"")</f>
        <v>40240</v>
      </c>
    </row>
    <row r="356" spans="2:16" x14ac:dyDescent="0.25">
      <c r="D356" s="20"/>
      <c r="E356" s="20"/>
      <c r="F356" s="20"/>
      <c r="G356" s="20"/>
      <c r="H356" s="20"/>
      <c r="I356" s="20"/>
      <c r="J356" s="20"/>
    </row>
    <row r="357" spans="2:16" x14ac:dyDescent="0.25">
      <c r="C357" s="287" t="s">
        <v>351</v>
      </c>
      <c r="D357" s="22" t="s">
        <v>59</v>
      </c>
      <c r="E357" s="152">
        <f>IFERROR(VLOOKUP("胶囊咖啡"&amp;"-"&amp;E$354&amp;"-"&amp;$D357&amp;"-汇总"&amp;"-汇总",dat_nespresso_compet_chl!$H:$N,2,0),"")</f>
        <v>0.59720796031413159</v>
      </c>
      <c r="F357" s="152">
        <f>IFERROR(VLOOKUP("胶囊咖啡"&amp;"-"&amp;F$354&amp;"-"&amp;$D357&amp;"-汇总"&amp;"-汇总",dat_nespresso_compet_chl!$H:$N,2,0),"")</f>
        <v>0.65180015643629019</v>
      </c>
      <c r="G357" s="152">
        <f>IFERROR(VLOOKUP("胶囊咖啡"&amp;"-"&amp;G$354&amp;"-"&amp;$D357&amp;"-汇总"&amp;"-汇总",dat_nespresso_compet_chl!$H:$N,2,0),"")</f>
        <v>0.4897609448780067</v>
      </c>
      <c r="H357" s="152">
        <f>IFERROR(VLOOKUP("胶囊咖啡"&amp;"-"&amp;H$354&amp;"-"&amp;$D357&amp;"-汇总"&amp;"-汇总",dat_nespresso_compet_chl!$H:$N,2,0),"")</f>
        <v>0.54038397677936711</v>
      </c>
      <c r="I357" s="152">
        <f>IFERROR(VLOOKUP("胶囊咖啡"&amp;"-"&amp;I$354&amp;"-"&amp;$D357&amp;"-汇总"&amp;"-汇总",dat_nespresso_compet_chl!$H:$N,2,0),"")</f>
        <v>0.61667001764850438</v>
      </c>
      <c r="J357" s="152">
        <f>IFERROR(VLOOKUP("胶囊咖啡"&amp;"-"&amp;J$354&amp;"-"&amp;$D357&amp;"-汇总"&amp;"-汇总",dat_nespresso_compet_chl!$H:$N,2,0),"")</f>
        <v>0.5792468165808724</v>
      </c>
    </row>
    <row r="358" spans="2:16" x14ac:dyDescent="0.25">
      <c r="C358" s="283"/>
      <c r="D358" s="22" t="s">
        <v>76</v>
      </c>
      <c r="E358" s="152">
        <f>IFERROR(VLOOKUP("胶囊咖啡"&amp;"-"&amp;E$354&amp;"-"&amp;$D358&amp;"-汇总"&amp;"-汇总",dat_nespresso_compet_chl!$H:$N,2,0),"")</f>
        <v>0.40279203968586841</v>
      </c>
      <c r="F358" s="152">
        <f>IFERROR(VLOOKUP("胶囊咖啡"&amp;"-"&amp;F$354&amp;"-"&amp;$D358&amp;"-汇总"&amp;"-汇总",dat_nespresso_compet_chl!$H:$N,2,0),"")</f>
        <v>0.34819984356370981</v>
      </c>
      <c r="G358" s="152">
        <f>IFERROR(VLOOKUP("胶囊咖啡"&amp;"-"&amp;G$354&amp;"-"&amp;$D358&amp;"-汇总"&amp;"-汇总",dat_nespresso_compet_chl!$H:$N,2,0),"")</f>
        <v>0.5102390551219933</v>
      </c>
      <c r="H358" s="152">
        <f>IFERROR(VLOOKUP("胶囊咖啡"&amp;"-"&amp;H$354&amp;"-"&amp;$D358&amp;"-汇总"&amp;"-汇总",dat_nespresso_compet_chl!$H:$N,2,0),"")</f>
        <v>0.45961602322063289</v>
      </c>
      <c r="I358" s="152">
        <f>IFERROR(VLOOKUP("胶囊咖啡"&amp;"-"&amp;I$354&amp;"-"&amp;$D358&amp;"-汇总"&amp;"-汇总",dat_nespresso_compet_chl!$H:$N,2,0),"")</f>
        <v>0.38332998235149568</v>
      </c>
      <c r="J358" s="152">
        <f>IFERROR(VLOOKUP("胶囊咖啡"&amp;"-"&amp;J$354&amp;"-"&amp;$D358&amp;"-汇总"&amp;"-汇总",dat_nespresso_compet_chl!$H:$N,2,0),"")</f>
        <v>0.4207531834191276</v>
      </c>
    </row>
    <row r="359" spans="2:16" x14ac:dyDescent="0.25">
      <c r="C359" s="287" t="s">
        <v>108</v>
      </c>
      <c r="D359" s="22" t="s">
        <v>59</v>
      </c>
      <c r="E359" s="153">
        <f>IFERROR(VLOOKUP("胶囊咖啡"&amp;"-"&amp;E$354&amp;"-"&amp;$D359&amp;"-汇总"&amp;"-汇总",dat_nespresso_compet_chl!$H:$N,6,0),"")</f>
        <v>165171</v>
      </c>
      <c r="F359" s="153">
        <f>IFERROR(VLOOKUP("胶囊咖啡"&amp;"-"&amp;F$354&amp;"-"&amp;$D359&amp;"-汇总"&amp;"-汇总",dat_nespresso_compet_chl!$H:$N,6,0),"")</f>
        <v>85831</v>
      </c>
      <c r="G359" s="153">
        <f>IFERROR(VLOOKUP("胶囊咖啡"&amp;"-"&amp;G$354&amp;"-"&amp;$D359&amp;"-汇总"&amp;"-汇总",dat_nespresso_compet_chl!$H:$N,6,0),"")</f>
        <v>39725</v>
      </c>
      <c r="H359" s="153">
        <f>IFERROR(VLOOKUP("胶囊咖啡"&amp;"-"&amp;H$354&amp;"-"&amp;$D359&amp;"-汇总"&amp;"-汇总",dat_nespresso_compet_chl!$H:$N,6,0),"")</f>
        <v>43937</v>
      </c>
      <c r="I359" s="153">
        <f>IFERROR(VLOOKUP("胶囊咖啡"&amp;"-"&amp;I$354&amp;"-"&amp;$D359&amp;"-汇总"&amp;"-汇总",dat_nespresso_compet_chl!$H:$N,6,0),"")</f>
        <v>27604</v>
      </c>
      <c r="J359" s="153">
        <f>IFERROR(VLOOKUP("胶囊咖啡"&amp;"-"&amp;J$354&amp;"-"&amp;$D359&amp;"-汇总"&amp;"-汇总",dat_nespresso_compet_chl!$H:$N,6,0),"")</f>
        <v>27794</v>
      </c>
    </row>
    <row r="360" spans="2:16" x14ac:dyDescent="0.25">
      <c r="C360" s="283"/>
      <c r="D360" s="22" t="s">
        <v>76</v>
      </c>
      <c r="E360" s="153">
        <f>IFERROR(VLOOKUP("胶囊咖啡"&amp;"-"&amp;E$354&amp;"-"&amp;$D360&amp;"-汇总"&amp;"-汇总",dat_nespresso_compet_chl!$H:$N,6,0),"")</f>
        <v>111401</v>
      </c>
      <c r="F360" s="153">
        <f>IFERROR(VLOOKUP("胶囊咖啡"&amp;"-"&amp;F$354&amp;"-"&amp;$D360&amp;"-汇总"&amp;"-汇总",dat_nespresso_compet_chl!$H:$N,6,0),"")</f>
        <v>45852</v>
      </c>
      <c r="G360" s="153">
        <f>IFERROR(VLOOKUP("胶囊咖啡"&amp;"-"&amp;G$354&amp;"-"&amp;$D360&amp;"-汇总"&amp;"-汇总",dat_nespresso_compet_chl!$H:$N,6,0),"")</f>
        <v>41386</v>
      </c>
      <c r="H360" s="153">
        <f>IFERROR(VLOOKUP("胶囊咖啡"&amp;"-"&amp;H$354&amp;"-"&amp;$D360&amp;"-汇总"&amp;"-汇总",dat_nespresso_compet_chl!$H:$N,6,0),"")</f>
        <v>37370</v>
      </c>
      <c r="I360" s="153">
        <f>IFERROR(VLOOKUP("胶囊咖啡"&amp;"-"&amp;I$354&amp;"-"&amp;$D360&amp;"-汇总"&amp;"-汇总",dat_nespresso_compet_chl!$H:$N,6,0),"")</f>
        <v>17159</v>
      </c>
      <c r="J360" s="153">
        <f>IFERROR(VLOOKUP("胶囊咖啡"&amp;"-"&amp;J$354&amp;"-"&amp;$D360&amp;"-汇总"&amp;"-汇总",dat_nespresso_compet_chl!$H:$N,6,0),"")</f>
        <v>20189</v>
      </c>
    </row>
    <row r="361" spans="2:16" x14ac:dyDescent="0.25">
      <c r="C361" s="287" t="s">
        <v>21</v>
      </c>
      <c r="D361" s="22" t="s">
        <v>59</v>
      </c>
      <c r="E361" s="152">
        <f>IFERROR(VLOOKUP("胶囊咖啡"&amp;"-"&amp;E$354&amp;"-"&amp;$D361&amp;"-汇总"&amp;"-汇总",dat_nespresso_compet_chl!$H:$N,7,0),"")</f>
        <v>3.0300000000000001E-2</v>
      </c>
      <c r="F361" s="152">
        <f>IFERROR(VLOOKUP("胶囊咖啡"&amp;"-"&amp;F$354&amp;"-"&amp;$D361&amp;"-汇总"&amp;"-汇总",dat_nespresso_compet_chl!$H:$N,7,0),"")</f>
        <v>1.38E-2</v>
      </c>
      <c r="G361" s="152">
        <f>IFERROR(VLOOKUP("胶囊咖啡"&amp;"-"&amp;G$354&amp;"-"&amp;$D361&amp;"-汇总"&amp;"-汇总",dat_nespresso_compet_chl!$H:$N,7,0),"")</f>
        <v>3.8800000000000001E-2</v>
      </c>
      <c r="H361" s="152">
        <f>IFERROR(VLOOKUP("胶囊咖啡"&amp;"-"&amp;H$354&amp;"-"&amp;$D361&amp;"-汇总"&amp;"-汇总",dat_nespresso_compet_chl!$H:$N,7,0),"")</f>
        <v>7.7299999999999994E-2</v>
      </c>
      <c r="I361" s="152">
        <f>IFERROR(VLOOKUP("胶囊咖啡"&amp;"-"&amp;I$354&amp;"-"&amp;$D361&amp;"-汇总"&amp;"-汇总",dat_nespresso_compet_chl!$H:$N,7,0),"")</f>
        <v>5.9900000000000002E-2</v>
      </c>
      <c r="J361" s="152">
        <f>IFERROR(VLOOKUP("胶囊咖啡"&amp;"-"&amp;J$354&amp;"-"&amp;$D361&amp;"-汇总"&amp;"-汇总",dat_nespresso_compet_chl!$H:$N,7,0),"")</f>
        <v>6.0600000000000001E-2</v>
      </c>
    </row>
    <row r="362" spans="2:16" x14ac:dyDescent="0.25">
      <c r="C362" s="283"/>
      <c r="D362" s="22" t="s">
        <v>76</v>
      </c>
      <c r="E362" s="152">
        <f>IFERROR(VLOOKUP("胶囊咖啡"&amp;"-"&amp;E$354&amp;"-"&amp;$D362&amp;"-汇总"&amp;"-汇总",dat_nespresso_compet_chl!$H:$N,7,0),"")</f>
        <v>0.1173</v>
      </c>
      <c r="F362" s="152">
        <f>IFERROR(VLOOKUP("胶囊咖啡"&amp;"-"&amp;F$354&amp;"-"&amp;$D362&amp;"-汇总"&amp;"-汇总",dat_nespresso_compet_chl!$H:$N,7,0),"")</f>
        <v>4.7500000000000001E-2</v>
      </c>
      <c r="G362" s="152">
        <f>IFERROR(VLOOKUP("胶囊咖啡"&amp;"-"&amp;G$354&amp;"-"&amp;$D362&amp;"-汇总"&amp;"-汇总",dat_nespresso_compet_chl!$H:$N,7,0),"")</f>
        <v>6.8599999999999994E-2</v>
      </c>
      <c r="H362" s="152">
        <f>IFERROR(VLOOKUP("胶囊咖啡"&amp;"-"&amp;H$354&amp;"-"&amp;$D362&amp;"-汇总"&amp;"-汇总",dat_nespresso_compet_chl!$H:$N,7,0),"")</f>
        <v>0.15040000000000001</v>
      </c>
      <c r="I362" s="152">
        <f>IFERROR(VLOOKUP("胶囊咖啡"&amp;"-"&amp;I$354&amp;"-"&amp;$D362&amp;"-汇总"&amp;"-汇总",dat_nespresso_compet_chl!$H:$N,7,0),"")</f>
        <v>0.17660000000000001</v>
      </c>
      <c r="J362" s="152">
        <f>IFERROR(VLOOKUP("胶囊咖啡"&amp;"-"&amp;J$354&amp;"-"&amp;$D362&amp;"-汇总"&amp;"-汇总",dat_nespresso_compet_chl!$H:$N,7,0),"")</f>
        <v>0.13150000000000001</v>
      </c>
      <c r="K362" s="4"/>
      <c r="L362" s="4"/>
      <c r="M362" s="4"/>
      <c r="N362" s="4"/>
    </row>
    <row r="363" spans="2:16" x14ac:dyDescent="0.25">
      <c r="E363" s="130"/>
      <c r="F363" s="130"/>
      <c r="G363" s="130"/>
      <c r="H363" s="130"/>
      <c r="I363" s="130"/>
      <c r="J363" s="130"/>
      <c r="K363" s="4"/>
      <c r="L363" s="4"/>
      <c r="M363" s="4"/>
      <c r="N363" s="4"/>
    </row>
    <row r="364" spans="2:16" x14ac:dyDescent="0.25">
      <c r="B364" s="1" t="s">
        <v>76</v>
      </c>
      <c r="D364" s="4"/>
      <c r="K364" s="4"/>
      <c r="L364" s="4"/>
      <c r="M364" s="4"/>
      <c r="N364" s="4"/>
    </row>
    <row r="365" spans="2:16" s="147" customFormat="1" ht="16.25" customHeight="1" x14ac:dyDescent="0.25">
      <c r="C365" s="4"/>
      <c r="D365" s="22" t="s">
        <v>48</v>
      </c>
      <c r="E365" s="287" t="s">
        <v>351</v>
      </c>
      <c r="F365" s="273"/>
      <c r="G365" s="273"/>
      <c r="H365" s="273"/>
      <c r="I365" s="273"/>
      <c r="J365" s="274"/>
      <c r="K365" s="4"/>
      <c r="L365" s="4"/>
      <c r="M365" s="4"/>
      <c r="N365" s="4"/>
      <c r="O365" s="1"/>
      <c r="P365" s="1"/>
    </row>
    <row r="366" spans="2:16" x14ac:dyDescent="0.25">
      <c r="C366" s="287" t="s">
        <v>76</v>
      </c>
      <c r="D366" s="22" t="str">
        <f t="shared" ref="D366:D372" si="88">C343</f>
        <v>手淘搜索</v>
      </c>
      <c r="E366" s="152">
        <f>IFERROR(VLOOKUP("胶囊咖啡"&amp;"-"&amp;E$354&amp;"-"&amp;$C$366&amp;"-"&amp;$D366&amp;"-汇总",dat_nespresso_compet_chl!$H:$N,4,0),"")</f>
        <v>0.37143293148176409</v>
      </c>
      <c r="F366" s="152">
        <f>IFERROR(VLOOKUP("胶囊咖啡"&amp;"-"&amp;F$354&amp;"-"&amp;$C$366&amp;"-"&amp;$D366&amp;"-汇总",dat_nespresso_compet_chl!$H:$N,4,0),"")</f>
        <v>0.21907441332984379</v>
      </c>
      <c r="G366" s="152">
        <f>IFERROR(VLOOKUP("胶囊咖啡"&amp;"-"&amp;G$354&amp;"-"&amp;$C$366&amp;"-"&amp;$D366&amp;"-汇总",dat_nespresso_compet_chl!$H:$N,4,0),"")</f>
        <v>0.36681486493016963</v>
      </c>
      <c r="H366" s="152">
        <f>IFERROR(VLOOKUP("胶囊咖啡"&amp;"-"&amp;H$354&amp;"-"&amp;$C$366&amp;"-"&amp;$D366&amp;"-汇总",dat_nespresso_compet_chl!$H:$N,4,0),"")</f>
        <v>0.43872089911693868</v>
      </c>
      <c r="I366" s="152">
        <f>IFERROR(VLOOKUP("胶囊咖啡"&amp;"-"&amp;I$354&amp;"-"&amp;$C$366&amp;"-"&amp;$D366&amp;"-汇总",dat_nespresso_compet_chl!$H:$N,4,0),"")</f>
        <v>0.35386677545311501</v>
      </c>
      <c r="J366" s="152">
        <f>IFERROR(VLOOKUP("胶囊咖啡"&amp;"-"&amp;J$354&amp;"-"&amp;$C$366&amp;"-"&amp;$D366&amp;"-汇总",dat_nespresso_compet_chl!$H:$N,4,0),"")</f>
        <v>0.32052107583337458</v>
      </c>
      <c r="K366" s="4"/>
      <c r="L366" s="4"/>
      <c r="M366" s="4"/>
      <c r="N366" s="4"/>
    </row>
    <row r="367" spans="2:16" x14ac:dyDescent="0.25">
      <c r="C367" s="281"/>
      <c r="D367" s="22" t="str">
        <f t="shared" si="88"/>
        <v>手淘推荐</v>
      </c>
      <c r="E367" s="152">
        <f>IFERROR(VLOOKUP("胶囊咖啡"&amp;"-"&amp;E$354&amp;"-"&amp;$C$366&amp;"-"&amp;$D367&amp;"-汇总",dat_nespresso_compet_chl!$H:$N,4,0),"")</f>
        <v>6.5187924704446107E-2</v>
      </c>
      <c r="F367" s="152">
        <f>IFERROR(VLOOKUP("胶囊咖啡"&amp;"-"&amp;F$354&amp;"-"&amp;$C$366&amp;"-"&amp;$D367&amp;"-汇总",dat_nespresso_compet_chl!$H:$N,4,0),"")</f>
        <v>6.5275233359504498E-2</v>
      </c>
      <c r="G367" s="152">
        <f>IFERROR(VLOOKUP("胶囊咖啡"&amp;"-"&amp;G$354&amp;"-"&amp;$C$366&amp;"-"&amp;$D367&amp;"-汇总",dat_nespresso_compet_chl!$H:$N,4,0),"")</f>
        <v>9.1552698980331512E-2</v>
      </c>
      <c r="H367" s="152">
        <f>IFERROR(VLOOKUP("胶囊咖啡"&amp;"-"&amp;H$354&amp;"-"&amp;$C$366&amp;"-"&amp;$D367&amp;"-汇总",dat_nespresso_compet_chl!$H:$N,4,0),"")</f>
        <v>0.1016858442601017</v>
      </c>
      <c r="I367" s="152">
        <f>IFERROR(VLOOKUP("胶囊咖啡"&amp;"-"&amp;I$354&amp;"-"&amp;$C$366&amp;"-"&amp;$D367&amp;"-汇总",dat_nespresso_compet_chl!$H:$N,4,0),"")</f>
        <v>9.3770033218719046E-2</v>
      </c>
      <c r="J367" s="152">
        <f>IFERROR(VLOOKUP("胶囊咖啡"&amp;"-"&amp;J$354&amp;"-"&amp;$C$366&amp;"-"&amp;$D367&amp;"-汇总",dat_nespresso_compet_chl!$H:$N,4,0),"")</f>
        <v>0.26965179057902822</v>
      </c>
      <c r="K367" s="4"/>
      <c r="L367" s="4"/>
      <c r="M367" s="4"/>
      <c r="N367" s="4"/>
    </row>
    <row r="368" spans="2:16" x14ac:dyDescent="0.25">
      <c r="C368" s="281"/>
      <c r="D368" s="22" t="str">
        <f t="shared" si="88"/>
        <v>天猫榜单</v>
      </c>
      <c r="E368" s="152">
        <f>IFERROR(VLOOKUP("胶囊咖啡"&amp;"-"&amp;E$354&amp;"-"&amp;$C$366&amp;"-"&amp;$D368&amp;"-汇总",dat_nespresso_compet_chl!$H:$N,4,0),"")</f>
        <v>2.768377303614869E-2</v>
      </c>
      <c r="F368" s="152">
        <f>IFERROR(VLOOKUP("胶囊咖啡"&amp;"-"&amp;F$354&amp;"-"&amp;$C$366&amp;"-"&amp;$D368&amp;"-汇总",dat_nespresso_compet_chl!$H:$N,4,0),"")</f>
        <v>1.5920788624269391E-2</v>
      </c>
      <c r="G368" s="152">
        <f>IFERROR(VLOOKUP("胶囊咖啡"&amp;"-"&amp;G$354&amp;"-"&amp;$C$366&amp;"-"&amp;$D368&amp;"-汇总",dat_nespresso_compet_chl!$H:$N,4,0),"")</f>
        <v>3.4891025950804622E-2</v>
      </c>
      <c r="H368" s="152">
        <f>IFERROR(VLOOKUP("胶囊咖啡"&amp;"-"&amp;H$354&amp;"-"&amp;$C$366&amp;"-"&amp;$D368&amp;"-汇总",dat_nespresso_compet_chl!$H:$N,4,0),"")</f>
        <v>5.3304789938453313E-2</v>
      </c>
      <c r="I368" s="152">
        <f>IFERROR(VLOOKUP("胶囊咖啡"&amp;"-"&amp;I$354&amp;"-"&amp;$C$366&amp;"-"&amp;$D368&amp;"-汇总",dat_nespresso_compet_chl!$H:$N,4,0),"")</f>
        <v>1.7774928608893289E-2</v>
      </c>
      <c r="J368" s="152">
        <f>IFERROR(VLOOKUP("胶囊咖啡"&amp;"-"&amp;J$354&amp;"-"&amp;$C$366&amp;"-"&amp;$D368&amp;"-汇总",dat_nespresso_compet_chl!$H:$N,4,0),"")</f>
        <v>1.8227747783446432E-2</v>
      </c>
      <c r="K368" s="4"/>
      <c r="L368" s="4"/>
      <c r="M368" s="4"/>
      <c r="N368" s="4"/>
    </row>
    <row r="369" spans="3:14" x14ac:dyDescent="0.25">
      <c r="C369" s="281"/>
      <c r="D369" s="22" t="str">
        <f t="shared" si="88"/>
        <v>手机天猫</v>
      </c>
      <c r="E369" s="152">
        <f>IFERROR(VLOOKUP("胶囊咖啡"&amp;"-"&amp;E$354&amp;"-"&amp;$C$366&amp;"-"&amp;$D369&amp;"-汇总",dat_nespresso_compet_chl!$H:$N,4,0),"")</f>
        <v>1.7082431935081369E-2</v>
      </c>
      <c r="F369" s="152">
        <f>IFERROR(VLOOKUP("胶囊咖啡"&amp;"-"&amp;F$354&amp;"-"&amp;$C$366&amp;"-"&amp;$D369&amp;"-汇总",dat_nespresso_compet_chl!$H:$N,4,0),"")</f>
        <v>6.3901247491930562E-3</v>
      </c>
      <c r="G369" s="152">
        <f>IFERROR(VLOOKUP("胶囊咖啡"&amp;"-"&amp;G$354&amp;"-"&amp;$C$366&amp;"-"&amp;$D369&amp;"-汇总",dat_nespresso_compet_chl!$H:$N,4,0),"")</f>
        <v>2.2398878847919589E-2</v>
      </c>
      <c r="H369" s="152">
        <f>IFERROR(VLOOKUP("胶囊咖啡"&amp;"-"&amp;H$354&amp;"-"&amp;$C$366&amp;"-"&amp;$D369&amp;"-汇总",dat_nespresso_compet_chl!$H:$N,4,0),"")</f>
        <v>1.222906074391223E-2</v>
      </c>
      <c r="I369" s="152">
        <f>IFERROR(VLOOKUP("胶囊咖啡"&amp;"-"&amp;I$354&amp;"-"&amp;$C$366&amp;"-"&amp;$D369&amp;"-汇总",dat_nespresso_compet_chl!$H:$N,4,0),"")</f>
        <v>1.7308700973250189E-2</v>
      </c>
      <c r="J369" s="152">
        <f>IFERROR(VLOOKUP("胶囊咖啡"&amp;"-"&amp;J$354&amp;"-"&amp;$C$366&amp;"-"&amp;$D369&amp;"-汇总",dat_nespresso_compet_chl!$H:$N,4,0),"")</f>
        <v>1.6494130467086039E-2</v>
      </c>
      <c r="K369" s="4"/>
      <c r="L369" s="4"/>
      <c r="M369" s="4"/>
      <c r="N369" s="4"/>
    </row>
    <row r="370" spans="3:14" x14ac:dyDescent="0.25">
      <c r="C370" s="281"/>
      <c r="D370" s="22" t="str">
        <f t="shared" si="88"/>
        <v>手淘其他店铺</v>
      </c>
      <c r="E370" s="152">
        <f>IFERROR(VLOOKUP("胶囊咖啡"&amp;"-"&amp;E$354&amp;"-"&amp;$C$366&amp;"-"&amp;$D370&amp;"-汇总",dat_nespresso_compet_chl!$H:$N,4,0),"")</f>
        <v>1.437150474412258E-2</v>
      </c>
      <c r="F370" s="152">
        <f>IFERROR(VLOOKUP("胶囊咖啡"&amp;"-"&amp;F$354&amp;"-"&amp;$C$366&amp;"-"&amp;$D370&amp;"-汇总",dat_nespresso_compet_chl!$H:$N,4,0),"")</f>
        <v>5.2974788449794988E-2</v>
      </c>
      <c r="G370" s="152">
        <f>IFERROR(VLOOKUP("胶囊咖啡"&amp;"-"&amp;G$354&amp;"-"&amp;$C$366&amp;"-"&amp;$D370&amp;"-汇总",dat_nespresso_compet_chl!$H:$N,4,0),"")</f>
        <v>1.768714057893974E-2</v>
      </c>
      <c r="H370" s="152">
        <f>IFERROR(VLOOKUP("胶囊咖啡"&amp;"-"&amp;H$354&amp;"-"&amp;$C$366&amp;"-"&amp;$D370&amp;"-汇总",dat_nespresso_compet_chl!$H:$N,4,0),"")</f>
        <v>2.2718758362322719E-2</v>
      </c>
      <c r="I370" s="152">
        <f>IFERROR(VLOOKUP("胶囊咖啡"&amp;"-"&amp;I$354&amp;"-"&amp;$C$366&amp;"-"&amp;$D370&amp;"-汇总",dat_nespresso_compet_chl!$H:$N,4,0),"")</f>
        <v>3.0363074771257069E-2</v>
      </c>
      <c r="J370" s="152">
        <f>IFERROR(VLOOKUP("胶囊咖啡"&amp;"-"&amp;J$354&amp;"-"&amp;$C$366&amp;"-"&amp;$D370&amp;"-汇总",dat_nespresso_compet_chl!$H:$N,4,0),"")</f>
        <v>3.4077963247312902E-2</v>
      </c>
      <c r="K370" s="4"/>
      <c r="L370" s="4"/>
      <c r="M370" s="4"/>
      <c r="N370" s="4"/>
    </row>
    <row r="371" spans="3:14" x14ac:dyDescent="0.25">
      <c r="C371" s="281"/>
      <c r="D371" s="22" t="str">
        <f t="shared" si="88"/>
        <v>大促会场</v>
      </c>
      <c r="E371" s="152">
        <f>IFERROR(VLOOKUP("胶囊咖啡"&amp;"-"&amp;E$354&amp;"-"&amp;$C$366&amp;"-"&amp;$D371&amp;"-汇总",dat_nespresso_compet_chl!$H:$N,4,0),"")</f>
        <v>5.3500417410974766E-3</v>
      </c>
      <c r="F371" s="152">
        <f>IFERROR(VLOOKUP("胶囊咖啡"&amp;"-"&amp;F$354&amp;"-"&amp;$C$366&amp;"-"&amp;$D371&amp;"-汇总",dat_nespresso_compet_chl!$H:$N,4,0),"")</f>
        <v>1.701125359853441E-3</v>
      </c>
      <c r="G371" s="152">
        <f>IFERROR(VLOOKUP("胶囊咖啡"&amp;"-"&amp;G$354&amp;"-"&amp;$C$366&amp;"-"&amp;$D371&amp;"-汇总",dat_nespresso_compet_chl!$H:$N,4,0),"")</f>
        <v>5.9923645677282169E-3</v>
      </c>
      <c r="H371" s="152">
        <f>IFERROR(VLOOKUP("胶囊咖啡"&amp;"-"&amp;H$354&amp;"-"&amp;$C$366&amp;"-"&amp;$D371&amp;"-汇总",dat_nespresso_compet_chl!$H:$N,4,0),"")</f>
        <v>8.0010703773080016E-3</v>
      </c>
      <c r="I371" s="152">
        <f>IFERROR(VLOOKUP("胶囊咖啡"&amp;"-"&amp;I$354&amp;"-"&amp;$C$366&amp;"-"&amp;$D371&amp;"-汇总",dat_nespresso_compet_chl!$H:$N,4,0),"")</f>
        <v>5.1867824465295182E-3</v>
      </c>
      <c r="J371" s="152">
        <f>IFERROR(VLOOKUP("胶囊咖啡"&amp;"-"&amp;J$354&amp;"-"&amp;$C$366&amp;"-"&amp;$D371&amp;"-汇总",dat_nespresso_compet_chl!$H:$N,4,0),"")</f>
        <v>7.578384268661152E-3</v>
      </c>
      <c r="K371" s="4"/>
      <c r="L371" s="4"/>
      <c r="M371" s="4"/>
      <c r="N371" s="4"/>
    </row>
    <row r="372" spans="3:14" x14ac:dyDescent="0.25">
      <c r="C372" s="283"/>
      <c r="D372" s="22" t="str">
        <f t="shared" si="88"/>
        <v>淘宝特价版</v>
      </c>
      <c r="E372" s="152">
        <f>IFERROR(VLOOKUP("胶囊咖啡"&amp;"-"&amp;E$354&amp;"-"&amp;$C$366&amp;"-"&amp;$D372&amp;"-汇总",dat_nespresso_compet_chl!$H:$N,4,0),"")</f>
        <v>5.3859480615075269E-4</v>
      </c>
      <c r="F372" s="152">
        <f>IFERROR(VLOOKUP("胶囊咖啡"&amp;"-"&amp;F$354&amp;"-"&amp;$C$366&amp;"-"&amp;$D372&amp;"-汇总",dat_nespresso_compet_chl!$H:$N,4,0),"")</f>
        <v>4.5799528919131119E-4</v>
      </c>
      <c r="G372" s="152">
        <f>IFERROR(VLOOKUP("胶囊咖啡"&amp;"-"&amp;G$354&amp;"-"&amp;$C$366&amp;"-"&amp;$D372&amp;"-汇总",dat_nespresso_compet_chl!$H:$N,4,0),"")</f>
        <v>4.1076692601362777E-4</v>
      </c>
      <c r="H372" s="152">
        <f>IFERROR(VLOOKUP("胶囊咖啡"&amp;"-"&amp;H$354&amp;"-"&amp;$C$366&amp;"-"&amp;$D372&amp;"-汇总",dat_nespresso_compet_chl!$H:$N,4,0),"")</f>
        <v>1.605565962001606E-4</v>
      </c>
      <c r="I372" s="152">
        <f>IFERROR(VLOOKUP("胶囊咖啡"&amp;"-"&amp;I$354&amp;"-"&amp;$C$366&amp;"-"&amp;$D372&amp;"-汇总",dat_nespresso_compet_chl!$H:$N,4,0),"")</f>
        <v>8.1589836237542981E-4</v>
      </c>
      <c r="J372" s="152">
        <f>IFERROR(VLOOKUP("胶囊咖啡"&amp;"-"&amp;J$354&amp;"-"&amp;$C$366&amp;"-"&amp;$D372&amp;"-汇总",dat_nespresso_compet_chl!$H:$N,4,0),"")</f>
        <v>4.9531923324582698E-4</v>
      </c>
      <c r="K372" s="4"/>
      <c r="L372" s="4"/>
      <c r="M372" s="4"/>
      <c r="N372" s="4"/>
    </row>
    <row r="373" spans="3:14" x14ac:dyDescent="0.25">
      <c r="C373" s="4"/>
      <c r="D373" s="22"/>
      <c r="E373" s="287" t="s">
        <v>108</v>
      </c>
      <c r="F373" s="273"/>
      <c r="G373" s="273"/>
      <c r="H373" s="273"/>
      <c r="I373" s="273"/>
      <c r="J373" s="274"/>
      <c r="K373" s="4"/>
      <c r="L373" s="4"/>
      <c r="M373" s="4"/>
      <c r="N373" s="4"/>
    </row>
    <row r="374" spans="3:14" x14ac:dyDescent="0.25">
      <c r="C374" s="287" t="s">
        <v>76</v>
      </c>
      <c r="D374" s="22" t="str">
        <f t="shared" ref="D374:D380" si="89">C343</f>
        <v>手淘搜索</v>
      </c>
      <c r="E374" s="153">
        <f>IFERROR(VLOOKUP("胶囊咖啡"&amp;"-"&amp;E$354&amp;"-"&amp;$C$374&amp;"-"&amp;$D374&amp;"-汇总",dat_nespresso_compet_chl!$H:$N,6,0),"")</f>
        <v>41378</v>
      </c>
      <c r="F374" s="153">
        <f>IFERROR(VLOOKUP("胶囊咖啡"&amp;"-"&amp;F$354&amp;"-"&amp;$C$374&amp;"-"&amp;$D374&amp;"-汇总",dat_nespresso_compet_chl!$H:$N,6,0),"")</f>
        <v>10045</v>
      </c>
      <c r="G374" s="153">
        <f>IFERROR(VLOOKUP("胶囊咖啡"&amp;"-"&amp;G$354&amp;"-"&amp;$C$374&amp;"-"&amp;$D374&amp;"-汇总",dat_nespresso_compet_chl!$H:$N,6,0),"")</f>
        <v>15181</v>
      </c>
      <c r="H374" s="153">
        <f>IFERROR(VLOOKUP("胶囊咖啡"&amp;"-"&amp;H$354&amp;"-"&amp;$C$374&amp;"-"&amp;$D374&amp;"-汇总",dat_nespresso_compet_chl!$H:$N,6,0),"")</f>
        <v>16395</v>
      </c>
      <c r="I374" s="153">
        <f>IFERROR(VLOOKUP("胶囊咖啡"&amp;"-"&amp;I$354&amp;"-"&amp;$C$374&amp;"-"&amp;$D374&amp;"-汇总",dat_nespresso_compet_chl!$H:$N,6,0),"")</f>
        <v>6072</v>
      </c>
      <c r="J374" s="153">
        <f>IFERROR(VLOOKUP("胶囊咖啡"&amp;"-"&amp;J$354&amp;"-"&amp;$C$374&amp;"-"&amp;$D374&amp;"-汇总",dat_nespresso_compet_chl!$H:$N,6,0),"")</f>
        <v>6471</v>
      </c>
      <c r="K374" s="4"/>
      <c r="L374" s="4"/>
      <c r="M374" s="4"/>
      <c r="N374" s="4"/>
    </row>
    <row r="375" spans="3:14" x14ac:dyDescent="0.25">
      <c r="C375" s="281"/>
      <c r="D375" s="22" t="str">
        <f t="shared" si="89"/>
        <v>手淘推荐</v>
      </c>
      <c r="E375" s="153">
        <f>IFERROR(VLOOKUP("胶囊咖啡"&amp;"-"&amp;E$354&amp;"-"&amp;$C$374&amp;"-"&amp;$D375&amp;"-汇总",dat_nespresso_compet_chl!$H:$N,6,0),"")</f>
        <v>7262</v>
      </c>
      <c r="F375" s="153">
        <f>IFERROR(VLOOKUP("胶囊咖啡"&amp;"-"&amp;F$354&amp;"-"&amp;$C$374&amp;"-"&amp;$D375&amp;"-汇总",dat_nespresso_compet_chl!$H:$N,6,0),"")</f>
        <v>2993</v>
      </c>
      <c r="G375" s="153">
        <f>IFERROR(VLOOKUP("胶囊咖啡"&amp;"-"&amp;G$354&amp;"-"&amp;$C$374&amp;"-"&amp;$D375&amp;"-汇总",dat_nespresso_compet_chl!$H:$N,6,0),"")</f>
        <v>3789</v>
      </c>
      <c r="H375" s="153">
        <f>IFERROR(VLOOKUP("胶囊咖啡"&amp;"-"&amp;H$354&amp;"-"&amp;$C$374&amp;"-"&amp;$D375&amp;"-汇总",dat_nespresso_compet_chl!$H:$N,6,0),"")</f>
        <v>3800</v>
      </c>
      <c r="I375" s="153">
        <f>IFERROR(VLOOKUP("胶囊咖啡"&amp;"-"&amp;I$354&amp;"-"&amp;$C$374&amp;"-"&amp;$D375&amp;"-汇总",dat_nespresso_compet_chl!$H:$N,6,0),"")</f>
        <v>1609</v>
      </c>
      <c r="J375" s="153">
        <f>IFERROR(VLOOKUP("胶囊咖啡"&amp;"-"&amp;J$354&amp;"-"&amp;$C$374&amp;"-"&amp;$D375&amp;"-汇总",dat_nespresso_compet_chl!$H:$N,6,0),"")</f>
        <v>5444</v>
      </c>
      <c r="K375" s="4"/>
      <c r="L375" s="4"/>
      <c r="M375" s="4"/>
      <c r="N375" s="4"/>
    </row>
    <row r="376" spans="3:14" x14ac:dyDescent="0.25">
      <c r="C376" s="281"/>
      <c r="D376" s="22" t="str">
        <f t="shared" si="89"/>
        <v>天猫榜单</v>
      </c>
      <c r="E376" s="153">
        <f>IFERROR(VLOOKUP("胶囊咖啡"&amp;"-"&amp;E$354&amp;"-"&amp;$C$374&amp;"-"&amp;$D376&amp;"-汇总",dat_nespresso_compet_chl!$H:$N,6,0),"")</f>
        <v>3084</v>
      </c>
      <c r="F376" s="153">
        <f>IFERROR(VLOOKUP("胶囊咖啡"&amp;"-"&amp;F$354&amp;"-"&amp;$C$374&amp;"-"&amp;$D376&amp;"-汇总",dat_nespresso_compet_chl!$H:$N,6,0),"")</f>
        <v>730</v>
      </c>
      <c r="G376" s="153">
        <f>IFERROR(VLOOKUP("胶囊咖啡"&amp;"-"&amp;G$354&amp;"-"&amp;$C$374&amp;"-"&amp;$D376&amp;"-汇总",dat_nespresso_compet_chl!$H:$N,6,0),"")</f>
        <v>1444</v>
      </c>
      <c r="H376" s="153">
        <f>IFERROR(VLOOKUP("胶囊咖啡"&amp;"-"&amp;H$354&amp;"-"&amp;$C$374&amp;"-"&amp;$D376&amp;"-汇总",dat_nespresso_compet_chl!$H:$N,6,0),"")</f>
        <v>1992</v>
      </c>
      <c r="I376" s="153">
        <f>IFERROR(VLOOKUP("胶囊咖啡"&amp;"-"&amp;I$354&amp;"-"&amp;$C$374&amp;"-"&amp;$D376&amp;"-汇总",dat_nespresso_compet_chl!$H:$N,6,0),"")</f>
        <v>305</v>
      </c>
      <c r="J376" s="153">
        <f>IFERROR(VLOOKUP("胶囊咖啡"&amp;"-"&amp;J$354&amp;"-"&amp;$C$374&amp;"-"&amp;$D376&amp;"-汇总",dat_nespresso_compet_chl!$H:$N,6,0),"")</f>
        <v>368</v>
      </c>
      <c r="K376" s="4"/>
      <c r="L376" s="4"/>
      <c r="M376" s="4"/>
      <c r="N376" s="4"/>
    </row>
    <row r="377" spans="3:14" x14ac:dyDescent="0.25">
      <c r="C377" s="281"/>
      <c r="D377" s="22" t="str">
        <f t="shared" si="89"/>
        <v>手机天猫</v>
      </c>
      <c r="E377" s="153">
        <f>IFERROR(VLOOKUP("胶囊咖啡"&amp;"-"&amp;E$354&amp;"-"&amp;$C$374&amp;"-"&amp;$D377&amp;"-汇总",dat_nespresso_compet_chl!$H:$N,6,0),"")</f>
        <v>1903</v>
      </c>
      <c r="F377" s="153">
        <f>IFERROR(VLOOKUP("胶囊咖啡"&amp;"-"&amp;F$354&amp;"-"&amp;$C$374&amp;"-"&amp;$D377&amp;"-汇总",dat_nespresso_compet_chl!$H:$N,6,0),"")</f>
        <v>293</v>
      </c>
      <c r="G377" s="153">
        <f>IFERROR(VLOOKUP("胶囊咖啡"&amp;"-"&amp;G$354&amp;"-"&amp;$C$374&amp;"-"&amp;$D377&amp;"-汇总",dat_nespresso_compet_chl!$H:$N,6,0),"")</f>
        <v>927</v>
      </c>
      <c r="H377" s="153">
        <f>IFERROR(VLOOKUP("胶囊咖啡"&amp;"-"&amp;H$354&amp;"-"&amp;$C$374&amp;"-"&amp;$D377&amp;"-汇总",dat_nespresso_compet_chl!$H:$N,6,0),"")</f>
        <v>457</v>
      </c>
      <c r="I377" s="153">
        <f>IFERROR(VLOOKUP("胶囊咖啡"&amp;"-"&amp;I$354&amp;"-"&amp;$C$374&amp;"-"&amp;$D377&amp;"-汇总",dat_nespresso_compet_chl!$H:$N,6,0),"")</f>
        <v>297</v>
      </c>
      <c r="J377" s="153">
        <f>IFERROR(VLOOKUP("胶囊咖啡"&amp;"-"&amp;J$354&amp;"-"&amp;$C$374&amp;"-"&amp;$D377&amp;"-汇总",dat_nespresso_compet_chl!$H:$N,6,0),"")</f>
        <v>333</v>
      </c>
      <c r="K377" s="4"/>
      <c r="L377" s="4"/>
      <c r="M377" s="4"/>
      <c r="N377" s="4"/>
    </row>
    <row r="378" spans="3:14" x14ac:dyDescent="0.25">
      <c r="C378" s="281"/>
      <c r="D378" s="22" t="str">
        <f t="shared" si="89"/>
        <v>手淘其他店铺</v>
      </c>
      <c r="E378" s="153">
        <f>IFERROR(VLOOKUP("胶囊咖啡"&amp;"-"&amp;E$354&amp;"-"&amp;$C$374&amp;"-"&amp;$D378&amp;"-汇总",dat_nespresso_compet_chl!$H:$N,6,0),"")</f>
        <v>1601</v>
      </c>
      <c r="F378" s="153">
        <f>IFERROR(VLOOKUP("胶囊咖啡"&amp;"-"&amp;F$354&amp;"-"&amp;$C$374&amp;"-"&amp;$D378&amp;"-汇总",dat_nespresso_compet_chl!$H:$N,6,0),"")</f>
        <v>2429</v>
      </c>
      <c r="G378" s="153">
        <f>IFERROR(VLOOKUP("胶囊咖啡"&amp;"-"&amp;G$354&amp;"-"&amp;$C$374&amp;"-"&amp;$D378&amp;"-汇总",dat_nespresso_compet_chl!$H:$N,6,0),"")</f>
        <v>732</v>
      </c>
      <c r="H378" s="153">
        <f>IFERROR(VLOOKUP("胶囊咖啡"&amp;"-"&amp;H$354&amp;"-"&amp;$C$374&amp;"-"&amp;$D378&amp;"-汇总",dat_nespresso_compet_chl!$H:$N,6,0),"")</f>
        <v>849</v>
      </c>
      <c r="I378" s="153">
        <f>IFERROR(VLOOKUP("胶囊咖啡"&amp;"-"&amp;I$354&amp;"-"&amp;$C$374&amp;"-"&amp;$D378&amp;"-汇总",dat_nespresso_compet_chl!$H:$N,6,0),"")</f>
        <v>521</v>
      </c>
      <c r="J378" s="153">
        <f>IFERROR(VLOOKUP("胶囊咖啡"&amp;"-"&amp;J$354&amp;"-"&amp;$C$374&amp;"-"&amp;$D378&amp;"-汇总",dat_nespresso_compet_chl!$H:$N,6,0),"")</f>
        <v>688</v>
      </c>
      <c r="K378" s="4"/>
      <c r="L378" s="4"/>
      <c r="M378" s="4"/>
      <c r="N378" s="4"/>
    </row>
    <row r="379" spans="3:14" x14ac:dyDescent="0.25">
      <c r="C379" s="281"/>
      <c r="D379" s="22" t="str">
        <f t="shared" si="89"/>
        <v>大促会场</v>
      </c>
      <c r="E379" s="153">
        <f>IFERROR(VLOOKUP("胶囊咖啡"&amp;"-"&amp;E$354&amp;"-"&amp;$C$374&amp;"-"&amp;$D379&amp;"-汇总",dat_nespresso_compet_chl!$H:$N,6,0),"")</f>
        <v>596</v>
      </c>
      <c r="F379" s="153">
        <f>IFERROR(VLOOKUP("胶囊咖啡"&amp;"-"&amp;F$354&amp;"-"&amp;$C$374&amp;"-"&amp;$D379&amp;"-汇总",dat_nespresso_compet_chl!$H:$N,6,0),"")</f>
        <v>78</v>
      </c>
      <c r="G379" s="153">
        <f>IFERROR(VLOOKUP("胶囊咖啡"&amp;"-"&amp;G$354&amp;"-"&amp;$C$374&amp;"-"&amp;$D379&amp;"-汇总",dat_nespresso_compet_chl!$H:$N,6,0),"")</f>
        <v>248</v>
      </c>
      <c r="H379" s="153">
        <f>IFERROR(VLOOKUP("胶囊咖啡"&amp;"-"&amp;H$354&amp;"-"&amp;$C$374&amp;"-"&amp;$D379&amp;"-汇总",dat_nespresso_compet_chl!$H:$N,6,0),"")</f>
        <v>299</v>
      </c>
      <c r="I379" s="153">
        <f>IFERROR(VLOOKUP("胶囊咖啡"&amp;"-"&amp;I$354&amp;"-"&amp;$C$374&amp;"-"&amp;$D379&amp;"-汇总",dat_nespresso_compet_chl!$H:$N,6,0),"")</f>
        <v>89</v>
      </c>
      <c r="J379" s="153">
        <f>IFERROR(VLOOKUP("胶囊咖啡"&amp;"-"&amp;J$354&amp;"-"&amp;$C$374&amp;"-"&amp;$D379&amp;"-汇总",dat_nespresso_compet_chl!$H:$N,6,0),"")</f>
        <v>153</v>
      </c>
      <c r="K379" s="4"/>
      <c r="L379" s="4"/>
      <c r="M379" s="4"/>
      <c r="N379" s="4"/>
    </row>
    <row r="380" spans="3:14" x14ac:dyDescent="0.25">
      <c r="C380" s="283"/>
      <c r="D380" s="22" t="str">
        <f t="shared" si="89"/>
        <v>淘宝特价版</v>
      </c>
      <c r="E380" s="153">
        <f>IFERROR(VLOOKUP("胶囊咖啡"&amp;"-"&amp;E$354&amp;"-"&amp;$C$374&amp;"-"&amp;$D380&amp;"-汇总",dat_nespresso_compet_chl!$H:$N,6,0),"")</f>
        <v>60</v>
      </c>
      <c r="F380" s="153">
        <f>IFERROR(VLOOKUP("胶囊咖啡"&amp;"-"&amp;F$354&amp;"-"&amp;$C$374&amp;"-"&amp;$D380&amp;"-汇总",dat_nespresso_compet_chl!$H:$N,6,0),"")</f>
        <v>21</v>
      </c>
      <c r="G380" s="153">
        <f>IFERROR(VLOOKUP("胶囊咖啡"&amp;"-"&amp;G$354&amp;"-"&amp;$C$374&amp;"-"&amp;$D380&amp;"-汇总",dat_nespresso_compet_chl!$H:$N,6,0),"")</f>
        <v>17</v>
      </c>
      <c r="H380" s="153">
        <f>IFERROR(VLOOKUP("胶囊咖啡"&amp;"-"&amp;H$354&amp;"-"&amp;$C$374&amp;"-"&amp;$D380&amp;"-汇总",dat_nespresso_compet_chl!$H:$N,6,0),"")</f>
        <v>6</v>
      </c>
      <c r="I380" s="153">
        <f>IFERROR(VLOOKUP("胶囊咖啡"&amp;"-"&amp;I$354&amp;"-"&amp;$C$374&amp;"-"&amp;$D380&amp;"-汇总",dat_nespresso_compet_chl!$H:$N,6,0),"")</f>
        <v>14</v>
      </c>
      <c r="J380" s="153">
        <f>IFERROR(VLOOKUP("胶囊咖啡"&amp;"-"&amp;J$354&amp;"-"&amp;$C$374&amp;"-"&amp;$D380&amp;"-汇总",dat_nespresso_compet_chl!$H:$N,6,0),"")</f>
        <v>10</v>
      </c>
      <c r="K380" s="4"/>
      <c r="L380" s="4"/>
      <c r="M380" s="4"/>
      <c r="N380" s="4"/>
    </row>
    <row r="381" spans="3:14" x14ac:dyDescent="0.25">
      <c r="C381" s="4"/>
      <c r="D381" s="22"/>
      <c r="E381" s="287" t="s">
        <v>21</v>
      </c>
      <c r="F381" s="273"/>
      <c r="G381" s="273"/>
      <c r="H381" s="273"/>
      <c r="I381" s="273"/>
      <c r="J381" s="274"/>
      <c r="K381" s="4"/>
      <c r="L381" s="4"/>
      <c r="M381" s="4"/>
      <c r="N381" s="4"/>
    </row>
    <row r="382" spans="3:14" x14ac:dyDescent="0.25">
      <c r="C382" s="287" t="s">
        <v>76</v>
      </c>
      <c r="D382" s="22" t="str">
        <f t="shared" ref="D382:D388" si="90">C343</f>
        <v>手淘搜索</v>
      </c>
      <c r="E382" s="152">
        <f>IFERROR(VLOOKUP("胶囊咖啡"&amp;"-"&amp;E$354&amp;"-"&amp;$C$382&amp;"-"&amp;$D382&amp;"-汇总",dat_nespresso_compet_chl!$H:$N,7,0),"")</f>
        <v>9.0200000000000002E-2</v>
      </c>
      <c r="F382" s="152">
        <f>IFERROR(VLOOKUP("胶囊咖啡"&amp;"-"&amp;F$354&amp;"-"&amp;$C$382&amp;"-"&amp;$D382&amp;"-汇总",dat_nespresso_compet_chl!$H:$N,7,0),"")</f>
        <v>4.0500000000000001E-2</v>
      </c>
      <c r="G382" s="152">
        <f>IFERROR(VLOOKUP("胶囊咖啡"&amp;"-"&amp;G$354&amp;"-"&amp;$C$382&amp;"-"&amp;$D382&amp;"-汇总",dat_nespresso_compet_chl!$H:$N,7,0),"")</f>
        <v>3.8699999999999998E-2</v>
      </c>
      <c r="H382" s="152">
        <f>IFERROR(VLOOKUP("胶囊咖啡"&amp;"-"&amp;H$354&amp;"-"&amp;$C$382&amp;"-"&amp;$D382&amp;"-汇总",dat_nespresso_compet_chl!$H:$N,7,0),"")</f>
        <v>8.3599999999999994E-2</v>
      </c>
      <c r="I382" s="152">
        <f>IFERROR(VLOOKUP("胶囊咖啡"&amp;"-"&amp;I$354&amp;"-"&amp;$C$382&amp;"-"&amp;$D382&amp;"-汇总",dat_nespresso_compet_chl!$H:$N,7,0),"")</f>
        <v>7.6600000000000001E-2</v>
      </c>
      <c r="J382" s="152">
        <f>IFERROR(VLOOKUP("胶囊咖啡"&amp;"-"&amp;J$354&amp;"-"&amp;$C$382&amp;"-"&amp;$D382&amp;"-汇总",dat_nespresso_compet_chl!$H:$N,7,0),"")</f>
        <v>9.7799999999999998E-2</v>
      </c>
      <c r="K382" s="4"/>
      <c r="L382" s="4"/>
      <c r="M382" s="4"/>
      <c r="N382" s="4"/>
    </row>
    <row r="383" spans="3:14" x14ac:dyDescent="0.25">
      <c r="C383" s="281"/>
      <c r="D383" s="22" t="str">
        <f t="shared" si="90"/>
        <v>手淘推荐</v>
      </c>
      <c r="E383" s="152">
        <f>IFERROR(VLOOKUP("胶囊咖啡"&amp;"-"&amp;E$354&amp;"-"&amp;$C$382&amp;"-"&amp;$D383&amp;"-汇总",dat_nespresso_compet_chl!$H:$N,7,0),"")</f>
        <v>4.02E-2</v>
      </c>
      <c r="F383" s="152">
        <f>IFERROR(VLOOKUP("胶囊咖啡"&amp;"-"&amp;F$354&amp;"-"&amp;$C$382&amp;"-"&amp;$D383&amp;"-汇总",dat_nespresso_compet_chl!$H:$N,7,0),"")</f>
        <v>3.78E-2</v>
      </c>
      <c r="G383" s="152">
        <f>IFERROR(VLOOKUP("胶囊咖啡"&amp;"-"&amp;G$354&amp;"-"&amp;$C$382&amp;"-"&amp;$D383&amp;"-汇总",dat_nespresso_compet_chl!$H:$N,7,0),"")</f>
        <v>3.1399999999999997E-2</v>
      </c>
      <c r="H383" s="152">
        <f>IFERROR(VLOOKUP("胶囊咖啡"&amp;"-"&amp;H$354&amp;"-"&amp;$C$382&amp;"-"&amp;$D383&amp;"-汇总",dat_nespresso_compet_chl!$H:$N,7,0),"")</f>
        <v>0.05</v>
      </c>
      <c r="I383" s="152">
        <f>IFERROR(VLOOKUP("胶囊咖啡"&amp;"-"&amp;I$354&amp;"-"&amp;$C$382&amp;"-"&amp;$D383&amp;"-汇总",dat_nespresso_compet_chl!$H:$N,7,0),"")</f>
        <v>4.7800000000000002E-2</v>
      </c>
      <c r="J383" s="152">
        <f>IFERROR(VLOOKUP("胶囊咖啡"&amp;"-"&amp;J$354&amp;"-"&amp;$C$382&amp;"-"&amp;$D383&amp;"-汇总",dat_nespresso_compet_chl!$H:$N,7,0),"")</f>
        <v>1.4999999999999999E-2</v>
      </c>
      <c r="K383" s="4"/>
      <c r="L383" s="4"/>
      <c r="M383" s="4"/>
      <c r="N383" s="4"/>
    </row>
    <row r="384" spans="3:14" x14ac:dyDescent="0.25">
      <c r="C384" s="281"/>
      <c r="D384" s="22" t="str">
        <f t="shared" si="90"/>
        <v>天猫榜单</v>
      </c>
      <c r="E384" s="152">
        <f>IFERROR(VLOOKUP("胶囊咖啡"&amp;"-"&amp;E$354&amp;"-"&amp;$C$382&amp;"-"&amp;$D384&amp;"-汇总",dat_nespresso_compet_chl!$H:$N,7,0),"")</f>
        <v>5.5500000000000001E-2</v>
      </c>
      <c r="F384" s="152">
        <f>IFERROR(VLOOKUP("胶囊咖啡"&amp;"-"&amp;F$354&amp;"-"&amp;$C$382&amp;"-"&amp;$D384&amp;"-汇总",dat_nespresso_compet_chl!$H:$N,7,0),"")</f>
        <v>3.9699999999999999E-2</v>
      </c>
      <c r="G384" s="152">
        <f>IFERROR(VLOOKUP("胶囊咖啡"&amp;"-"&amp;G$354&amp;"-"&amp;$C$382&amp;"-"&amp;$D384&amp;"-汇总",dat_nespresso_compet_chl!$H:$N,7,0),"")</f>
        <v>3.39E-2</v>
      </c>
      <c r="H384" s="152">
        <f>IFERROR(VLOOKUP("胶囊咖啡"&amp;"-"&amp;H$354&amp;"-"&amp;$C$382&amp;"-"&amp;$D384&amp;"-汇总",dat_nespresso_compet_chl!$H:$N,7,0),"")</f>
        <v>8.48E-2</v>
      </c>
      <c r="I384" s="152">
        <f>IFERROR(VLOOKUP("胶囊咖啡"&amp;"-"&amp;I$354&amp;"-"&amp;$C$382&amp;"-"&amp;$D384&amp;"-汇总",dat_nespresso_compet_chl!$H:$N,7,0),"")</f>
        <v>2.6100000000000002E-2</v>
      </c>
      <c r="J384" s="152">
        <f>IFERROR(VLOOKUP("胶囊咖啡"&amp;"-"&amp;J$354&amp;"-"&amp;$C$382&amp;"-"&amp;$D384&amp;"-汇总",dat_nespresso_compet_chl!$H:$N,7,0),"")</f>
        <v>5.96E-2</v>
      </c>
      <c r="K384" s="4"/>
      <c r="L384" s="4"/>
      <c r="M384" s="4"/>
      <c r="N384" s="4"/>
    </row>
    <row r="385" spans="2:16" x14ac:dyDescent="0.25">
      <c r="C385" s="281"/>
      <c r="D385" s="22" t="str">
        <f t="shared" si="90"/>
        <v>手机天猫</v>
      </c>
      <c r="E385" s="152">
        <f>IFERROR(VLOOKUP("胶囊咖啡"&amp;"-"&amp;E$354&amp;"-"&amp;$C$382&amp;"-"&amp;$D385&amp;"-汇总",dat_nespresso_compet_chl!$H:$N,7,0),"")</f>
        <v>0.13439999999999999</v>
      </c>
      <c r="F385" s="152">
        <f>IFERROR(VLOOKUP("胶囊咖啡"&amp;"-"&amp;F$354&amp;"-"&amp;$C$382&amp;"-"&amp;$D385&amp;"-汇总",dat_nespresso_compet_chl!$H:$N,7,0),"")</f>
        <v>4.4200000000000003E-2</v>
      </c>
      <c r="G385" s="152">
        <f>IFERROR(VLOOKUP("胶囊咖啡"&amp;"-"&amp;G$354&amp;"-"&amp;$C$382&amp;"-"&amp;$D385&amp;"-汇总",dat_nespresso_compet_chl!$H:$N,7,0),"")</f>
        <v>4.6399999999999997E-2</v>
      </c>
      <c r="H385" s="152">
        <f>IFERROR(VLOOKUP("胶囊咖啡"&amp;"-"&amp;H$354&amp;"-"&amp;$C$382&amp;"-"&amp;$D385&amp;"-汇总",dat_nespresso_compet_chl!$H:$N,7,0),"")</f>
        <v>0.1004</v>
      </c>
      <c r="I385" s="152">
        <f>IFERROR(VLOOKUP("胶囊咖啡"&amp;"-"&amp;I$354&amp;"-"&amp;$C$382&amp;"-"&amp;$D385&amp;"-汇总",dat_nespresso_compet_chl!$H:$N,7,0),"")</f>
        <v>0.1275</v>
      </c>
      <c r="J385" s="152">
        <f>IFERROR(VLOOKUP("胶囊咖啡"&amp;"-"&amp;J$354&amp;"-"&amp;$C$382&amp;"-"&amp;$D385&amp;"-汇总",dat_nespresso_compet_chl!$H:$N,7,0),"")</f>
        <v>0.13469999999999999</v>
      </c>
      <c r="K385" s="4"/>
      <c r="L385" s="4"/>
      <c r="M385" s="4"/>
      <c r="N385" s="4"/>
    </row>
    <row r="386" spans="2:16" x14ac:dyDescent="0.25">
      <c r="C386" s="281"/>
      <c r="D386" s="22" t="str">
        <f t="shared" si="90"/>
        <v>手淘其他店铺</v>
      </c>
      <c r="E386" s="152">
        <f>IFERROR(VLOOKUP("胶囊咖啡"&amp;"-"&amp;E$354&amp;"-"&amp;$C$382&amp;"-"&amp;$D386&amp;"-汇总",dat_nespresso_compet_chl!$H:$N,7,0),"")</f>
        <v>7.9899999999999999E-2</v>
      </c>
      <c r="F386" s="152">
        <f>IFERROR(VLOOKUP("胶囊咖啡"&amp;"-"&amp;F$354&amp;"-"&amp;$C$382&amp;"-"&amp;$D386&amp;"-汇总",dat_nespresso_compet_chl!$H:$N,7,0),"")</f>
        <v>3.95E-2</v>
      </c>
      <c r="G386" s="152">
        <f>IFERROR(VLOOKUP("胶囊咖啡"&amp;"-"&amp;G$354&amp;"-"&amp;$C$382&amp;"-"&amp;$D386&amp;"-汇总",dat_nespresso_compet_chl!$H:$N,7,0),"")</f>
        <v>5.3199999999999997E-2</v>
      </c>
      <c r="H386" s="152">
        <f>IFERROR(VLOOKUP("胶囊咖啡"&amp;"-"&amp;H$354&amp;"-"&amp;$C$382&amp;"-"&amp;$D386&amp;"-汇总",dat_nespresso_compet_chl!$H:$N,7,0),"")</f>
        <v>0.1012</v>
      </c>
      <c r="I386" s="152">
        <f>IFERROR(VLOOKUP("胶囊咖啡"&amp;"-"&amp;I$354&amp;"-"&amp;$C$382&amp;"-"&amp;$D386&amp;"-汇总",dat_nespresso_compet_chl!$H:$N,7,0),"")</f>
        <v>8.8099999999999998E-2</v>
      </c>
      <c r="J386" s="152">
        <f>IFERROR(VLOOKUP("胶囊咖啡"&amp;"-"&amp;J$354&amp;"-"&amp;$C$382&amp;"-"&amp;$D386&amp;"-汇总",dat_nespresso_compet_chl!$H:$N,7,0),"")</f>
        <v>0.1016</v>
      </c>
      <c r="K386" s="4"/>
      <c r="L386" s="4"/>
      <c r="M386" s="4"/>
      <c r="N386" s="4"/>
    </row>
    <row r="387" spans="2:16" x14ac:dyDescent="0.25">
      <c r="C387" s="281"/>
      <c r="D387" s="22" t="str">
        <f t="shared" si="90"/>
        <v>大促会场</v>
      </c>
      <c r="E387" s="152">
        <f>IFERROR(VLOOKUP("胶囊咖啡"&amp;"-"&amp;E$354&amp;"-"&amp;$C$382&amp;"-"&amp;$D387&amp;"-汇总",dat_nespresso_compet_chl!$H:$N,7,0),"")</f>
        <v>6.54E-2</v>
      </c>
      <c r="F387" s="152">
        <f>IFERROR(VLOOKUP("胶囊咖啡"&amp;"-"&amp;F$354&amp;"-"&amp;$C$382&amp;"-"&amp;$D387&amp;"-汇总",dat_nespresso_compet_chl!$H:$N,7,0),"")</f>
        <v>1.26E-2</v>
      </c>
      <c r="G387" s="152">
        <f>IFERROR(VLOOKUP("胶囊咖啡"&amp;"-"&amp;G$354&amp;"-"&amp;$C$382&amp;"-"&amp;$D387&amp;"-汇总",dat_nespresso_compet_chl!$H:$N,7,0),"")</f>
        <v>2.81E-2</v>
      </c>
      <c r="H387" s="152">
        <f>IFERROR(VLOOKUP("胶囊咖啡"&amp;"-"&amp;H$354&amp;"-"&amp;$C$382&amp;"-"&amp;$D387&amp;"-汇总",dat_nespresso_compet_chl!$H:$N,7,0),"")</f>
        <v>7.3400000000000007E-2</v>
      </c>
      <c r="I387" s="152">
        <f>IFERROR(VLOOKUP("胶囊咖啡"&amp;"-"&amp;I$354&amp;"-"&amp;$C$382&amp;"-"&amp;$D387&amp;"-汇总",dat_nespresso_compet_chl!$H:$N,7,0),"")</f>
        <v>6.6699999999999995E-2</v>
      </c>
      <c r="J387" s="152">
        <f>IFERROR(VLOOKUP("胶囊咖啡"&amp;"-"&amp;J$354&amp;"-"&amp;$C$382&amp;"-"&amp;$D387&amp;"-汇总",dat_nespresso_compet_chl!$H:$N,7,0),"")</f>
        <v>8.4400000000000003E-2</v>
      </c>
      <c r="K387" s="4"/>
      <c r="L387" s="4"/>
      <c r="M387" s="4"/>
      <c r="N387" s="4"/>
    </row>
    <row r="388" spans="2:16" x14ac:dyDescent="0.25">
      <c r="C388" s="283"/>
      <c r="D388" s="22" t="str">
        <f t="shared" si="90"/>
        <v>淘宝特价版</v>
      </c>
      <c r="E388" s="152">
        <f>IFERROR(VLOOKUP("胶囊咖啡"&amp;"-"&amp;E$354&amp;"-"&amp;$C$382&amp;"-"&amp;$D388&amp;"-汇总",dat_nespresso_compet_chl!$H:$N,7,0),"")</f>
        <v>1.6400000000000001E-2</v>
      </c>
      <c r="F388" s="152">
        <f>IFERROR(VLOOKUP("胶囊咖啡"&amp;"-"&amp;F$354&amp;"-"&amp;$C$382&amp;"-"&amp;$D388&amp;"-汇总",dat_nespresso_compet_chl!$H:$N,7,0),"")</f>
        <v>0</v>
      </c>
      <c r="G388" s="152">
        <f>IFERROR(VLOOKUP("胶囊咖啡"&amp;"-"&amp;G$354&amp;"-"&amp;$C$382&amp;"-"&amp;$D388&amp;"-汇总",dat_nespresso_compet_chl!$H:$N,7,0),"")</f>
        <v>0</v>
      </c>
      <c r="H388" s="152">
        <f>IFERROR(VLOOKUP("胶囊咖啡"&amp;"-"&amp;H$354&amp;"-"&amp;$C$382&amp;"-"&amp;$D388&amp;"-汇总",dat_nespresso_compet_chl!$H:$N,7,0),"")</f>
        <v>0.1666</v>
      </c>
      <c r="I388" s="152">
        <f>IFERROR(VLOOKUP("胶囊咖啡"&amp;"-"&amp;I$354&amp;"-"&amp;$C$382&amp;"-"&amp;$D388&amp;"-汇总",dat_nespresso_compet_chl!$H:$N,7,0),"")</f>
        <v>0</v>
      </c>
      <c r="J388" s="152">
        <f>IFERROR(VLOOKUP("胶囊咖啡"&amp;"-"&amp;J$354&amp;"-"&amp;$C$382&amp;"-"&amp;$D388&amp;"-汇总",dat_nespresso_compet_chl!$H:$N,7,0),"")</f>
        <v>0</v>
      </c>
      <c r="K388" s="4"/>
      <c r="L388" s="4"/>
      <c r="M388" s="4"/>
      <c r="N388" s="4"/>
    </row>
    <row r="389" spans="2:16" x14ac:dyDescent="0.25">
      <c r="B389" s="4" t="s">
        <v>59</v>
      </c>
      <c r="C389" s="4"/>
      <c r="D389" s="4"/>
      <c r="E389" s="14"/>
      <c r="F389" s="154"/>
      <c r="G389" s="14"/>
      <c r="H389" s="154"/>
      <c r="I389" s="4"/>
      <c r="J389" s="4"/>
      <c r="K389" s="4"/>
      <c r="L389" s="4"/>
      <c r="M389" s="4"/>
      <c r="N389" s="4"/>
    </row>
    <row r="390" spans="2:16" s="147" customFormat="1" ht="16.25" customHeight="1" x14ac:dyDescent="0.25">
      <c r="C390" s="22" t="s">
        <v>48</v>
      </c>
      <c r="D390" s="22" t="s">
        <v>49</v>
      </c>
      <c r="E390" s="287" t="s">
        <v>351</v>
      </c>
      <c r="F390" s="273"/>
      <c r="G390" s="273"/>
      <c r="H390" s="273"/>
      <c r="I390" s="273"/>
      <c r="J390" s="274"/>
      <c r="K390" s="4"/>
      <c r="L390" s="4"/>
      <c r="M390" s="4"/>
      <c r="N390" s="4"/>
      <c r="O390" s="1"/>
      <c r="P390" s="1"/>
    </row>
    <row r="391" spans="2:16" x14ac:dyDescent="0.25">
      <c r="B391" s="294" t="s">
        <v>59</v>
      </c>
      <c r="C391" s="293" t="s">
        <v>60</v>
      </c>
      <c r="D391" s="22" t="s">
        <v>61</v>
      </c>
      <c r="E391" s="152">
        <f>IFERROR(VLOOKUP("胶囊咖啡"&amp;"-"&amp;E$354&amp;"-"&amp;$B$391&amp;"-"&amp;$C$391&amp;"-"&amp;$D391,dat_nespresso_compet_chl!$H:$N,4,0),"")</f>
        <v>0.40446567496715519</v>
      </c>
      <c r="F391" s="152">
        <f>IFERROR(VLOOKUP("胶囊咖啡"&amp;"-"&amp;F$354&amp;"-"&amp;$B$391&amp;"-"&amp;$C$391&amp;"-"&amp;$D391,dat_nespresso_compet_chl!$H:$N,4,0),"")</f>
        <v>5.1950926821311652E-2</v>
      </c>
      <c r="G391" s="152">
        <f>IFERROR(VLOOKUP("胶囊咖啡"&amp;"-"&amp;G$354&amp;"-"&amp;$B$391&amp;"-"&amp;$C$391&amp;"-"&amp;$D391,dat_nespresso_compet_chl!$H:$N,4,0),"")</f>
        <v>0.48679672750157332</v>
      </c>
      <c r="H391" s="152">
        <f>IFERROR(VLOOKUP("胶囊咖啡"&amp;"-"&amp;H$354&amp;"-"&amp;$B$391&amp;"-"&amp;$C$391&amp;"-"&amp;$D391,dat_nespresso_compet_chl!$H:$N,4,0),"")</f>
        <v>0.33832532944898369</v>
      </c>
      <c r="I391" s="152">
        <f>IFERROR(VLOOKUP("胶囊咖啡"&amp;"-"&amp;I$354&amp;"-"&amp;$B$391&amp;"-"&amp;$C$391&amp;"-"&amp;$D391,dat_nespresso_compet_chl!$H:$N,4,0),"")</f>
        <v>0.36523692218519049</v>
      </c>
      <c r="J391" s="152">
        <f>IFERROR(VLOOKUP("胶囊咖啡"&amp;"-"&amp;J$354&amp;"-"&amp;$B$391&amp;"-"&amp;$C$391&amp;"-"&amp;$D391,dat_nespresso_compet_chl!$H:$N,4,0),"")</f>
        <v>0.44480823199251629</v>
      </c>
      <c r="K391" s="4"/>
      <c r="L391" s="4"/>
      <c r="M391" s="4"/>
      <c r="N391" s="4"/>
    </row>
    <row r="392" spans="2:16" x14ac:dyDescent="0.25">
      <c r="B392" s="279"/>
      <c r="C392" s="281"/>
      <c r="D392" s="22" t="s">
        <v>63</v>
      </c>
      <c r="E392" s="152">
        <f>IFERROR(VLOOKUP("胶囊咖啡"&amp;"-"&amp;E$354&amp;"-"&amp;$B$391&amp;"-"&amp;$C$391&amp;"-"&amp;$D392,dat_nespresso_compet_chl!$H:$N,4,0),"")</f>
        <v>0.22428271306706379</v>
      </c>
      <c r="F392" s="152">
        <f>IFERROR(VLOOKUP("胶囊咖啡"&amp;"-"&amp;F$354&amp;"-"&amp;$B$391&amp;"-"&amp;$C$391&amp;"-"&amp;$D392,dat_nespresso_compet_chl!$H:$N,4,0),"")</f>
        <v>0.39543987603546499</v>
      </c>
      <c r="G392" s="152">
        <f>IFERROR(VLOOKUP("胶囊咖啡"&amp;"-"&amp;G$354&amp;"-"&amp;$B$391&amp;"-"&amp;$C$391&amp;"-"&amp;$D392,dat_nespresso_compet_chl!$H:$N,4,0),"")</f>
        <v>0.2800503461296413</v>
      </c>
      <c r="H392" s="152">
        <f>IFERROR(VLOOKUP("胶囊咖啡"&amp;"-"&amp;H$354&amp;"-"&amp;$B$391&amp;"-"&amp;$C$391&amp;"-"&amp;$D392,dat_nespresso_compet_chl!$H:$N,4,0),"")</f>
        <v>0.37237408107062392</v>
      </c>
      <c r="I392" s="152">
        <f>IFERROR(VLOOKUP("胶囊咖啡"&amp;"-"&amp;I$354&amp;"-"&amp;$B$391&amp;"-"&amp;$C$391&amp;"-"&amp;$D392,dat_nespresso_compet_chl!$H:$N,4,0),"")</f>
        <v>0.52564845674539917</v>
      </c>
      <c r="J392" s="152">
        <f>IFERROR(VLOOKUP("胶囊咖啡"&amp;"-"&amp;J$354&amp;"-"&amp;$B$391&amp;"-"&amp;$C$391&amp;"-"&amp;$D392,dat_nespresso_compet_chl!$H:$N,4,0),"")</f>
        <v>0.30229545945168018</v>
      </c>
      <c r="K392" s="4"/>
      <c r="L392" s="4"/>
      <c r="M392" s="4"/>
      <c r="N392" s="4"/>
    </row>
    <row r="393" spans="2:16" x14ac:dyDescent="0.25">
      <c r="B393" s="279"/>
      <c r="C393" s="281"/>
      <c r="D393" s="22" t="s">
        <v>62</v>
      </c>
      <c r="E393" s="152">
        <f>IFERROR(VLOOKUP("胶囊咖啡"&amp;"-"&amp;E$354&amp;"-"&amp;$B$391&amp;"-"&amp;$C$391&amp;"-"&amp;$D393,dat_nespresso_compet_chl!$H:$N,4,0),"")</f>
        <v>0.32374932645561272</v>
      </c>
      <c r="F393" s="152">
        <f>IFERROR(VLOOKUP("胶囊咖啡"&amp;"-"&amp;F$354&amp;"-"&amp;$B$391&amp;"-"&amp;$C$391&amp;"-"&amp;$D393,dat_nespresso_compet_chl!$H:$N,4,0),"")</f>
        <v>0.47017977187729382</v>
      </c>
      <c r="G393" s="152">
        <f>IFERROR(VLOOKUP("胶囊咖啡"&amp;"-"&amp;G$354&amp;"-"&amp;$B$391&amp;"-"&amp;$C$391&amp;"-"&amp;$D393,dat_nespresso_compet_chl!$H:$N,4,0),"")</f>
        <v>3.9345500314663308E-2</v>
      </c>
      <c r="H393" s="152">
        <f>IFERROR(VLOOKUP("胶囊咖啡"&amp;"-"&amp;H$354&amp;"-"&amp;$B$391&amp;"-"&amp;$C$391&amp;"-"&amp;$D393,dat_nespresso_compet_chl!$H:$N,4,0),"")</f>
        <v>0.2114163461319617</v>
      </c>
      <c r="I393" s="152">
        <f>IFERROR(VLOOKUP("胶囊咖啡"&amp;"-"&amp;I$354&amp;"-"&amp;$B$391&amp;"-"&amp;$C$391&amp;"-"&amp;$D393,dat_nespresso_compet_chl!$H:$N,4,0),"")</f>
        <v>5.3687871322996669E-2</v>
      </c>
      <c r="J393" s="152">
        <f>IFERROR(VLOOKUP("胶囊咖啡"&amp;"-"&amp;J$354&amp;"-"&amp;$B$391&amp;"-"&amp;$C$391&amp;"-"&amp;$D393,dat_nespresso_compet_chl!$H:$N,4,0),"")</f>
        <v>0.26955458012520689</v>
      </c>
      <c r="K393" s="4"/>
      <c r="L393" s="4"/>
      <c r="M393" s="4"/>
      <c r="N393" s="4"/>
    </row>
    <row r="394" spans="2:16" x14ac:dyDescent="0.25">
      <c r="B394" s="279"/>
      <c r="C394" s="293" t="s">
        <v>64</v>
      </c>
      <c r="D394" s="22" t="s">
        <v>65</v>
      </c>
      <c r="E394" s="152">
        <f>IFERROR(VLOOKUP("胶囊咖啡"&amp;"-"&amp;E$354&amp;"-"&amp;$B$391&amp;"-"&amp;$C$394&amp;"-"&amp;$D394,dat_nespresso_compet_chl!$H:$N,4,0),"")</f>
        <v>5.6190251315303537E-2</v>
      </c>
      <c r="F394" s="152">
        <f>IFERROR(VLOOKUP("胶囊咖啡"&amp;"-"&amp;F$354&amp;"-"&amp;$B$391&amp;"-"&amp;$C$394&amp;"-"&amp;$D394,dat_nespresso_compet_chl!$H:$N,4,0),"")</f>
        <v>3.5942724656592609E-2</v>
      </c>
      <c r="G394" s="152">
        <f>IFERROR(VLOOKUP("胶囊咖啡"&amp;"-"&amp;G$354&amp;"-"&amp;$B$391&amp;"-"&amp;$C$394&amp;"-"&amp;$D394,dat_nespresso_compet_chl!$H:$N,4,0),"")</f>
        <v>0.22532410320956581</v>
      </c>
      <c r="H394" s="152">
        <f>IFERROR(VLOOKUP("胶囊咖啡"&amp;"-"&amp;H$354&amp;"-"&amp;$B$391&amp;"-"&amp;$C$394&amp;"-"&amp;$D394,dat_nespresso_compet_chl!$H:$N,4,0),"")</f>
        <v>0.14807565377699891</v>
      </c>
      <c r="I394" s="152">
        <f>IFERROR(VLOOKUP("胶囊咖啡"&amp;"-"&amp;I$354&amp;"-"&amp;$B$391&amp;"-"&amp;$C$394&amp;"-"&amp;$D394,dat_nespresso_compet_chl!$H:$N,4,0),"")</f>
        <v>0.1009636284596435</v>
      </c>
      <c r="J394" s="152">
        <f>IFERROR(VLOOKUP("胶囊咖啡"&amp;"-"&amp;J$354&amp;"-"&amp;$B$391&amp;"-"&amp;$C$394&amp;"-"&amp;$D394,dat_nespresso_compet_chl!$H:$N,4,0),"")</f>
        <v>3.5978988270849833E-5</v>
      </c>
      <c r="K394" s="4"/>
      <c r="L394" s="4"/>
      <c r="M394" s="4"/>
      <c r="N394" s="4"/>
    </row>
    <row r="395" spans="2:16" x14ac:dyDescent="0.25">
      <c r="B395" s="279"/>
      <c r="C395" s="281"/>
      <c r="D395" s="22" t="s">
        <v>67</v>
      </c>
      <c r="E395" s="152">
        <f>IFERROR(VLOOKUP("胶囊咖啡"&amp;"-"&amp;E$354&amp;"-"&amp;$B$391&amp;"-"&amp;$C$394&amp;"-"&amp;$D395,dat_nespresso_compet_chl!$H:$N,4,0),"")</f>
        <v>6.6597647286751303E-4</v>
      </c>
      <c r="F395" s="152">
        <f>IFERROR(VLOOKUP("胶囊咖啡"&amp;"-"&amp;F$354&amp;"-"&amp;$B$391&amp;"-"&amp;$C$394&amp;"-"&amp;$D395,dat_nespresso_compet_chl!$H:$N,4,0),"")</f>
        <v>0</v>
      </c>
      <c r="G395" s="152">
        <f>IFERROR(VLOOKUP("胶囊咖啡"&amp;"-"&amp;G$354&amp;"-"&amp;$B$391&amp;"-"&amp;$C$394&amp;"-"&amp;$D395,dat_nespresso_compet_chl!$H:$N,4,0),"")</f>
        <v>0</v>
      </c>
      <c r="H395" s="152">
        <f>IFERROR(VLOOKUP("胶囊咖啡"&amp;"-"&amp;H$354&amp;"-"&amp;$B$391&amp;"-"&amp;$C$394&amp;"-"&amp;$D395,dat_nespresso_compet_chl!$H:$N,4,0),"")</f>
        <v>0</v>
      </c>
      <c r="I395" s="152">
        <f>IFERROR(VLOOKUP("胶囊咖啡"&amp;"-"&amp;I$354&amp;"-"&amp;$B$391&amp;"-"&amp;$C$394&amp;"-"&amp;$D395,dat_nespresso_compet_chl!$H:$N,4,0),"")</f>
        <v>0</v>
      </c>
      <c r="J395" s="152">
        <f>IFERROR(VLOOKUP("胶囊咖啡"&amp;"-"&amp;J$354&amp;"-"&amp;$B$391&amp;"-"&amp;$C$394&amp;"-"&amp;$D395,dat_nespresso_compet_chl!$H:$N,4,0),"")</f>
        <v>0.1254947110887242</v>
      </c>
      <c r="K395" s="4"/>
      <c r="L395" s="4"/>
      <c r="M395" s="4"/>
      <c r="N395" s="4"/>
    </row>
    <row r="396" spans="2:16" x14ac:dyDescent="0.25">
      <c r="B396" s="279"/>
      <c r="C396" s="293" t="s">
        <v>72</v>
      </c>
      <c r="D396" s="22" t="s">
        <v>73</v>
      </c>
      <c r="E396" s="152">
        <f>IFERROR(VLOOKUP("胶囊咖啡"&amp;"-"&amp;E$354&amp;"-"&amp;$B$391&amp;"-"&amp;$C$396&amp;"-"&amp;$D396,dat_nespresso_compet_chl!$H:$N,4,0),"")</f>
        <v>3.7446040769868801E-2</v>
      </c>
      <c r="F396" s="152">
        <f>IFERROR(VLOOKUP("胶囊咖啡"&amp;"-"&amp;F$354&amp;"-"&amp;$B$391&amp;"-"&amp;$C$396&amp;"-"&amp;$D396,dat_nespresso_compet_chl!$H:$N,4,0),"")</f>
        <v>5.0296512914914188E-2</v>
      </c>
      <c r="G396" s="152">
        <f>IFERROR(VLOOKUP("胶囊咖啡"&amp;"-"&amp;G$354&amp;"-"&amp;$B$391&amp;"-"&amp;$C$396&amp;"-"&amp;$D396,dat_nespresso_compet_chl!$H:$N,4,0),"")</f>
        <v>3.380742605412209E-2</v>
      </c>
      <c r="H396" s="152">
        <f>IFERROR(VLOOKUP("胶囊咖啡"&amp;"-"&amp;H$354&amp;"-"&amp;$B$391&amp;"-"&amp;$C$396&amp;"-"&amp;$D396,dat_nespresso_compet_chl!$H:$N,4,0),"")</f>
        <v>5.7286569406195233E-2</v>
      </c>
      <c r="I396" s="152">
        <f>IFERROR(VLOOKUP("胶囊咖啡"&amp;"-"&amp;I$354&amp;"-"&amp;$B$391&amp;"-"&amp;$C$396&amp;"-"&amp;$D396,dat_nespresso_compet_chl!$H:$N,4,0),"")</f>
        <v>7.6981596870018834E-2</v>
      </c>
      <c r="J396" s="152">
        <f>IFERROR(VLOOKUP("胶囊咖啡"&amp;"-"&amp;J$354&amp;"-"&amp;$B$391&amp;"-"&amp;$C$396&amp;"-"&amp;$D396,dat_nespresso_compet_chl!$H:$N,4,0),"")</f>
        <v>3.5583219399870483E-2</v>
      </c>
      <c r="K396" s="4"/>
      <c r="L396" s="4"/>
      <c r="M396" s="4"/>
      <c r="N396" s="4"/>
    </row>
    <row r="397" spans="2:16" x14ac:dyDescent="0.25">
      <c r="B397" s="279"/>
      <c r="C397" s="281"/>
      <c r="D397" s="22" t="s">
        <v>75</v>
      </c>
      <c r="E397" s="152">
        <f>IFERROR(VLOOKUP("胶囊咖啡"&amp;"-"&amp;E$354&amp;"-"&amp;$B$391&amp;"-"&amp;$C$396&amp;"-"&amp;$D397,dat_nespresso_compet_chl!$H:$N,4,0),"")</f>
        <v>2.8455358386157378E-4</v>
      </c>
      <c r="F397" s="152">
        <f>IFERROR(VLOOKUP("胶囊咖啡"&amp;"-"&amp;F$354&amp;"-"&amp;$B$391&amp;"-"&amp;$C$396&amp;"-"&amp;$D397,dat_nespresso_compet_chl!$H:$N,4,0),"")</f>
        <v>1.165080215772856E-4</v>
      </c>
      <c r="G397" s="152">
        <f>IFERROR(VLOOKUP("胶囊咖啡"&amp;"-"&amp;G$354&amp;"-"&amp;$B$391&amp;"-"&amp;$C$396&amp;"-"&amp;$D397,dat_nespresso_compet_chl!$H:$N,4,0),"")</f>
        <v>1.7621145374449341E-4</v>
      </c>
      <c r="H397" s="152">
        <f>IFERROR(VLOOKUP("胶囊咖啡"&amp;"-"&amp;H$354&amp;"-"&amp;$B$391&amp;"-"&amp;$C$396&amp;"-"&amp;$D397,dat_nespresso_compet_chl!$H:$N,4,0),"")</f>
        <v>4.779570749027016E-4</v>
      </c>
      <c r="I397" s="152">
        <f>IFERROR(VLOOKUP("胶囊咖啡"&amp;"-"&amp;I$354&amp;"-"&amp;$B$391&amp;"-"&amp;$C$396&amp;"-"&amp;$D397,dat_nespresso_compet_chl!$H:$N,4,0),"")</f>
        <v>3.9849297203303871E-4</v>
      </c>
      <c r="J397" s="152">
        <f>IFERROR(VLOOKUP("胶囊咖啡"&amp;"-"&amp;J$354&amp;"-"&amp;$B$391&amp;"-"&amp;$C$396&amp;"-"&amp;$D397,dat_nespresso_compet_chl!$H:$N,4,0),"")</f>
        <v>2.5185291789594881E-4</v>
      </c>
      <c r="K397" s="4"/>
      <c r="L397" s="4"/>
      <c r="M397" s="4"/>
      <c r="N397" s="4"/>
    </row>
    <row r="398" spans="2:16" x14ac:dyDescent="0.25">
      <c r="B398" s="279"/>
      <c r="C398" s="281"/>
      <c r="D398" s="22" t="s">
        <v>352</v>
      </c>
      <c r="E398" s="152">
        <f>IFERROR(VLOOKUP("胶囊咖啡"&amp;"-"&amp;E$354&amp;"-"&amp;$B$391&amp;"-"&amp;$C$396&amp;"-"&amp;$D398,dat_nespresso_compet_chl!$H:$N,4,0),"")</f>
        <v>0</v>
      </c>
      <c r="F398" s="152">
        <f>IFERROR(VLOOKUP("胶囊咖啡"&amp;"-"&amp;F$354&amp;"-"&amp;$B$391&amp;"-"&amp;$C$396&amp;"-"&amp;$D398,dat_nespresso_compet_chl!$H:$N,4,0),"")</f>
        <v>0</v>
      </c>
      <c r="G398" s="152">
        <f>IFERROR(VLOOKUP("胶囊咖啡"&amp;"-"&amp;G$354&amp;"-"&amp;$B$391&amp;"-"&amp;$C$396&amp;"-"&amp;$D398,dat_nespresso_compet_chl!$H:$N,4,0),"")</f>
        <v>0</v>
      </c>
      <c r="H398" s="152">
        <f>IFERROR(VLOOKUP("胶囊咖啡"&amp;"-"&amp;H$354&amp;"-"&amp;$B$391&amp;"-"&amp;$C$396&amp;"-"&amp;$D398,dat_nespresso_compet_chl!$H:$N,4,0),"")</f>
        <v>0</v>
      </c>
      <c r="I398" s="152">
        <f>IFERROR(VLOOKUP("胶囊咖啡"&amp;"-"&amp;I$354&amp;"-"&amp;$B$391&amp;"-"&amp;$C$396&amp;"-"&amp;$D398,dat_nespresso_compet_chl!$H:$N,4,0),"")</f>
        <v>0</v>
      </c>
      <c r="J398" s="152">
        <f>IFERROR(VLOOKUP("胶囊咖啡"&amp;"-"&amp;J$354&amp;"-"&amp;$B$391&amp;"-"&amp;$C$396&amp;"-"&amp;$D398,dat_nespresso_compet_chl!$H:$N,4,0),"")</f>
        <v>0</v>
      </c>
      <c r="K398" s="4"/>
      <c r="L398" s="4"/>
      <c r="M398" s="4"/>
      <c r="N398" s="4"/>
    </row>
    <row r="399" spans="2:16" x14ac:dyDescent="0.25">
      <c r="B399" s="279"/>
      <c r="C399" s="281"/>
      <c r="D399" s="22" t="s">
        <v>74</v>
      </c>
      <c r="E399" s="152">
        <f>IFERROR(VLOOKUP("胶囊咖啡"&amp;"-"&amp;E$354&amp;"-"&amp;$B$391&amp;"-"&amp;$C$396&amp;"-"&amp;$D399,dat_nespresso_compet_chl!$H:$N,4,0),"")</f>
        <v>9.0451713678551312E-3</v>
      </c>
      <c r="F399" s="152">
        <f>IFERROR(VLOOKUP("胶囊咖啡"&amp;"-"&amp;F$354&amp;"-"&amp;$B$391&amp;"-"&amp;$C$396&amp;"-"&amp;$D399,dat_nespresso_compet_chl!$H:$N,4,0),"")</f>
        <v>1.1650802157728561E-5</v>
      </c>
      <c r="G399" s="152">
        <f>IFERROR(VLOOKUP("胶囊咖啡"&amp;"-"&amp;G$354&amp;"-"&amp;$B$391&amp;"-"&amp;$C$396&amp;"-"&amp;$D399,dat_nespresso_compet_chl!$H:$N,4,0),"")</f>
        <v>2.5173064820641911E-5</v>
      </c>
      <c r="H399" s="152">
        <f>IFERROR(VLOOKUP("胶囊咖啡"&amp;"-"&amp;H$354&amp;"-"&amp;$B$391&amp;"-"&amp;$C$396&amp;"-"&amp;$D399,dat_nespresso_compet_chl!$H:$N,4,0),"")</f>
        <v>2.2759860709652459E-5</v>
      </c>
      <c r="I399" s="152">
        <f>IFERROR(VLOOKUP("胶囊咖啡"&amp;"-"&amp;I$354&amp;"-"&amp;$B$391&amp;"-"&amp;$C$396&amp;"-"&amp;$D399,dat_nespresso_compet_chl!$H:$N,4,0),"")</f>
        <v>3.6226633821185337E-5</v>
      </c>
      <c r="J399" s="152">
        <f>IFERROR(VLOOKUP("胶囊咖啡"&amp;"-"&amp;J$354&amp;"-"&amp;$B$391&amp;"-"&amp;$C$396&amp;"-"&amp;$D399,dat_nespresso_compet_chl!$H:$N,4,0),"")</f>
        <v>0</v>
      </c>
      <c r="K399" s="4"/>
      <c r="L399" s="4"/>
      <c r="M399" s="4"/>
      <c r="N399" s="4"/>
    </row>
    <row r="400" spans="2:16" x14ac:dyDescent="0.25">
      <c r="B400" s="279"/>
      <c r="C400" s="287" t="s">
        <v>68</v>
      </c>
      <c r="D400" s="22" t="s">
        <v>70</v>
      </c>
      <c r="E400" s="152">
        <f>IFERROR(VLOOKUP("胶囊咖啡"&amp;"-"&amp;E$354&amp;"-"&amp;$B$391&amp;"-"&amp;$C$400&amp;"-"&amp;$D400,dat_nespresso_compet_chl!$H:$N,4,0),"")</f>
        <v>2.3490806497508641E-3</v>
      </c>
      <c r="F400" s="152">
        <f>IFERROR(VLOOKUP("胶囊咖啡"&amp;"-"&amp;F$354&amp;"-"&amp;$B$391&amp;"-"&amp;$C$400&amp;"-"&amp;$D400,dat_nespresso_compet_chl!$H:$N,4,0),"")</f>
        <v>9.4418100686232243E-2</v>
      </c>
      <c r="G400" s="152">
        <f>IFERROR(VLOOKUP("胶囊咖啡"&amp;"-"&amp;G$354&amp;"-"&amp;$B$391&amp;"-"&amp;$C$400&amp;"-"&amp;$D400,dat_nespresso_compet_chl!$H:$N,4,0),"")</f>
        <v>4.2466960352422908E-2</v>
      </c>
      <c r="H400" s="152">
        <f>IFERROR(VLOOKUP("胶囊咖啡"&amp;"-"&amp;H$354&amp;"-"&amp;$B$391&amp;"-"&amp;$C$400&amp;"-"&amp;$D400,dat_nespresso_compet_chl!$H:$N,4,0),"")</f>
        <v>2.2759860709652459E-5</v>
      </c>
      <c r="I400" s="152">
        <f>IFERROR(VLOOKUP("胶囊咖啡"&amp;"-"&amp;I$354&amp;"-"&amp;$B$391&amp;"-"&amp;$C$400&amp;"-"&amp;$D400,dat_nespresso_compet_chl!$H:$N,4,0),"")</f>
        <v>4.5645558614693521E-3</v>
      </c>
      <c r="J400" s="152">
        <f>IFERROR(VLOOKUP("胶囊咖啡"&amp;"-"&amp;J$354&amp;"-"&amp;$B$391&amp;"-"&amp;$C$400&amp;"-"&amp;$D400,dat_nespresso_compet_chl!$H:$N,4,0),"")</f>
        <v>3.5978988270849833E-5</v>
      </c>
      <c r="K400" s="4"/>
      <c r="L400" s="4"/>
      <c r="M400" s="4"/>
      <c r="N400" s="4"/>
    </row>
    <row r="401" spans="2:16" x14ac:dyDescent="0.25">
      <c r="B401" s="279"/>
      <c r="C401" s="283"/>
      <c r="D401" s="22" t="s">
        <v>69</v>
      </c>
      <c r="E401" s="152">
        <f>IFERROR(VLOOKUP("胶囊咖啡"&amp;"-"&amp;E$354&amp;"-"&amp;$B$391&amp;"-"&amp;$C$400&amp;"-"&amp;$D401,dat_nespresso_compet_chl!$H:$N,4,0),"")</f>
        <v>6.3697622463991868E-2</v>
      </c>
      <c r="F401" s="152">
        <f>IFERROR(VLOOKUP("胶囊咖啡"&amp;"-"&amp;F$354&amp;"-"&amp;$B$391&amp;"-"&amp;$C$400&amp;"-"&amp;$D401,dat_nespresso_compet_chl!$H:$N,4,0),"")</f>
        <v>1.04857219419557E-4</v>
      </c>
      <c r="G401" s="152">
        <f>IFERROR(VLOOKUP("胶囊咖啡"&amp;"-"&amp;G$354&amp;"-"&amp;$B$391&amp;"-"&amp;$C$400&amp;"-"&amp;$D401,dat_nespresso_compet_chl!$H:$N,4,0),"")</f>
        <v>7.5519194461925735E-5</v>
      </c>
      <c r="H401" s="152">
        <f>IFERROR(VLOOKUP("胶囊咖啡"&amp;"-"&amp;H$354&amp;"-"&amp;$B$391&amp;"-"&amp;$C$400&amp;"-"&amp;$D401,dat_nespresso_compet_chl!$H:$N,4,0),"")</f>
        <v>5.437330723535972E-2</v>
      </c>
      <c r="I401" s="152">
        <f>IFERROR(VLOOKUP("胶囊咖啡"&amp;"-"&amp;I$354&amp;"-"&amp;$B$391&amp;"-"&amp;$C$400&amp;"-"&amp;$D401,dat_nespresso_compet_chl!$H:$N,4,0),"")</f>
        <v>0</v>
      </c>
      <c r="J401" s="152">
        <f>IFERROR(VLOOKUP("胶囊咖啡"&amp;"-"&amp;J$354&amp;"-"&amp;$B$391&amp;"-"&amp;$C$400&amp;"-"&amp;$D401,dat_nespresso_compet_chl!$H:$N,4,0),"")</f>
        <v>4.1375836511477297E-3</v>
      </c>
      <c r="K401" s="4"/>
      <c r="L401" s="4"/>
      <c r="M401" s="4"/>
      <c r="N401" s="4"/>
    </row>
    <row r="402" spans="2:16" s="147" customFormat="1" ht="16.25" customHeight="1" x14ac:dyDescent="0.25">
      <c r="C402" s="22" t="s">
        <v>48</v>
      </c>
      <c r="D402" s="22" t="s">
        <v>49</v>
      </c>
      <c r="E402" s="287" t="s">
        <v>108</v>
      </c>
      <c r="F402" s="273"/>
      <c r="G402" s="273"/>
      <c r="H402" s="273"/>
      <c r="I402" s="273"/>
      <c r="J402" s="274"/>
      <c r="K402" s="4"/>
      <c r="L402" s="4"/>
      <c r="M402" s="4"/>
      <c r="N402" s="4"/>
      <c r="O402" s="1"/>
      <c r="P402" s="1"/>
    </row>
    <row r="403" spans="2:16" x14ac:dyDescent="0.25">
      <c r="B403" s="294" t="s">
        <v>59</v>
      </c>
      <c r="C403" s="293" t="s">
        <v>60</v>
      </c>
      <c r="D403" s="22" t="s">
        <v>61</v>
      </c>
      <c r="E403" s="153">
        <f>IFERROR(VLOOKUP("胶囊咖啡"&amp;"-"&amp;E$354&amp;"-"&amp;$B$403&amp;"-"&amp;$C$403&amp;"-"&amp;$D403,dat_nespresso_compet_chl!$H:$N,6,0),"")</f>
        <v>66806</v>
      </c>
      <c r="F403" s="153">
        <f>IFERROR(VLOOKUP("胶囊咖啡"&amp;"-"&amp;F$354&amp;"-"&amp;$B$403&amp;"-"&amp;$C$403&amp;"-"&amp;$D403,dat_nespresso_compet_chl!$H:$N,6,0),"")</f>
        <v>4459</v>
      </c>
      <c r="G403" s="153">
        <f>IFERROR(VLOOKUP("胶囊咖啡"&amp;"-"&amp;G$354&amp;"-"&amp;$B$403&amp;"-"&amp;$C$403&amp;"-"&amp;$D403,dat_nespresso_compet_chl!$H:$N,6,0),"")</f>
        <v>19338</v>
      </c>
      <c r="H403" s="153">
        <f>IFERROR(VLOOKUP("胶囊咖啡"&amp;"-"&amp;H$354&amp;"-"&amp;$B$403&amp;"-"&amp;$C$403&amp;"-"&amp;$D403,dat_nespresso_compet_chl!$H:$N,6,0),"")</f>
        <v>14865</v>
      </c>
      <c r="I403" s="153">
        <f>IFERROR(VLOOKUP("胶囊咖啡"&amp;"-"&amp;I$354&amp;"-"&amp;$B$403&amp;"-"&amp;$C$403&amp;"-"&amp;$D403,dat_nespresso_compet_chl!$H:$N,6,0),"")</f>
        <v>10082</v>
      </c>
      <c r="J403" s="153">
        <f>IFERROR(VLOOKUP("胶囊咖啡"&amp;"-"&amp;J$354&amp;"-"&amp;$B$403&amp;"-"&amp;$C$403&amp;"-"&amp;$D403,dat_nespresso_compet_chl!$H:$N,6,0),"")</f>
        <v>12363</v>
      </c>
      <c r="K403" s="4"/>
      <c r="L403" s="4"/>
      <c r="M403" s="4"/>
      <c r="N403" s="4"/>
    </row>
    <row r="404" spans="2:16" x14ac:dyDescent="0.25">
      <c r="B404" s="279"/>
      <c r="C404" s="281"/>
      <c r="D404" s="22" t="s">
        <v>63</v>
      </c>
      <c r="E404" s="153">
        <f>IFERROR(VLOOKUP("胶囊咖啡"&amp;"-"&amp;E$354&amp;"-"&amp;$B$403&amp;"-"&amp;$C$403&amp;"-"&amp;$D404,dat_nespresso_compet_chl!$H:$N,6,0),"")</f>
        <v>37045</v>
      </c>
      <c r="F404" s="153">
        <f>IFERROR(VLOOKUP("胶囊咖啡"&amp;"-"&amp;F$354&amp;"-"&amp;$B$403&amp;"-"&amp;$C$403&amp;"-"&amp;$D404,dat_nespresso_compet_chl!$H:$N,6,0),"")</f>
        <v>33941</v>
      </c>
      <c r="G404" s="153">
        <f>IFERROR(VLOOKUP("胶囊咖啡"&amp;"-"&amp;G$354&amp;"-"&amp;$B$403&amp;"-"&amp;$C$403&amp;"-"&amp;$D404,dat_nespresso_compet_chl!$H:$N,6,0),"")</f>
        <v>11125</v>
      </c>
      <c r="H404" s="153">
        <f>IFERROR(VLOOKUP("胶囊咖啡"&amp;"-"&amp;H$354&amp;"-"&amp;$B$403&amp;"-"&amp;$C$403&amp;"-"&amp;$D404,dat_nespresso_compet_chl!$H:$N,6,0),"")</f>
        <v>16361</v>
      </c>
      <c r="I404" s="153">
        <f>IFERROR(VLOOKUP("胶囊咖啡"&amp;"-"&amp;I$354&amp;"-"&amp;$B$403&amp;"-"&amp;$C$403&amp;"-"&amp;$D404,dat_nespresso_compet_chl!$H:$N,6,0),"")</f>
        <v>14510</v>
      </c>
      <c r="J404" s="153">
        <f>IFERROR(VLOOKUP("胶囊咖啡"&amp;"-"&amp;J$354&amp;"-"&amp;$B$403&amp;"-"&amp;$C$403&amp;"-"&amp;$D404,dat_nespresso_compet_chl!$H:$N,6,0),"")</f>
        <v>8402</v>
      </c>
      <c r="K404" s="4"/>
      <c r="L404" s="4"/>
      <c r="M404" s="4"/>
      <c r="N404" s="4"/>
    </row>
    <row r="405" spans="2:16" x14ac:dyDescent="0.25">
      <c r="B405" s="279"/>
      <c r="C405" s="281"/>
      <c r="D405" s="22" t="s">
        <v>62</v>
      </c>
      <c r="E405" s="153">
        <f>IFERROR(VLOOKUP("胶囊咖啡"&amp;"-"&amp;E$354&amp;"-"&amp;$B$403&amp;"-"&amp;$C$403&amp;"-"&amp;$D405,dat_nespresso_compet_chl!$H:$N,6,0),"")</f>
        <v>53474</v>
      </c>
      <c r="F405" s="153">
        <f>IFERROR(VLOOKUP("胶囊咖啡"&amp;"-"&amp;F$354&amp;"-"&amp;$B$403&amp;"-"&amp;$C$403&amp;"-"&amp;$D405,dat_nespresso_compet_chl!$H:$N,6,0),"")</f>
        <v>40356</v>
      </c>
      <c r="G405" s="153">
        <f>IFERROR(VLOOKUP("胶囊咖啡"&amp;"-"&amp;G$354&amp;"-"&amp;$B$403&amp;"-"&amp;$C$403&amp;"-"&amp;$D405,dat_nespresso_compet_chl!$H:$N,6,0),"")</f>
        <v>1563</v>
      </c>
      <c r="H405" s="153">
        <f>IFERROR(VLOOKUP("胶囊咖啡"&amp;"-"&amp;H$354&amp;"-"&amp;$B$403&amp;"-"&amp;$C$403&amp;"-"&amp;$D405,dat_nespresso_compet_chl!$H:$N,6,0),"")</f>
        <v>9289</v>
      </c>
      <c r="I405" s="153">
        <f>IFERROR(VLOOKUP("胶囊咖啡"&amp;"-"&amp;I$354&amp;"-"&amp;$B$403&amp;"-"&amp;$C$403&amp;"-"&amp;$D405,dat_nespresso_compet_chl!$H:$N,6,0),"")</f>
        <v>1482</v>
      </c>
      <c r="J405" s="153">
        <f>IFERROR(VLOOKUP("胶囊咖啡"&amp;"-"&amp;J$354&amp;"-"&amp;$B$403&amp;"-"&amp;$C$403&amp;"-"&amp;$D405,dat_nespresso_compet_chl!$H:$N,6,0),"")</f>
        <v>7492</v>
      </c>
      <c r="K405" s="4"/>
      <c r="L405" s="4"/>
      <c r="M405" s="4"/>
      <c r="N405" s="4"/>
    </row>
    <row r="406" spans="2:16" x14ac:dyDescent="0.25">
      <c r="B406" s="279"/>
      <c r="C406" s="293" t="s">
        <v>64</v>
      </c>
      <c r="D406" s="22" t="s">
        <v>65</v>
      </c>
      <c r="E406" s="153">
        <f>IFERROR(VLOOKUP("胶囊咖啡"&amp;"-"&amp;E$354&amp;"-"&amp;$B$403&amp;"-"&amp;$C$406&amp;"-"&amp;$D406,dat_nespresso_compet_chl!$H:$N,6,0),"")</f>
        <v>9281</v>
      </c>
      <c r="F406" s="153">
        <f>IFERROR(VLOOKUP("胶囊咖啡"&amp;"-"&amp;F$354&amp;"-"&amp;$B$403&amp;"-"&amp;$C$406&amp;"-"&amp;$D406,dat_nespresso_compet_chl!$H:$N,6,0),"")</f>
        <v>3085</v>
      </c>
      <c r="G406" s="153">
        <f>IFERROR(VLOOKUP("胶囊咖啡"&amp;"-"&amp;G$354&amp;"-"&amp;$B$403&amp;"-"&amp;$C$406&amp;"-"&amp;$D406,dat_nespresso_compet_chl!$H:$N,6,0),"")</f>
        <v>8951</v>
      </c>
      <c r="H406" s="153">
        <f>IFERROR(VLOOKUP("胶囊咖啡"&amp;"-"&amp;H$354&amp;"-"&amp;$B$403&amp;"-"&amp;$C$406&amp;"-"&amp;$D406,dat_nespresso_compet_chl!$H:$N,6,0),"")</f>
        <v>6506</v>
      </c>
      <c r="I406" s="153">
        <f>IFERROR(VLOOKUP("胶囊咖啡"&amp;"-"&amp;I$354&amp;"-"&amp;$B$403&amp;"-"&amp;$C$406&amp;"-"&amp;$D406,dat_nespresso_compet_chl!$H:$N,6,0),"")</f>
        <v>2787</v>
      </c>
      <c r="J406" s="153">
        <f>IFERROR(VLOOKUP("胶囊咖啡"&amp;"-"&amp;J$354&amp;"-"&amp;$B$403&amp;"-"&amp;$C$406&amp;"-"&amp;$D406,dat_nespresso_compet_chl!$H:$N,6,0),"")</f>
        <v>1</v>
      </c>
      <c r="K406" s="4"/>
      <c r="L406" s="4"/>
      <c r="M406" s="4"/>
      <c r="N406" s="4"/>
    </row>
    <row r="407" spans="2:16" x14ac:dyDescent="0.25">
      <c r="B407" s="279"/>
      <c r="C407" s="281"/>
      <c r="D407" s="22" t="s">
        <v>67</v>
      </c>
      <c r="E407" s="153">
        <f>IFERROR(VLOOKUP("胶囊咖啡"&amp;"-"&amp;E$354&amp;"-"&amp;$B$403&amp;"-"&amp;$C$406&amp;"-"&amp;$D407,dat_nespresso_compet_chl!$H:$N,6,0),"")</f>
        <v>110</v>
      </c>
      <c r="F407" s="153">
        <f>IFERROR(VLOOKUP("胶囊咖啡"&amp;"-"&amp;F$354&amp;"-"&amp;$B$403&amp;"-"&amp;$C$406&amp;"-"&amp;$D407,dat_nespresso_compet_chl!$H:$N,6,0),"")</f>
        <v>0</v>
      </c>
      <c r="G407" s="153">
        <f>IFERROR(VLOOKUP("胶囊咖啡"&amp;"-"&amp;G$354&amp;"-"&amp;$B$403&amp;"-"&amp;$C$406&amp;"-"&amp;$D407,dat_nespresso_compet_chl!$H:$N,6,0),"")</f>
        <v>0</v>
      </c>
      <c r="H407" s="153">
        <f>IFERROR(VLOOKUP("胶囊咖啡"&amp;"-"&amp;H$354&amp;"-"&amp;$B$403&amp;"-"&amp;$C$406&amp;"-"&amp;$D407,dat_nespresso_compet_chl!$H:$N,6,0),"")</f>
        <v>0</v>
      </c>
      <c r="I407" s="153">
        <f>IFERROR(VLOOKUP("胶囊咖啡"&amp;"-"&amp;I$354&amp;"-"&amp;$B$403&amp;"-"&amp;$C$406&amp;"-"&amp;$D407,dat_nespresso_compet_chl!$H:$N,6,0),"")</f>
        <v>0</v>
      </c>
      <c r="J407" s="153">
        <f>IFERROR(VLOOKUP("胶囊咖啡"&amp;"-"&amp;J$354&amp;"-"&amp;$B$403&amp;"-"&amp;$C$406&amp;"-"&amp;$D407,dat_nespresso_compet_chl!$H:$N,6,0),"")</f>
        <v>3488</v>
      </c>
      <c r="K407" s="4"/>
      <c r="L407" s="4"/>
      <c r="M407" s="4"/>
      <c r="N407" s="4"/>
    </row>
    <row r="408" spans="2:16" x14ac:dyDescent="0.25">
      <c r="B408" s="279"/>
      <c r="C408" s="293" t="s">
        <v>72</v>
      </c>
      <c r="D408" s="22" t="s">
        <v>73</v>
      </c>
      <c r="E408" s="153">
        <f>IFERROR(VLOOKUP("胶囊咖啡"&amp;"-"&amp;E$354&amp;"-"&amp;$B$403&amp;"-"&amp;$C$408&amp;"-"&amp;$D408,dat_nespresso_compet_chl!$H:$N,6,0),"")</f>
        <v>6185</v>
      </c>
      <c r="F408" s="153">
        <f>IFERROR(VLOOKUP("胶囊咖啡"&amp;"-"&amp;F$354&amp;"-"&amp;$B$403&amp;"-"&amp;$C$408&amp;"-"&amp;$D408,dat_nespresso_compet_chl!$H:$N,6,0),"")</f>
        <v>4317</v>
      </c>
      <c r="G408" s="153">
        <f>IFERROR(VLOOKUP("胶囊咖啡"&amp;"-"&amp;G$354&amp;"-"&amp;$B$403&amp;"-"&amp;$C$408&amp;"-"&amp;$D408,dat_nespresso_compet_chl!$H:$N,6,0),"")</f>
        <v>1343</v>
      </c>
      <c r="H408" s="153">
        <f>IFERROR(VLOOKUP("胶囊咖啡"&amp;"-"&amp;H$354&amp;"-"&amp;$B$403&amp;"-"&amp;$C$408&amp;"-"&amp;$D408,dat_nespresso_compet_chl!$H:$N,6,0),"")</f>
        <v>2517</v>
      </c>
      <c r="I408" s="153">
        <f>IFERROR(VLOOKUP("胶囊咖啡"&amp;"-"&amp;I$354&amp;"-"&amp;$B$403&amp;"-"&amp;$C$408&amp;"-"&amp;$D408,dat_nespresso_compet_chl!$H:$N,6,0),"")</f>
        <v>2125</v>
      </c>
      <c r="J408" s="153">
        <f>IFERROR(VLOOKUP("胶囊咖啡"&amp;"-"&amp;J$354&amp;"-"&amp;$B$403&amp;"-"&amp;$C$408&amp;"-"&amp;$D408,dat_nespresso_compet_chl!$H:$N,6,0),"")</f>
        <v>989</v>
      </c>
      <c r="K408" s="4"/>
      <c r="L408" s="4"/>
      <c r="M408" s="4"/>
      <c r="N408" s="4"/>
    </row>
    <row r="409" spans="2:16" x14ac:dyDescent="0.25">
      <c r="B409" s="279"/>
      <c r="C409" s="281"/>
      <c r="D409" s="22" t="s">
        <v>75</v>
      </c>
      <c r="E409" s="153">
        <f>IFERROR(VLOOKUP("胶囊咖啡"&amp;"-"&amp;E$354&amp;"-"&amp;$B$403&amp;"-"&amp;$C$408&amp;"-"&amp;$D409,dat_nespresso_compet_chl!$H:$N,6,0),"")</f>
        <v>47</v>
      </c>
      <c r="F409" s="153">
        <f>IFERROR(VLOOKUP("胶囊咖啡"&amp;"-"&amp;F$354&amp;"-"&amp;$B$403&amp;"-"&amp;$C$408&amp;"-"&amp;$D409,dat_nespresso_compet_chl!$H:$N,6,0),"")</f>
        <v>10</v>
      </c>
      <c r="G409" s="153">
        <f>IFERROR(VLOOKUP("胶囊咖啡"&amp;"-"&amp;G$354&amp;"-"&amp;$B$403&amp;"-"&amp;$C$408&amp;"-"&amp;$D409,dat_nespresso_compet_chl!$H:$N,6,0),"")</f>
        <v>7</v>
      </c>
      <c r="H409" s="153">
        <f>IFERROR(VLOOKUP("胶囊咖啡"&amp;"-"&amp;H$354&amp;"-"&amp;$B$403&amp;"-"&amp;$C$408&amp;"-"&amp;$D409,dat_nespresso_compet_chl!$H:$N,6,0),"")</f>
        <v>21</v>
      </c>
      <c r="I409" s="153">
        <f>IFERROR(VLOOKUP("胶囊咖啡"&amp;"-"&amp;I$354&amp;"-"&amp;$B$403&amp;"-"&amp;$C$408&amp;"-"&amp;$D409,dat_nespresso_compet_chl!$H:$N,6,0),"")</f>
        <v>11</v>
      </c>
      <c r="J409" s="153">
        <f>IFERROR(VLOOKUP("胶囊咖啡"&amp;"-"&amp;J$354&amp;"-"&amp;$B$403&amp;"-"&amp;$C$408&amp;"-"&amp;$D409,dat_nespresso_compet_chl!$H:$N,6,0),"")</f>
        <v>7</v>
      </c>
      <c r="K409" s="4"/>
      <c r="L409" s="4"/>
      <c r="M409" s="4"/>
      <c r="N409" s="4"/>
    </row>
    <row r="410" spans="2:16" x14ac:dyDescent="0.25">
      <c r="B410" s="279"/>
      <c r="C410" s="281"/>
      <c r="D410" s="22" t="s">
        <v>352</v>
      </c>
      <c r="E410" s="153">
        <f>IFERROR(VLOOKUP("胶囊咖啡"&amp;"-"&amp;E$354&amp;"-"&amp;$B$403&amp;"-"&amp;$C$408&amp;"-"&amp;$D410,dat_nespresso_compet_chl!$H:$N,6,0),"")</f>
        <v>0</v>
      </c>
      <c r="F410" s="153">
        <f>IFERROR(VLOOKUP("胶囊咖啡"&amp;"-"&amp;F$354&amp;"-"&amp;$B$403&amp;"-"&amp;$C$408&amp;"-"&amp;$D410,dat_nespresso_compet_chl!$H:$N,6,0),"")</f>
        <v>0</v>
      </c>
      <c r="G410" s="153">
        <f>IFERROR(VLOOKUP("胶囊咖啡"&amp;"-"&amp;G$354&amp;"-"&amp;$B$403&amp;"-"&amp;$C$408&amp;"-"&amp;$D410,dat_nespresso_compet_chl!$H:$N,6,0),"")</f>
        <v>0</v>
      </c>
      <c r="H410" s="153">
        <f>IFERROR(VLOOKUP("胶囊咖啡"&amp;"-"&amp;H$354&amp;"-"&amp;$B$403&amp;"-"&amp;$C$408&amp;"-"&amp;$D410,dat_nespresso_compet_chl!$H:$N,6,0),"")</f>
        <v>0</v>
      </c>
      <c r="I410" s="153">
        <f>IFERROR(VLOOKUP("胶囊咖啡"&amp;"-"&amp;I$354&amp;"-"&amp;$B$403&amp;"-"&amp;$C$408&amp;"-"&amp;$D410,dat_nespresso_compet_chl!$H:$N,6,0),"")</f>
        <v>0</v>
      </c>
      <c r="J410" s="153">
        <f>IFERROR(VLOOKUP("胶囊咖啡"&amp;"-"&amp;J$354&amp;"-"&amp;$B$403&amp;"-"&amp;$C$408&amp;"-"&amp;$D410,dat_nespresso_compet_chl!$H:$N,6,0),"")</f>
        <v>0</v>
      </c>
      <c r="K410" s="4"/>
      <c r="L410" s="4"/>
      <c r="M410" s="4"/>
      <c r="N410" s="4"/>
    </row>
    <row r="411" spans="2:16" x14ac:dyDescent="0.25">
      <c r="B411" s="279"/>
      <c r="C411" s="281"/>
      <c r="D411" s="22" t="s">
        <v>74</v>
      </c>
      <c r="E411" s="153">
        <f>IFERROR(VLOOKUP("胶囊咖啡"&amp;"-"&amp;E$354&amp;"-"&amp;$B$403&amp;"-"&amp;$C$408&amp;"-"&amp;$D411,dat_nespresso_compet_chl!$H:$N,6,0),"")</f>
        <v>1494</v>
      </c>
      <c r="F411" s="153">
        <f>IFERROR(VLOOKUP("胶囊咖啡"&amp;"-"&amp;F$354&amp;"-"&amp;$B$403&amp;"-"&amp;$C$408&amp;"-"&amp;$D411,dat_nespresso_compet_chl!$H:$N,6,0),"")</f>
        <v>1</v>
      </c>
      <c r="G411" s="153">
        <f>IFERROR(VLOOKUP("胶囊咖啡"&amp;"-"&amp;G$354&amp;"-"&amp;$B$403&amp;"-"&amp;$C$408&amp;"-"&amp;$D411,dat_nespresso_compet_chl!$H:$N,6,0),"")</f>
        <v>1</v>
      </c>
      <c r="H411" s="153">
        <f>IFERROR(VLOOKUP("胶囊咖啡"&amp;"-"&amp;H$354&amp;"-"&amp;$B$403&amp;"-"&amp;$C$408&amp;"-"&amp;$D411,dat_nespresso_compet_chl!$H:$N,6,0),"")</f>
        <v>1</v>
      </c>
      <c r="I411" s="153">
        <f>IFERROR(VLOOKUP("胶囊咖啡"&amp;"-"&amp;I$354&amp;"-"&amp;$B$403&amp;"-"&amp;$C$408&amp;"-"&amp;$D411,dat_nespresso_compet_chl!$H:$N,6,0),"")</f>
        <v>1</v>
      </c>
      <c r="J411" s="153">
        <f>IFERROR(VLOOKUP("胶囊咖啡"&amp;"-"&amp;J$354&amp;"-"&amp;$B$403&amp;"-"&amp;$C$408&amp;"-"&amp;$D411,dat_nespresso_compet_chl!$H:$N,6,0),"")</f>
        <v>0</v>
      </c>
      <c r="K411" s="4"/>
      <c r="L411" s="4"/>
      <c r="M411" s="4"/>
      <c r="N411" s="4"/>
    </row>
    <row r="412" spans="2:16" x14ac:dyDescent="0.25">
      <c r="B412" s="279"/>
      <c r="C412" s="287" t="s">
        <v>68</v>
      </c>
      <c r="D412" s="22" t="s">
        <v>70</v>
      </c>
      <c r="E412" s="153">
        <f>IFERROR(VLOOKUP("胶囊咖啡"&amp;"-"&amp;E$354&amp;"-"&amp;$B$403&amp;"-"&amp;$C$412&amp;"-"&amp;$D412,dat_nespresso_compet_chl!$H:$N,6,0),"")</f>
        <v>388</v>
      </c>
      <c r="F412" s="153">
        <f>IFERROR(VLOOKUP("胶囊咖啡"&amp;"-"&amp;F$354&amp;"-"&amp;$B$403&amp;"-"&amp;$C$412&amp;"-"&amp;$D412,dat_nespresso_compet_chl!$H:$N,6,0),"")</f>
        <v>8104</v>
      </c>
      <c r="G412" s="153">
        <f>IFERROR(VLOOKUP("胶囊咖啡"&amp;"-"&amp;G$354&amp;"-"&amp;$B$403&amp;"-"&amp;$C$412&amp;"-"&amp;$D412,dat_nespresso_compet_chl!$H:$N,6,0),"")</f>
        <v>1687</v>
      </c>
      <c r="H412" s="153">
        <f>IFERROR(VLOOKUP("胶囊咖啡"&amp;"-"&amp;H$354&amp;"-"&amp;$B$403&amp;"-"&amp;$C$412&amp;"-"&amp;$D412,dat_nespresso_compet_chl!$H:$N,6,0),"")</f>
        <v>1</v>
      </c>
      <c r="I412" s="153">
        <f>IFERROR(VLOOKUP("胶囊咖啡"&amp;"-"&amp;I$354&amp;"-"&amp;$B$403&amp;"-"&amp;$C$412&amp;"-"&amp;$D412,dat_nespresso_compet_chl!$H:$N,6,0),"")</f>
        <v>126</v>
      </c>
      <c r="J412" s="153">
        <f>IFERROR(VLOOKUP("胶囊咖啡"&amp;"-"&amp;J$354&amp;"-"&amp;$B$403&amp;"-"&amp;$C$412&amp;"-"&amp;$D412,dat_nespresso_compet_chl!$H:$N,6,0),"")</f>
        <v>1</v>
      </c>
      <c r="K412" s="4"/>
      <c r="L412" s="4"/>
      <c r="M412" s="4"/>
      <c r="N412" s="4"/>
    </row>
    <row r="413" spans="2:16" x14ac:dyDescent="0.25">
      <c r="B413" s="279"/>
      <c r="C413" s="283"/>
      <c r="D413" s="22" t="s">
        <v>69</v>
      </c>
      <c r="E413" s="153">
        <f>IFERROR(VLOOKUP("胶囊咖啡"&amp;"-"&amp;E$354&amp;"-"&amp;$B$403&amp;"-"&amp;$C$412&amp;"-"&amp;$D413,dat_nespresso_compet_chl!$H:$N,6,0),"")</f>
        <v>10521</v>
      </c>
      <c r="F413" s="153">
        <f>IFERROR(VLOOKUP("胶囊咖啡"&amp;"-"&amp;F$354&amp;"-"&amp;$B$403&amp;"-"&amp;$C$412&amp;"-"&amp;$D413,dat_nespresso_compet_chl!$H:$N,6,0),"")</f>
        <v>9</v>
      </c>
      <c r="G413" s="153">
        <f>IFERROR(VLOOKUP("胶囊咖啡"&amp;"-"&amp;G$354&amp;"-"&amp;$B$403&amp;"-"&amp;$C$412&amp;"-"&amp;$D413,dat_nespresso_compet_chl!$H:$N,6,0),"")</f>
        <v>3</v>
      </c>
      <c r="H413" s="153">
        <f>IFERROR(VLOOKUP("胶囊咖啡"&amp;"-"&amp;H$354&amp;"-"&amp;$B$403&amp;"-"&amp;$C$412&amp;"-"&amp;$D413,dat_nespresso_compet_chl!$H:$N,6,0),"")</f>
        <v>2389</v>
      </c>
      <c r="I413" s="153">
        <f>IFERROR(VLOOKUP("胶囊咖啡"&amp;"-"&amp;I$354&amp;"-"&amp;$B$403&amp;"-"&amp;$C$412&amp;"-"&amp;$D413,dat_nespresso_compet_chl!$H:$N,6,0),"")</f>
        <v>0</v>
      </c>
      <c r="J413" s="153">
        <f>IFERROR(VLOOKUP("胶囊咖啡"&amp;"-"&amp;J$354&amp;"-"&amp;$B$403&amp;"-"&amp;$C$412&amp;"-"&amp;$D413,dat_nespresso_compet_chl!$H:$N,6,0),"")</f>
        <v>115</v>
      </c>
      <c r="K413" s="4"/>
      <c r="L413" s="4"/>
      <c r="M413" s="4"/>
      <c r="N413" s="4"/>
    </row>
    <row r="414" spans="2:16" s="147" customFormat="1" ht="16.25" customHeight="1" x14ac:dyDescent="0.25">
      <c r="C414" s="22" t="s">
        <v>48</v>
      </c>
      <c r="D414" s="22" t="s">
        <v>49</v>
      </c>
      <c r="E414" s="287" t="s">
        <v>21</v>
      </c>
      <c r="F414" s="273"/>
      <c r="G414" s="273"/>
      <c r="H414" s="273"/>
      <c r="I414" s="273"/>
      <c r="J414" s="274"/>
      <c r="K414" s="4"/>
      <c r="L414" s="4"/>
      <c r="M414" s="4"/>
      <c r="N414" s="4"/>
      <c r="O414" s="1"/>
      <c r="P414" s="1"/>
    </row>
    <row r="415" spans="2:16" x14ac:dyDescent="0.25">
      <c r="B415" s="294" t="s">
        <v>59</v>
      </c>
      <c r="C415" s="293" t="s">
        <v>60</v>
      </c>
      <c r="D415" s="22" t="s">
        <v>61</v>
      </c>
      <c r="E415" s="152">
        <f>IFERROR(VLOOKUP("胶囊咖啡"&amp;"-"&amp;E$354&amp;"-"&amp;$B$415&amp;"-"&amp;$C$415&amp;"-"&amp;$D415,dat_nespresso_compet_chl!$H:$N,7,0),"")</f>
        <v>3.1899999999999998E-2</v>
      </c>
      <c r="F415" s="152">
        <f>IFERROR(VLOOKUP("胶囊咖啡"&amp;"-"&amp;F$354&amp;"-"&amp;$B$415&amp;"-"&amp;$C$415&amp;"-"&amp;$D415,dat_nespresso_compet_chl!$H:$N,7,0),"")</f>
        <v>3.6600000000000001E-2</v>
      </c>
      <c r="G415" s="152">
        <f>IFERROR(VLOOKUP("胶囊咖啡"&amp;"-"&amp;G$354&amp;"-"&amp;$B$415&amp;"-"&amp;$C$415&amp;"-"&amp;$D415,dat_nespresso_compet_chl!$H:$N,7,0),"")</f>
        <v>3.9199999999999999E-2</v>
      </c>
      <c r="H415" s="152">
        <f>IFERROR(VLOOKUP("胶囊咖啡"&amp;"-"&amp;H$354&amp;"-"&amp;$B$415&amp;"-"&amp;$C$415&amp;"-"&amp;$D415,dat_nespresso_compet_chl!$H:$N,7,0),"")</f>
        <v>0.11169999999999999</v>
      </c>
      <c r="I415" s="152">
        <f>IFERROR(VLOOKUP("胶囊咖啡"&amp;"-"&amp;I$354&amp;"-"&amp;$B$415&amp;"-"&amp;$C$415&amp;"-"&amp;$D415,dat_nespresso_compet_chl!$H:$N,7,0),"")</f>
        <v>8.2400000000000001E-2</v>
      </c>
      <c r="J415" s="152">
        <f>IFERROR(VLOOKUP("胶囊咖啡"&amp;"-"&amp;J$354&amp;"-"&amp;$B$415&amp;"-"&amp;$C$415&amp;"-"&amp;$D415,dat_nespresso_compet_chl!$H:$N,7,0),"")</f>
        <v>4.7800000000000002E-2</v>
      </c>
      <c r="K415" s="4"/>
      <c r="L415" s="4"/>
      <c r="M415" s="4"/>
      <c r="N415" s="4"/>
    </row>
    <row r="416" spans="2:16" x14ac:dyDescent="0.25">
      <c r="B416" s="279"/>
      <c r="C416" s="281"/>
      <c r="D416" s="22" t="s">
        <v>63</v>
      </c>
      <c r="E416" s="152">
        <f>IFERROR(VLOOKUP("胶囊咖啡"&amp;"-"&amp;E$354&amp;"-"&amp;$B$415&amp;"-"&amp;$C$415&amp;"-"&amp;$D416,dat_nespresso_compet_chl!$H:$N,7,0),"")</f>
        <v>3.5799999999999998E-2</v>
      </c>
      <c r="F416" s="152">
        <f>IFERROR(VLOOKUP("胶囊咖啡"&amp;"-"&amp;F$354&amp;"-"&amp;$B$415&amp;"-"&amp;$C$415&amp;"-"&amp;$D416,dat_nespresso_compet_chl!$H:$N,7,0),"")</f>
        <v>1.77E-2</v>
      </c>
      <c r="G416" s="152">
        <f>IFERROR(VLOOKUP("胶囊咖啡"&amp;"-"&amp;G$354&amp;"-"&amp;$B$415&amp;"-"&amp;$C$415&amp;"-"&amp;$D416,dat_nespresso_compet_chl!$H:$N,7,0),"")</f>
        <v>3.3399999999999999E-2</v>
      </c>
      <c r="H416" s="152">
        <f>IFERROR(VLOOKUP("胶囊咖啡"&amp;"-"&amp;H$354&amp;"-"&amp;$B$415&amp;"-"&amp;$C$415&amp;"-"&amp;$D416,dat_nespresso_compet_chl!$H:$N,7,0),"")</f>
        <v>5.5E-2</v>
      </c>
      <c r="I416" s="152">
        <f>IFERROR(VLOOKUP("胶囊咖啡"&amp;"-"&amp;I$354&amp;"-"&amp;$B$415&amp;"-"&amp;$C$415&amp;"-"&amp;$D416,dat_nespresso_compet_chl!$H:$N,7,0),"")</f>
        <v>3.5799999999999998E-2</v>
      </c>
      <c r="J416" s="152">
        <f>IFERROR(VLOOKUP("胶囊咖啡"&amp;"-"&amp;J$354&amp;"-"&amp;$B$415&amp;"-"&amp;$C$415&amp;"-"&amp;$D416,dat_nespresso_compet_chl!$H:$N,7,0),"")</f>
        <v>6.0499999999999998E-2</v>
      </c>
      <c r="K416" s="4"/>
      <c r="L416" s="4"/>
      <c r="M416" s="4"/>
      <c r="N416" s="4"/>
    </row>
    <row r="417" spans="2:15" x14ac:dyDescent="0.25">
      <c r="B417" s="279"/>
      <c r="C417" s="281"/>
      <c r="D417" s="22" t="s">
        <v>62</v>
      </c>
      <c r="E417" s="152">
        <f>IFERROR(VLOOKUP("胶囊咖啡"&amp;"-"&amp;E$354&amp;"-"&amp;$B$415&amp;"-"&amp;$C$415&amp;"-"&amp;$D417,dat_nespresso_compet_chl!$H:$N,7,0),"")</f>
        <v>1.1000000000000001E-3</v>
      </c>
      <c r="F417" s="152">
        <f>IFERROR(VLOOKUP("胶囊咖啡"&amp;"-"&amp;F$354&amp;"-"&amp;$B$415&amp;"-"&amp;$C$415&amp;"-"&amp;$D417,dat_nespresso_compet_chl!$H:$N,7,0),"")</f>
        <v>5.7999999999999996E-3</v>
      </c>
      <c r="G417" s="152">
        <f>IFERROR(VLOOKUP("胶囊咖啡"&amp;"-"&amp;G$354&amp;"-"&amp;$B$415&amp;"-"&amp;$C$415&amp;"-"&amp;$D417,dat_nespresso_compet_chl!$H:$N,7,0),"")</f>
        <v>2.0400000000000001E-2</v>
      </c>
      <c r="H417" s="152">
        <f>IFERROR(VLOOKUP("胶囊咖啡"&amp;"-"&amp;H$354&amp;"-"&amp;$B$415&amp;"-"&amp;$C$415&amp;"-"&amp;$D417,dat_nespresso_compet_chl!$H:$N,7,0),"")</f>
        <v>2.4E-2</v>
      </c>
      <c r="I417" s="152">
        <f>IFERROR(VLOOKUP("胶囊咖啡"&amp;"-"&amp;I$354&amp;"-"&amp;$B$415&amp;"-"&amp;$C$415&amp;"-"&amp;$D417,dat_nespresso_compet_chl!$H:$N,7,0),"")</f>
        <v>2.0999999999999999E-3</v>
      </c>
      <c r="J417" s="152">
        <f>IFERROR(VLOOKUP("胶囊咖啡"&amp;"-"&amp;J$354&amp;"-"&amp;$B$415&amp;"-"&amp;$C$415&amp;"-"&amp;$D417,dat_nespresso_compet_chl!$H:$N,7,0),"")</f>
        <v>1.61E-2</v>
      </c>
      <c r="K417" s="4"/>
      <c r="L417" s="4"/>
      <c r="M417" s="4"/>
      <c r="N417" s="4"/>
    </row>
    <row r="418" spans="2:15" x14ac:dyDescent="0.25">
      <c r="B418" s="279"/>
      <c r="C418" s="293" t="s">
        <v>64</v>
      </c>
      <c r="D418" s="22" t="s">
        <v>65</v>
      </c>
      <c r="E418" s="152">
        <f>IFERROR(VLOOKUP("胶囊咖啡"&amp;"-"&amp;E$354&amp;"-"&amp;$B$415&amp;"-"&amp;$C$418&amp;"-"&amp;$D418,dat_nespresso_compet_chl!$H:$N,7,0),"")</f>
        <v>0.13489999999999999</v>
      </c>
      <c r="F418" s="152">
        <f>IFERROR(VLOOKUP("胶囊咖啡"&amp;"-"&amp;F$354&amp;"-"&amp;$B$415&amp;"-"&amp;$C$418&amp;"-"&amp;$D418,dat_nespresso_compet_chl!$H:$N,7,0),"")</f>
        <v>4.5699999999999998E-2</v>
      </c>
      <c r="G418" s="152">
        <f>IFERROR(VLOOKUP("胶囊咖啡"&amp;"-"&amp;G$354&amp;"-"&amp;$B$415&amp;"-"&amp;$C$418&amp;"-"&amp;$D418,dat_nespresso_compet_chl!$H:$N,7,0),"")</f>
        <v>4.0300000000000002E-2</v>
      </c>
      <c r="H418" s="152">
        <f>IFERROR(VLOOKUP("胶囊咖啡"&amp;"-"&amp;H$354&amp;"-"&amp;$B$415&amp;"-"&amp;$C$418&amp;"-"&amp;$D418,dat_nespresso_compet_chl!$H:$N,7,0),"")</f>
        <v>0.1014</v>
      </c>
      <c r="I418" s="152">
        <f>IFERROR(VLOOKUP("胶囊咖啡"&amp;"-"&amp;I$354&amp;"-"&amp;$B$415&amp;"-"&amp;$C$418&amp;"-"&amp;$D418,dat_nespresso_compet_chl!$H:$N,7,0),"")</f>
        <v>0.10440000000000001</v>
      </c>
      <c r="J418" s="152">
        <f>IFERROR(VLOOKUP("胶囊咖啡"&amp;"-"&amp;J$354&amp;"-"&amp;$B$415&amp;"-"&amp;$C$418&amp;"-"&amp;$D418,dat_nespresso_compet_chl!$H:$N,7,0),"")</f>
        <v>1</v>
      </c>
      <c r="K418" s="4"/>
      <c r="L418" s="4"/>
      <c r="M418" s="4"/>
      <c r="N418" s="4"/>
    </row>
    <row r="419" spans="2:15" x14ac:dyDescent="0.25">
      <c r="B419" s="279"/>
      <c r="C419" s="281"/>
      <c r="D419" s="22" t="s">
        <v>67</v>
      </c>
      <c r="E419" s="152">
        <f>IFERROR(VLOOKUP("胶囊咖啡"&amp;"-"&amp;E$354&amp;"-"&amp;$B$415&amp;"-"&amp;$C$418&amp;"-"&amp;$D419,dat_nespresso_compet_chl!$H:$N,7,0),"")</f>
        <v>9.01E-2</v>
      </c>
      <c r="F419" s="152">
        <f>IFERROR(VLOOKUP("胶囊咖啡"&amp;"-"&amp;F$354&amp;"-"&amp;$B$415&amp;"-"&amp;$C$418&amp;"-"&amp;$D419,dat_nespresso_compet_chl!$H:$N,7,0),"")</f>
        <v>0</v>
      </c>
      <c r="G419" s="152">
        <f>IFERROR(VLOOKUP("胶囊咖啡"&amp;"-"&amp;G$354&amp;"-"&amp;$B$415&amp;"-"&amp;$C$418&amp;"-"&amp;$D419,dat_nespresso_compet_chl!$H:$N,7,0),"")</f>
        <v>0</v>
      </c>
      <c r="H419" s="152">
        <f>IFERROR(VLOOKUP("胶囊咖啡"&amp;"-"&amp;H$354&amp;"-"&amp;$B$415&amp;"-"&amp;$C$418&amp;"-"&amp;$D419,dat_nespresso_compet_chl!$H:$N,7,0),"")</f>
        <v>0</v>
      </c>
      <c r="I419" s="152">
        <f>IFERROR(VLOOKUP("胶囊咖啡"&amp;"-"&amp;I$354&amp;"-"&amp;$B$415&amp;"-"&amp;$C$418&amp;"-"&amp;$D419,dat_nespresso_compet_chl!$H:$N,7,0),"")</f>
        <v>0</v>
      </c>
      <c r="J419" s="152">
        <f>IFERROR(VLOOKUP("胶囊咖啡"&amp;"-"&amp;J$354&amp;"-"&amp;$B$415&amp;"-"&amp;$C$418&amp;"-"&amp;$D419,dat_nespresso_compet_chl!$H:$N,7,0),"")</f>
        <v>0.1181</v>
      </c>
      <c r="K419" s="4"/>
      <c r="L419" s="4"/>
      <c r="M419" s="4"/>
      <c r="N419" s="4"/>
    </row>
    <row r="420" spans="2:15" x14ac:dyDescent="0.25">
      <c r="B420" s="279"/>
      <c r="C420" s="293" t="s">
        <v>72</v>
      </c>
      <c r="D420" s="22" t="s">
        <v>73</v>
      </c>
      <c r="E420" s="152">
        <f>IFERROR(VLOOKUP("胶囊咖啡"&amp;"-"&amp;E$354&amp;"-"&amp;$B$415&amp;"-"&amp;$C$420&amp;"-"&amp;$D420,dat_nespresso_compet_chl!$H:$N,7,0),"")</f>
        <v>7.7299999999999994E-2</v>
      </c>
      <c r="F420" s="152">
        <f>IFERROR(VLOOKUP("胶囊咖啡"&amp;"-"&amp;F$354&amp;"-"&amp;$B$415&amp;"-"&amp;$C$420&amp;"-"&amp;$D420,dat_nespresso_compet_chl!$H:$N,7,0),"")</f>
        <v>5.6500000000000002E-2</v>
      </c>
      <c r="G420" s="152">
        <f>IFERROR(VLOOKUP("胶囊咖啡"&amp;"-"&amp;G$354&amp;"-"&amp;$B$415&amp;"-"&amp;$C$420&amp;"-"&amp;$D420,dat_nespresso_compet_chl!$H:$N,7,0),"")</f>
        <v>0.14280000000000001</v>
      </c>
      <c r="H420" s="152">
        <f>IFERROR(VLOOKUP("胶囊咖啡"&amp;"-"&amp;H$354&amp;"-"&amp;$B$415&amp;"-"&amp;$C$420&amp;"-"&amp;$D420,dat_nespresso_compet_chl!$H:$N,7,0),"")</f>
        <v>0.1179</v>
      </c>
      <c r="I420" s="152">
        <f>IFERROR(VLOOKUP("胶囊咖啡"&amp;"-"&amp;I$354&amp;"-"&amp;$B$415&amp;"-"&amp;$C$420&amp;"-"&amp;$D420,dat_nespresso_compet_chl!$H:$N,7,0),"")</f>
        <v>6.6299999999999998E-2</v>
      </c>
      <c r="J420" s="152">
        <f>IFERROR(VLOOKUP("胶囊咖啡"&amp;"-"&amp;J$354&amp;"-"&amp;$B$415&amp;"-"&amp;$C$420&amp;"-"&amp;$D420,dat_nespresso_compet_chl!$H:$N,7,0),"")</f>
        <v>0.22320000000000001</v>
      </c>
      <c r="K420" s="4"/>
      <c r="L420" s="4"/>
      <c r="M420" s="4"/>
      <c r="N420" s="4"/>
    </row>
    <row r="421" spans="2:15" x14ac:dyDescent="0.25">
      <c r="B421" s="279"/>
      <c r="C421" s="281"/>
      <c r="D421" s="22" t="s">
        <v>75</v>
      </c>
      <c r="E421" s="152">
        <f>IFERROR(VLOOKUP("胶囊咖啡"&amp;"-"&amp;E$354&amp;"-"&amp;$B$415&amp;"-"&amp;$C$420&amp;"-"&amp;$D421,dat_nespresso_compet_chl!$H:$N,7,0),"")</f>
        <v>0</v>
      </c>
      <c r="F421" s="152">
        <f>IFERROR(VLOOKUP("胶囊咖啡"&amp;"-"&amp;F$354&amp;"-"&amp;$B$415&amp;"-"&amp;$C$420&amp;"-"&amp;$D421,dat_nespresso_compet_chl!$H:$N,7,0),"")</f>
        <v>0</v>
      </c>
      <c r="G421" s="152">
        <f>IFERROR(VLOOKUP("胶囊咖啡"&amp;"-"&amp;G$354&amp;"-"&amp;$B$415&amp;"-"&amp;$C$420&amp;"-"&amp;$D421,dat_nespresso_compet_chl!$H:$N,7,0),"")</f>
        <v>0</v>
      </c>
      <c r="H421" s="152">
        <f>IFERROR(VLOOKUP("胶囊咖啡"&amp;"-"&amp;H$354&amp;"-"&amp;$B$415&amp;"-"&amp;$C$420&amp;"-"&amp;$D421,dat_nespresso_compet_chl!$H:$N,7,0),"")</f>
        <v>0</v>
      </c>
      <c r="I421" s="152">
        <f>IFERROR(VLOOKUP("胶囊咖啡"&amp;"-"&amp;I$354&amp;"-"&amp;$B$415&amp;"-"&amp;$C$420&amp;"-"&amp;$D421,dat_nespresso_compet_chl!$H:$N,7,0),"")</f>
        <v>9.0899999999999995E-2</v>
      </c>
      <c r="J421" s="152">
        <f>IFERROR(VLOOKUP("胶囊咖啡"&amp;"-"&amp;J$354&amp;"-"&amp;$B$415&amp;"-"&amp;$C$420&amp;"-"&amp;$D421,dat_nespresso_compet_chl!$H:$N,7,0),"")</f>
        <v>0</v>
      </c>
      <c r="K421" s="4"/>
      <c r="L421" s="4"/>
      <c r="M421" s="4"/>
      <c r="N421" s="4"/>
    </row>
    <row r="422" spans="2:15" x14ac:dyDescent="0.25">
      <c r="B422" s="279"/>
      <c r="C422" s="281"/>
      <c r="D422" s="22" t="s">
        <v>352</v>
      </c>
      <c r="E422" s="152">
        <f>IFERROR(VLOOKUP("胶囊咖啡"&amp;"-"&amp;E$354&amp;"-"&amp;$B$415&amp;"-"&amp;$C$420&amp;"-"&amp;$D422,dat_nespresso_compet_chl!$H:$N,7,0),"")</f>
        <v>0</v>
      </c>
      <c r="F422" s="152">
        <f>IFERROR(VLOOKUP("胶囊咖啡"&amp;"-"&amp;F$354&amp;"-"&amp;$B$415&amp;"-"&amp;$C$420&amp;"-"&amp;$D422,dat_nespresso_compet_chl!$H:$N,7,0),"")</f>
        <v>0</v>
      </c>
      <c r="G422" s="152">
        <f>IFERROR(VLOOKUP("胶囊咖啡"&amp;"-"&amp;G$354&amp;"-"&amp;$B$415&amp;"-"&amp;$C$420&amp;"-"&amp;$D422,dat_nespresso_compet_chl!$H:$N,7,0),"")</f>
        <v>0</v>
      </c>
      <c r="H422" s="152">
        <f>IFERROR(VLOOKUP("胶囊咖啡"&amp;"-"&amp;H$354&amp;"-"&amp;$B$415&amp;"-"&amp;$C$420&amp;"-"&amp;$D422,dat_nespresso_compet_chl!$H:$N,7,0),"")</f>
        <v>0</v>
      </c>
      <c r="I422" s="152">
        <f>IFERROR(VLOOKUP("胶囊咖啡"&amp;"-"&amp;I$354&amp;"-"&amp;$B$415&amp;"-"&amp;$C$420&amp;"-"&amp;$D422,dat_nespresso_compet_chl!$H:$N,7,0),"")</f>
        <v>0</v>
      </c>
      <c r="J422" s="152">
        <f>IFERROR(VLOOKUP("胶囊咖啡"&amp;"-"&amp;J$354&amp;"-"&amp;$B$415&amp;"-"&amp;$C$420&amp;"-"&amp;$D422,dat_nespresso_compet_chl!$H:$N,7,0),"")</f>
        <v>0</v>
      </c>
      <c r="K422" s="4"/>
      <c r="L422" s="4"/>
      <c r="M422" s="4"/>
      <c r="N422" s="4"/>
    </row>
    <row r="423" spans="2:15" x14ac:dyDescent="0.25">
      <c r="B423" s="279"/>
      <c r="C423" s="281"/>
      <c r="D423" s="22" t="s">
        <v>74</v>
      </c>
      <c r="E423" s="152">
        <f>IFERROR(VLOOKUP("胶囊咖啡"&amp;"-"&amp;E$354&amp;"-"&amp;$B$415&amp;"-"&amp;$C$420&amp;"-"&amp;$D423,dat_nespresso_compet_chl!$H:$N,7,0),"")</f>
        <v>0</v>
      </c>
      <c r="F423" s="152">
        <f>IFERROR(VLOOKUP("胶囊咖啡"&amp;"-"&amp;F$354&amp;"-"&amp;$B$415&amp;"-"&amp;$C$420&amp;"-"&amp;$D423,dat_nespresso_compet_chl!$H:$N,7,0),"")</f>
        <v>0</v>
      </c>
      <c r="G423" s="152">
        <f>IFERROR(VLOOKUP("胶囊咖啡"&amp;"-"&amp;G$354&amp;"-"&amp;$B$415&amp;"-"&amp;$C$420&amp;"-"&amp;$D423,dat_nespresso_compet_chl!$H:$N,7,0),"")</f>
        <v>0</v>
      </c>
      <c r="H423" s="152">
        <f>IFERROR(VLOOKUP("胶囊咖啡"&amp;"-"&amp;H$354&amp;"-"&amp;$B$415&amp;"-"&amp;$C$420&amp;"-"&amp;$D423,dat_nespresso_compet_chl!$H:$N,7,0),"")</f>
        <v>0</v>
      </c>
      <c r="I423" s="152">
        <f>IFERROR(VLOOKUP("胶囊咖啡"&amp;"-"&amp;I$354&amp;"-"&amp;$B$415&amp;"-"&amp;$C$420&amp;"-"&amp;$D423,dat_nespresso_compet_chl!$H:$N,7,0),"")</f>
        <v>0</v>
      </c>
      <c r="J423" s="152">
        <f>IFERROR(VLOOKUP("胶囊咖啡"&amp;"-"&amp;J$354&amp;"-"&amp;$B$415&amp;"-"&amp;$C$420&amp;"-"&amp;$D423,dat_nespresso_compet_chl!$H:$N,7,0),"")</f>
        <v>0</v>
      </c>
      <c r="K423" s="4"/>
      <c r="L423" s="4"/>
      <c r="M423" s="4"/>
      <c r="N423" s="4"/>
    </row>
    <row r="424" spans="2:15" x14ac:dyDescent="0.25">
      <c r="B424" s="279"/>
      <c r="C424" s="287" t="s">
        <v>68</v>
      </c>
      <c r="D424" s="22" t="s">
        <v>70</v>
      </c>
      <c r="E424" s="152">
        <f>IFERROR(VLOOKUP("胶囊咖啡"&amp;"-"&amp;E$354&amp;"-"&amp;$B$415&amp;"-"&amp;$C$424&amp;"-"&amp;$D424,dat_nespresso_compet_chl!$H:$N,7,0),"")</f>
        <v>0</v>
      </c>
      <c r="F424" s="152">
        <f>IFERROR(VLOOKUP("胶囊咖啡"&amp;"-"&amp;F$354&amp;"-"&amp;$B$415&amp;"-"&amp;$C$424&amp;"-"&amp;$D424,dat_nespresso_compet_chl!$H:$N,7,0),"")</f>
        <v>0</v>
      </c>
      <c r="G424" s="152">
        <f>IFERROR(VLOOKUP("胶囊咖啡"&amp;"-"&amp;G$354&amp;"-"&amp;$B$415&amp;"-"&amp;$C$424&amp;"-"&amp;$D424,dat_nespresso_compet_chl!$H:$N,7,0),"")</f>
        <v>0</v>
      </c>
      <c r="H424" s="152">
        <f>IFERROR(VLOOKUP("胶囊咖啡"&amp;"-"&amp;H$354&amp;"-"&amp;$B$415&amp;"-"&amp;$C$424&amp;"-"&amp;$D424,dat_nespresso_compet_chl!$H:$N,7,0),"")</f>
        <v>0</v>
      </c>
      <c r="I424" s="152">
        <f>IFERROR(VLOOKUP("胶囊咖啡"&amp;"-"&amp;I$354&amp;"-"&amp;$B$415&amp;"-"&amp;$C$424&amp;"-"&amp;$D424,dat_nespresso_compet_chl!$H:$N,7,0),"")</f>
        <v>0</v>
      </c>
      <c r="J424" s="152">
        <f>IFERROR(VLOOKUP("胶囊咖啡"&amp;"-"&amp;J$354&amp;"-"&amp;$B$415&amp;"-"&amp;$C$424&amp;"-"&amp;$D424,dat_nespresso_compet_chl!$H:$N,7,0),"")</f>
        <v>0</v>
      </c>
      <c r="K424" s="4"/>
      <c r="L424" s="4"/>
      <c r="M424" s="4"/>
      <c r="N424" s="4"/>
    </row>
    <row r="425" spans="2:15" x14ac:dyDescent="0.25">
      <c r="B425" s="279"/>
      <c r="C425" s="283"/>
      <c r="D425" s="22" t="s">
        <v>69</v>
      </c>
      <c r="E425" s="152">
        <f>IFERROR(VLOOKUP("胶囊咖啡"&amp;"-"&amp;E$354&amp;"-"&amp;$B$415&amp;"-"&amp;$C$424&amp;"-"&amp;$D425,dat_nespresso_compet_chl!$H:$N,7,0),"")</f>
        <v>0</v>
      </c>
      <c r="F425" s="152">
        <f>IFERROR(VLOOKUP("胶囊咖啡"&amp;"-"&amp;F$354&amp;"-"&amp;$B$415&amp;"-"&amp;$C$424&amp;"-"&amp;$D425,dat_nespresso_compet_chl!$H:$N,7,0),"")</f>
        <v>0</v>
      </c>
      <c r="G425" s="152">
        <f>IFERROR(VLOOKUP("胶囊咖啡"&amp;"-"&amp;G$354&amp;"-"&amp;$B$415&amp;"-"&amp;$C$424&amp;"-"&amp;$D425,dat_nespresso_compet_chl!$H:$N,7,0),"")</f>
        <v>0</v>
      </c>
      <c r="H425" s="152">
        <f>IFERROR(VLOOKUP("胶囊咖啡"&amp;"-"&amp;H$354&amp;"-"&amp;$B$415&amp;"-"&amp;$C$424&amp;"-"&amp;$D425,dat_nespresso_compet_chl!$H:$N,7,0),"")</f>
        <v>0</v>
      </c>
      <c r="I425" s="152">
        <f>IFERROR(VLOOKUP("胶囊咖啡"&amp;"-"&amp;I$354&amp;"-"&amp;$B$415&amp;"-"&amp;$C$424&amp;"-"&amp;$D425,dat_nespresso_compet_chl!$H:$N,7,0),"")</f>
        <v>0</v>
      </c>
      <c r="J425" s="152">
        <f>IFERROR(VLOOKUP("胶囊咖啡"&amp;"-"&amp;J$354&amp;"-"&amp;$B$415&amp;"-"&amp;$C$424&amp;"-"&amp;$D425,dat_nespresso_compet_chl!$H:$N,7,0),"")</f>
        <v>0</v>
      </c>
      <c r="K425" s="4"/>
      <c r="L425" s="4"/>
      <c r="M425" s="4"/>
      <c r="N425" s="4"/>
    </row>
    <row r="426" spans="2:15" s="4" customFormat="1" ht="14.5" customHeight="1" x14ac:dyDescent="0.25"/>
    <row r="427" spans="2:15" s="4" customFormat="1" ht="14.5" customHeight="1" x14ac:dyDescent="0.25"/>
    <row r="429" spans="2:15" s="49" customFormat="1" ht="16.25" customHeight="1" x14ac:dyDescent="0.25">
      <c r="B429" s="289" t="s">
        <v>474</v>
      </c>
      <c r="C429" s="290"/>
      <c r="D429" s="290"/>
      <c r="E429" s="290"/>
      <c r="F429" s="290"/>
      <c r="G429" s="155"/>
      <c r="H429" s="155"/>
      <c r="I429" s="155"/>
      <c r="M429" s="50"/>
      <c r="N429" s="50"/>
      <c r="O429" s="50"/>
    </row>
    <row r="430" spans="2:15" ht="18" customHeight="1" thickBot="1" x14ac:dyDescent="0.3"/>
    <row r="431" spans="2:15" ht="17" customHeight="1" thickBot="1" x14ac:dyDescent="0.3">
      <c r="B431" s="325" t="s">
        <v>10848</v>
      </c>
      <c r="C431" s="326"/>
      <c r="D431" s="326"/>
      <c r="F431" s="272" t="s">
        <v>10853</v>
      </c>
      <c r="G431" s="274"/>
      <c r="I431" s="346" t="s">
        <v>354</v>
      </c>
      <c r="J431" s="347"/>
    </row>
    <row r="432" spans="2:15" ht="16.25" customHeight="1" thickBot="1" x14ac:dyDescent="0.3">
      <c r="B432" s="230" t="s">
        <v>355</v>
      </c>
      <c r="C432" s="231">
        <v>2022.12</v>
      </c>
      <c r="D432" s="231">
        <v>2023.12</v>
      </c>
      <c r="F432" s="219" t="s">
        <v>355</v>
      </c>
      <c r="G432" s="227" t="s">
        <v>356</v>
      </c>
      <c r="I432" s="234" t="s">
        <v>355</v>
      </c>
      <c r="J432" s="234" t="s">
        <v>357</v>
      </c>
    </row>
    <row r="433" spans="2:20" ht="19" customHeight="1" x14ac:dyDescent="0.25">
      <c r="B433" s="232" t="s">
        <v>30</v>
      </c>
      <c r="C433" s="229">
        <v>55947</v>
      </c>
      <c r="D433" s="229">
        <v>58544</v>
      </c>
      <c r="F433" s="232" t="s">
        <v>30</v>
      </c>
      <c r="G433" s="229">
        <v>91266</v>
      </c>
      <c r="I433" s="229" t="s">
        <v>10920</v>
      </c>
      <c r="J433" s="152">
        <v>0.71430000000000005</v>
      </c>
    </row>
    <row r="434" spans="2:20" ht="19" customHeight="1" x14ac:dyDescent="0.25">
      <c r="B434" s="233" t="s">
        <v>475</v>
      </c>
      <c r="C434" s="229">
        <v>58492</v>
      </c>
      <c r="D434" s="229">
        <v>51008</v>
      </c>
      <c r="F434" s="233" t="s">
        <v>475</v>
      </c>
      <c r="G434" s="229">
        <v>81675</v>
      </c>
      <c r="I434" s="229" t="s">
        <v>10921</v>
      </c>
      <c r="J434" s="152">
        <v>0.66669999999999996</v>
      </c>
    </row>
    <row r="435" spans="2:20" ht="19" customHeight="1" x14ac:dyDescent="0.25">
      <c r="B435" s="233" t="s">
        <v>93</v>
      </c>
      <c r="C435" s="229">
        <v>18381</v>
      </c>
      <c r="D435" s="229">
        <v>13678</v>
      </c>
      <c r="F435" s="233" t="s">
        <v>93</v>
      </c>
      <c r="G435" s="229">
        <v>20485</v>
      </c>
      <c r="I435" s="229" t="s">
        <v>10922</v>
      </c>
      <c r="J435" s="152">
        <v>0.56669999999999998</v>
      </c>
    </row>
    <row r="436" spans="2:20" ht="19" customHeight="1" x14ac:dyDescent="0.25">
      <c r="B436" s="233" t="s">
        <v>476</v>
      </c>
      <c r="C436" s="229">
        <v>13225</v>
      </c>
      <c r="D436" s="229">
        <v>11595</v>
      </c>
      <c r="F436" s="233" t="s">
        <v>476</v>
      </c>
      <c r="G436" s="229">
        <v>15801</v>
      </c>
      <c r="I436" s="229" t="s">
        <v>10923</v>
      </c>
      <c r="J436" s="152">
        <v>0.5</v>
      </c>
    </row>
    <row r="437" spans="2:20" ht="19" customHeight="1" x14ac:dyDescent="0.25">
      <c r="B437" s="233" t="s">
        <v>477</v>
      </c>
      <c r="C437" s="229">
        <v>6122</v>
      </c>
      <c r="D437" s="229">
        <v>11252</v>
      </c>
      <c r="F437" s="233" t="s">
        <v>477</v>
      </c>
      <c r="G437" s="229">
        <v>16201</v>
      </c>
      <c r="I437" s="229" t="s">
        <v>10924</v>
      </c>
      <c r="J437" s="152">
        <v>0.46429999999999999</v>
      </c>
    </row>
    <row r="438" spans="2:20" ht="19" customHeight="1" x14ac:dyDescent="0.25">
      <c r="B438" s="233" t="s">
        <v>94</v>
      </c>
      <c r="C438" s="229">
        <v>14312</v>
      </c>
      <c r="D438" s="229">
        <v>10102</v>
      </c>
      <c r="F438" s="233" t="s">
        <v>94</v>
      </c>
      <c r="G438" s="229">
        <v>13852</v>
      </c>
      <c r="I438" s="229" t="s">
        <v>10925</v>
      </c>
      <c r="J438" s="152">
        <v>0.35799999999999998</v>
      </c>
    </row>
    <row r="439" spans="2:20" ht="19" customHeight="1" x14ac:dyDescent="0.25">
      <c r="B439" s="233" t="s">
        <v>478</v>
      </c>
      <c r="C439" s="229">
        <v>15580</v>
      </c>
      <c r="D439" s="229">
        <v>9261</v>
      </c>
      <c r="F439" s="233" t="s">
        <v>478</v>
      </c>
      <c r="G439" s="229">
        <v>11682</v>
      </c>
      <c r="I439" s="229" t="s">
        <v>10926</v>
      </c>
      <c r="J439" s="152">
        <v>0.33329999999999999</v>
      </c>
    </row>
    <row r="440" spans="2:20" ht="19" customHeight="1" x14ac:dyDescent="0.25">
      <c r="B440" s="233" t="s">
        <v>480</v>
      </c>
      <c r="C440" s="229">
        <v>5658</v>
      </c>
      <c r="D440" s="229">
        <v>5907</v>
      </c>
      <c r="F440" s="233" t="s">
        <v>481</v>
      </c>
      <c r="G440" s="229">
        <v>9211</v>
      </c>
      <c r="I440" s="229" t="s">
        <v>10927</v>
      </c>
      <c r="J440" s="152">
        <v>0.33329999999999999</v>
      </c>
    </row>
    <row r="441" spans="2:20" ht="19" customHeight="1" x14ac:dyDescent="0.25">
      <c r="B441" s="233" t="s">
        <v>481</v>
      </c>
      <c r="C441" s="229">
        <v>4911</v>
      </c>
      <c r="D441" s="229">
        <v>5819</v>
      </c>
      <c r="F441" s="233" t="s">
        <v>480</v>
      </c>
      <c r="G441" s="229">
        <v>8770</v>
      </c>
      <c r="I441" s="229" t="s">
        <v>10928</v>
      </c>
      <c r="J441" s="152">
        <v>0.33329999999999999</v>
      </c>
    </row>
    <row r="442" spans="2:20" ht="19" customHeight="1" x14ac:dyDescent="0.25">
      <c r="B442" s="233" t="s">
        <v>479</v>
      </c>
      <c r="C442" s="229">
        <v>11673</v>
      </c>
      <c r="D442" s="229">
        <v>6306</v>
      </c>
      <c r="F442" s="233" t="s">
        <v>479</v>
      </c>
      <c r="G442" s="229">
        <v>9672</v>
      </c>
      <c r="I442" s="229" t="s">
        <v>10929</v>
      </c>
      <c r="J442" s="152">
        <v>0.3</v>
      </c>
    </row>
    <row r="443" spans="2:20" x14ac:dyDescent="0.25">
      <c r="G443" s="167"/>
      <c r="K443" s="191"/>
      <c r="L443" s="191"/>
      <c r="O443" s="167"/>
      <c r="P443" s="190"/>
      <c r="S443" s="167"/>
      <c r="T443" s="190"/>
    </row>
  </sheetData>
  <mergeCells count="135">
    <mergeCell ref="B431:D431"/>
    <mergeCell ref="I431:J431"/>
    <mergeCell ref="B403:B413"/>
    <mergeCell ref="B415:B425"/>
    <mergeCell ref="B18:F18"/>
    <mergeCell ref="B20:O20"/>
    <mergeCell ref="Q20:AC20"/>
    <mergeCell ref="B22:B28"/>
    <mergeCell ref="B29:B35"/>
    <mergeCell ref="B36:B42"/>
    <mergeCell ref="B75:B79"/>
    <mergeCell ref="B81:O81"/>
    <mergeCell ref="B83:B84"/>
    <mergeCell ref="B117:F117"/>
    <mergeCell ref="B119:E119"/>
    <mergeCell ref="G119:S119"/>
    <mergeCell ref="U119:AG119"/>
    <mergeCell ref="F121:F125"/>
    <mergeCell ref="F126:F130"/>
    <mergeCell ref="B85:B86"/>
    <mergeCell ref="B88:M88"/>
    <mergeCell ref="B89:B90"/>
    <mergeCell ref="B102:F102"/>
    <mergeCell ref="B104:E104"/>
    <mergeCell ref="B2:C2"/>
    <mergeCell ref="B3:F3"/>
    <mergeCell ref="B5:O5"/>
    <mergeCell ref="Q5:AC5"/>
    <mergeCell ref="B7:B11"/>
    <mergeCell ref="B12:B16"/>
    <mergeCell ref="B68:O68"/>
    <mergeCell ref="Q68:AC68"/>
    <mergeCell ref="B70:B74"/>
    <mergeCell ref="B66:F66"/>
    <mergeCell ref="B43:B49"/>
    <mergeCell ref="B51:F51"/>
    <mergeCell ref="B53:O53"/>
    <mergeCell ref="Q53:AC53"/>
    <mergeCell ref="B55:B59"/>
    <mergeCell ref="B60:B64"/>
    <mergeCell ref="F104:H104"/>
    <mergeCell ref="J104:M104"/>
    <mergeCell ref="B148:F148"/>
    <mergeCell ref="B150:G150"/>
    <mergeCell ref="B153:B154"/>
    <mergeCell ref="B132:E132"/>
    <mergeCell ref="G132:S132"/>
    <mergeCell ref="U132:AG132"/>
    <mergeCell ref="F134:F138"/>
    <mergeCell ref="F139:F143"/>
    <mergeCell ref="B146:F146"/>
    <mergeCell ref="B198:F198"/>
    <mergeCell ref="B202:B203"/>
    <mergeCell ref="B204:B209"/>
    <mergeCell ref="B210:B215"/>
    <mergeCell ref="B216:B220"/>
    <mergeCell ref="B223:D223"/>
    <mergeCell ref="B175:D175"/>
    <mergeCell ref="B177:O177"/>
    <mergeCell ref="Q177:AC177"/>
    <mergeCell ref="B179:B184"/>
    <mergeCell ref="B185:B190"/>
    <mergeCell ref="B191:B196"/>
    <mergeCell ref="F229:H229"/>
    <mergeCell ref="F230:H230"/>
    <mergeCell ref="F231:H231"/>
    <mergeCell ref="F232:H232"/>
    <mergeCell ref="F233:H233"/>
    <mergeCell ref="F234:H234"/>
    <mergeCell ref="B224:H224"/>
    <mergeCell ref="F225:H225"/>
    <mergeCell ref="F226:H226"/>
    <mergeCell ref="F227:H227"/>
    <mergeCell ref="F228:H228"/>
    <mergeCell ref="B265:B267"/>
    <mergeCell ref="B268:B271"/>
    <mergeCell ref="B273:C273"/>
    <mergeCell ref="B274:B276"/>
    <mergeCell ref="B277:B278"/>
    <mergeCell ref="B279:B281"/>
    <mergeCell ref="F235:H235"/>
    <mergeCell ref="B239:D239"/>
    <mergeCell ref="M241:U241"/>
    <mergeCell ref="B259:O259"/>
    <mergeCell ref="B260:C260"/>
    <mergeCell ref="B261:B264"/>
    <mergeCell ref="L249:O249"/>
    <mergeCell ref="Q260:T260"/>
    <mergeCell ref="C361:C362"/>
    <mergeCell ref="E365:J365"/>
    <mergeCell ref="C366:C372"/>
    <mergeCell ref="E373:J373"/>
    <mergeCell ref="C374:C380"/>
    <mergeCell ref="B335:B340"/>
    <mergeCell ref="C335:C337"/>
    <mergeCell ref="B343:B349"/>
    <mergeCell ref="B352:F352"/>
    <mergeCell ref="C355:D355"/>
    <mergeCell ref="C357:C358"/>
    <mergeCell ref="N303:R303"/>
    <mergeCell ref="B318:F318"/>
    <mergeCell ref="B330:F330"/>
    <mergeCell ref="B332:F332"/>
    <mergeCell ref="B283:D283"/>
    <mergeCell ref="C285:F285"/>
    <mergeCell ref="B299:F299"/>
    <mergeCell ref="B301:F301"/>
    <mergeCell ref="B303:F303"/>
    <mergeCell ref="H303:L303"/>
    <mergeCell ref="R320:X320"/>
    <mergeCell ref="B320:N320"/>
    <mergeCell ref="B429:F429"/>
    <mergeCell ref="F431:G431"/>
    <mergeCell ref="B155:B161"/>
    <mergeCell ref="B162:B167"/>
    <mergeCell ref="B168:B172"/>
    <mergeCell ref="E414:J414"/>
    <mergeCell ref="C415:C417"/>
    <mergeCell ref="C418:C419"/>
    <mergeCell ref="C420:C423"/>
    <mergeCell ref="C424:C425"/>
    <mergeCell ref="E402:J402"/>
    <mergeCell ref="C403:C405"/>
    <mergeCell ref="C406:C407"/>
    <mergeCell ref="C408:C411"/>
    <mergeCell ref="C412:C413"/>
    <mergeCell ref="E381:J381"/>
    <mergeCell ref="C382:C388"/>
    <mergeCell ref="E390:J390"/>
    <mergeCell ref="C391:C393"/>
    <mergeCell ref="C394:C395"/>
    <mergeCell ref="C396:C399"/>
    <mergeCell ref="C400:C401"/>
    <mergeCell ref="C359:C360"/>
    <mergeCell ref="B391:B401"/>
  </mergeCells>
  <phoneticPr fontId="22" type="noConversion"/>
  <conditionalFormatting sqref="D121:E125">
    <cfRule type="dataBar" priority="52">
      <dataBar>
        <cfvo type="min"/>
        <cfvo type="max"/>
        <color rgb="FF63C384"/>
      </dataBar>
    </cfRule>
  </conditionalFormatting>
  <conditionalFormatting sqref="D134:E138">
    <cfRule type="dataBar" priority="51">
      <dataBar>
        <cfvo type="min"/>
        <cfvo type="max"/>
        <color rgb="FF63C384"/>
      </dataBar>
    </cfRule>
  </conditionalFormatting>
  <conditionalFormatting sqref="I153:I172">
    <cfRule type="dataBar" priority="50">
      <dataBar>
        <cfvo type="min"/>
        <cfvo type="max"/>
        <color rgb="FF63C384"/>
      </dataBar>
    </cfRule>
  </conditionalFormatting>
  <conditionalFormatting sqref="J153:J172">
    <cfRule type="dataBar" priority="49">
      <dataBar>
        <cfvo type="min"/>
        <cfvo type="max"/>
        <color rgb="FF63C384"/>
      </dataBar>
    </cfRule>
  </conditionalFormatting>
  <conditionalFormatting sqref="D29:O34">
    <cfRule type="dataBar" priority="48">
      <dataBar>
        <cfvo type="min"/>
        <cfvo type="max"/>
        <color rgb="FF63C384"/>
      </dataBar>
    </cfRule>
  </conditionalFormatting>
  <conditionalFormatting sqref="D36:O41">
    <cfRule type="dataBar" priority="47">
      <dataBar>
        <cfvo type="min"/>
        <cfvo type="max"/>
        <color rgb="FF638EC6"/>
      </dataBar>
    </cfRule>
  </conditionalFormatting>
  <conditionalFormatting sqref="D43:O48">
    <cfRule type="dataBar" priority="46">
      <dataBar>
        <cfvo type="min"/>
        <cfvo type="max"/>
        <color rgb="FF63C384"/>
      </dataBar>
    </cfRule>
  </conditionalFormatting>
  <conditionalFormatting sqref="D12:D16">
    <cfRule type="dataBar" priority="45">
      <dataBar>
        <cfvo type="min"/>
        <cfvo type="max"/>
        <color rgb="FF63C384"/>
      </dataBar>
    </cfRule>
  </conditionalFormatting>
  <conditionalFormatting sqref="E12:E16">
    <cfRule type="dataBar" priority="44">
      <dataBar>
        <cfvo type="min"/>
        <cfvo type="max"/>
        <color rgb="FF63C384"/>
      </dataBar>
    </cfRule>
  </conditionalFormatting>
  <conditionalFormatting sqref="F12:F16">
    <cfRule type="dataBar" priority="43">
      <dataBar>
        <cfvo type="min"/>
        <cfvo type="max"/>
        <color rgb="FF63C384"/>
      </dataBar>
    </cfRule>
  </conditionalFormatting>
  <conditionalFormatting sqref="G12:G16">
    <cfRule type="dataBar" priority="42">
      <dataBar>
        <cfvo type="min"/>
        <cfvo type="max"/>
        <color rgb="FF63C384"/>
      </dataBar>
    </cfRule>
  </conditionalFormatting>
  <conditionalFormatting sqref="H12:H16">
    <cfRule type="dataBar" priority="41">
      <dataBar>
        <cfvo type="min"/>
        <cfvo type="max"/>
        <color rgb="FF63C384"/>
      </dataBar>
    </cfRule>
  </conditionalFormatting>
  <conditionalFormatting sqref="I12:I16">
    <cfRule type="dataBar" priority="40">
      <dataBar>
        <cfvo type="min"/>
        <cfvo type="max"/>
        <color rgb="FF63C384"/>
      </dataBar>
    </cfRule>
  </conditionalFormatting>
  <conditionalFormatting sqref="J12:J16">
    <cfRule type="dataBar" priority="39">
      <dataBar>
        <cfvo type="min"/>
        <cfvo type="max"/>
        <color rgb="FF63C384"/>
      </dataBar>
    </cfRule>
  </conditionalFormatting>
  <conditionalFormatting sqref="K12:K16">
    <cfRule type="dataBar" priority="38">
      <dataBar>
        <cfvo type="min"/>
        <cfvo type="max"/>
        <color rgb="FF63C384"/>
      </dataBar>
    </cfRule>
  </conditionalFormatting>
  <conditionalFormatting sqref="L12:L16">
    <cfRule type="dataBar" priority="37">
      <dataBar>
        <cfvo type="min"/>
        <cfvo type="max"/>
        <color rgb="FF63C384"/>
      </dataBar>
    </cfRule>
  </conditionalFormatting>
  <conditionalFormatting sqref="M12:M16">
    <cfRule type="dataBar" priority="36">
      <dataBar>
        <cfvo type="min"/>
        <cfvo type="max"/>
        <color rgb="FF63C384"/>
      </dataBar>
    </cfRule>
  </conditionalFormatting>
  <conditionalFormatting sqref="N12:N16">
    <cfRule type="dataBar" priority="35">
      <dataBar>
        <cfvo type="min"/>
        <cfvo type="max"/>
        <color rgb="FF63C384"/>
      </dataBar>
    </cfRule>
  </conditionalFormatting>
  <conditionalFormatting sqref="O12:O16">
    <cfRule type="dataBar" priority="34">
      <dataBar>
        <cfvo type="min"/>
        <cfvo type="max"/>
        <color rgb="FF63C384"/>
      </dataBar>
    </cfRule>
  </conditionalFormatting>
  <conditionalFormatting sqref="F106:F115">
    <cfRule type="dataBar" priority="33">
      <dataBar>
        <cfvo type="min"/>
        <cfvo type="max"/>
        <color rgb="FF63C384"/>
      </dataBar>
    </cfRule>
  </conditionalFormatting>
  <conditionalFormatting sqref="G106:G115">
    <cfRule type="dataBar" priority="32">
      <dataBar>
        <cfvo type="min"/>
        <cfvo type="max"/>
        <color rgb="FF63C384"/>
      </dataBar>
    </cfRule>
  </conditionalFormatting>
  <conditionalFormatting sqref="H106:H115">
    <cfRule type="dataBar" priority="31">
      <dataBar>
        <cfvo type="min"/>
        <cfvo type="max"/>
        <color rgb="FF63C384"/>
      </dataBar>
    </cfRule>
  </conditionalFormatting>
  <conditionalFormatting sqref="L153:N153">
    <cfRule type="dataBar" priority="27">
      <dataBar>
        <cfvo type="min"/>
        <cfvo type="max"/>
        <color rgb="FF63C384"/>
      </dataBar>
    </cfRule>
  </conditionalFormatting>
  <conditionalFormatting sqref="L154:N154">
    <cfRule type="dataBar" priority="26">
      <dataBar>
        <cfvo type="min"/>
        <cfvo type="max"/>
        <color rgb="FF63C384"/>
      </dataBar>
    </cfRule>
  </conditionalFormatting>
  <conditionalFormatting sqref="O153:O154">
    <cfRule type="dataBar" priority="25">
      <dataBar>
        <cfvo type="min"/>
        <cfvo type="max"/>
        <color rgb="FF63C384"/>
      </dataBar>
    </cfRule>
  </conditionalFormatting>
  <conditionalFormatting sqref="P153:P154">
    <cfRule type="dataBar" priority="24">
      <dataBar>
        <cfvo type="min"/>
        <cfvo type="max"/>
        <color rgb="FF63C384"/>
      </dataBar>
    </cfRule>
  </conditionalFormatting>
  <conditionalFormatting sqref="D60:D64">
    <cfRule type="dataBar" priority="23">
      <dataBar>
        <cfvo type="min"/>
        <cfvo type="max"/>
        <color rgb="FF63C384"/>
      </dataBar>
    </cfRule>
  </conditionalFormatting>
  <conditionalFormatting sqref="E60:E64">
    <cfRule type="dataBar" priority="22">
      <dataBar>
        <cfvo type="min"/>
        <cfvo type="max"/>
        <color rgb="FF63C384"/>
      </dataBar>
    </cfRule>
  </conditionalFormatting>
  <conditionalFormatting sqref="F60:F64">
    <cfRule type="dataBar" priority="21">
      <dataBar>
        <cfvo type="min"/>
        <cfvo type="max"/>
        <color rgb="FF63C384"/>
      </dataBar>
    </cfRule>
  </conditionalFormatting>
  <conditionalFormatting sqref="G60:G64">
    <cfRule type="dataBar" priority="20">
      <dataBar>
        <cfvo type="min"/>
        <cfvo type="max"/>
        <color rgb="FF63C384"/>
      </dataBar>
    </cfRule>
  </conditionalFormatting>
  <conditionalFormatting sqref="H60:H64">
    <cfRule type="dataBar" priority="19">
      <dataBar>
        <cfvo type="min"/>
        <cfvo type="max"/>
        <color rgb="FF63C384"/>
      </dataBar>
    </cfRule>
  </conditionalFormatting>
  <conditionalFormatting sqref="I60:I64">
    <cfRule type="dataBar" priority="18">
      <dataBar>
        <cfvo type="min"/>
        <cfvo type="max"/>
        <color rgb="FF63C384"/>
      </dataBar>
    </cfRule>
  </conditionalFormatting>
  <conditionalFormatting sqref="J60:J64">
    <cfRule type="dataBar" priority="17">
      <dataBar>
        <cfvo type="min"/>
        <cfvo type="max"/>
        <color rgb="FF63C384"/>
      </dataBar>
    </cfRule>
  </conditionalFormatting>
  <conditionalFormatting sqref="K60:K64">
    <cfRule type="dataBar" priority="16">
      <dataBar>
        <cfvo type="min"/>
        <cfvo type="max"/>
        <color rgb="FF63C384"/>
      </dataBar>
    </cfRule>
  </conditionalFormatting>
  <conditionalFormatting sqref="L60:L64">
    <cfRule type="dataBar" priority="15">
      <dataBar>
        <cfvo type="min"/>
        <cfvo type="max"/>
        <color rgb="FF63C384"/>
      </dataBar>
    </cfRule>
  </conditionalFormatting>
  <conditionalFormatting sqref="M60:M64">
    <cfRule type="dataBar" priority="14">
      <dataBar>
        <cfvo type="min"/>
        <cfvo type="max"/>
        <color rgb="FF63C384"/>
      </dataBar>
    </cfRule>
  </conditionalFormatting>
  <conditionalFormatting sqref="N60:N64">
    <cfRule type="dataBar" priority="13">
      <dataBar>
        <cfvo type="min"/>
        <cfvo type="max"/>
        <color rgb="FF63C384"/>
      </dataBar>
    </cfRule>
  </conditionalFormatting>
  <conditionalFormatting sqref="O60:O64">
    <cfRule type="dataBar" priority="12">
      <dataBar>
        <cfvo type="min"/>
        <cfvo type="max"/>
        <color rgb="FF63C384"/>
      </dataBar>
    </cfRule>
  </conditionalFormatting>
  <conditionalFormatting sqref="F91:F100">
    <cfRule type="dataBar" priority="11">
      <dataBar>
        <cfvo type="min"/>
        <cfvo type="max"/>
        <color rgb="FF638EC6"/>
      </dataBar>
    </cfRule>
  </conditionalFormatting>
  <conditionalFormatting sqref="E91:E100">
    <cfRule type="dataBar" priority="10">
      <dataBar>
        <cfvo type="min"/>
        <cfvo type="max"/>
        <color rgb="FF63C384"/>
      </dataBar>
    </cfRule>
  </conditionalFormatting>
  <conditionalFormatting sqref="I91:I100">
    <cfRule type="dataBar" priority="9">
      <dataBar>
        <cfvo type="min"/>
        <cfvo type="max"/>
        <color rgb="FF63C384"/>
      </dataBar>
    </cfRule>
  </conditionalFormatting>
  <conditionalFormatting sqref="K91:K100">
    <cfRule type="dataBar" priority="8">
      <dataBar>
        <cfvo type="min"/>
        <cfvo type="max"/>
        <color rgb="FF63C384"/>
      </dataBar>
    </cfRule>
  </conditionalFormatting>
  <conditionalFormatting sqref="M91:M100">
    <cfRule type="dataBar" priority="7">
      <dataBar>
        <cfvo type="min"/>
        <cfvo type="max"/>
        <color rgb="FF63C384"/>
      </dataBar>
    </cfRule>
  </conditionalFormatting>
  <conditionalFormatting sqref="G91:G100">
    <cfRule type="dataBar" priority="5">
      <dataBar>
        <cfvo type="min"/>
        <cfvo type="max"/>
        <color rgb="FF638EC6"/>
      </dataBar>
    </cfRule>
  </conditionalFormatting>
  <conditionalFormatting sqref="D305:F314">
    <cfRule type="dataBar" priority="4">
      <dataBar>
        <cfvo type="min"/>
        <cfvo type="max"/>
        <color rgb="FF63C384"/>
      </dataBar>
    </cfRule>
  </conditionalFormatting>
  <conditionalFormatting sqref="L305:L314">
    <cfRule type="dataBar" priority="3">
      <dataBar>
        <cfvo type="min"/>
        <cfvo type="max"/>
        <color rgb="FF63C384"/>
      </dataBar>
    </cfRule>
  </conditionalFormatting>
  <conditionalFormatting sqref="J305:K314">
    <cfRule type="dataBar" priority="2">
      <dataBar>
        <cfvo type="min"/>
        <cfvo type="max"/>
        <color rgb="FF63C384"/>
      </dataBar>
    </cfRule>
  </conditionalFormatting>
  <conditionalFormatting sqref="P305:R314">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8BF42-346D-4C59-A4DA-773EDBBD9A6E}">
  <dimension ref="A1:G3"/>
  <sheetViews>
    <sheetView workbookViewId="0">
      <selection activeCell="K8" sqref="K8"/>
    </sheetView>
  </sheetViews>
  <sheetFormatPr defaultRowHeight="14" x14ac:dyDescent="0.25"/>
  <sheetData>
    <row r="1" spans="1:7" x14ac:dyDescent="0.25">
      <c r="A1" s="351" t="s">
        <v>12397</v>
      </c>
      <c r="B1" s="351" t="s">
        <v>12398</v>
      </c>
      <c r="C1" s="351" t="s">
        <v>12399</v>
      </c>
      <c r="E1" s="351" t="s">
        <v>12397</v>
      </c>
      <c r="F1" s="351" t="s">
        <v>12398</v>
      </c>
      <c r="G1" s="351" t="s">
        <v>12399</v>
      </c>
    </row>
    <row r="2" spans="1:7" x14ac:dyDescent="0.25">
      <c r="A2" s="351" t="s">
        <v>12400</v>
      </c>
      <c r="B2" s="225">
        <f>店铺整体生意!S17</f>
        <v>0.39470186267983504</v>
      </c>
      <c r="C2" s="225">
        <f>店铺整体生意!T17</f>
        <v>4.0348908459340083E-2</v>
      </c>
      <c r="E2" s="351" t="s">
        <v>12400</v>
      </c>
      <c r="F2" s="225">
        <f>店铺整体生意!W17</f>
        <v>0.14392523364485982</v>
      </c>
      <c r="G2" s="225">
        <f>店铺整体生意!X17</f>
        <v>-3.6970661469858446E-2</v>
      </c>
    </row>
    <row r="3" spans="1:7" x14ac:dyDescent="0.25">
      <c r="A3" s="351" t="s">
        <v>12401</v>
      </c>
      <c r="B3" s="225">
        <f>店铺整体生意!S18</f>
        <v>0.55797057976471875</v>
      </c>
      <c r="C3" s="225">
        <f>店铺整体生意!T18</f>
        <v>-4.0673595501790061E-2</v>
      </c>
      <c r="E3" s="351" t="s">
        <v>12401</v>
      </c>
      <c r="F3" s="225">
        <f>店铺整体生意!W18</f>
        <v>0.850994488377666</v>
      </c>
      <c r="G3" s="225">
        <f>店铺整体生意!X18</f>
        <v>1.8311485412159545E-2</v>
      </c>
    </row>
  </sheetData>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25"/>
  <sheetViews>
    <sheetView zoomScaleNormal="100" workbookViewId="0">
      <selection activeCell="B14" sqref="B14"/>
    </sheetView>
  </sheetViews>
  <sheetFormatPr defaultColWidth="8.81640625" defaultRowHeight="14" x14ac:dyDescent="0.25"/>
  <sheetData>
    <row r="1" spans="1:70" x14ac:dyDescent="0.25">
      <c r="A1" t="s">
        <v>482</v>
      </c>
      <c r="B1" t="s">
        <v>17</v>
      </c>
      <c r="C1" t="s">
        <v>18</v>
      </c>
      <c r="D1" t="s">
        <v>19</v>
      </c>
      <c r="E1" t="s">
        <v>20</v>
      </c>
      <c r="F1" t="s">
        <v>21</v>
      </c>
      <c r="G1" t="s">
        <v>22</v>
      </c>
      <c r="H1" t="s">
        <v>23</v>
      </c>
      <c r="I1" t="s">
        <v>483</v>
      </c>
      <c r="J1" t="s">
        <v>484</v>
      </c>
      <c r="K1" t="s">
        <v>485</v>
      </c>
      <c r="L1" t="s">
        <v>486</v>
      </c>
      <c r="M1" t="s">
        <v>487</v>
      </c>
      <c r="N1" t="s">
        <v>488</v>
      </c>
      <c r="O1" t="s">
        <v>489</v>
      </c>
      <c r="P1" t="s">
        <v>490</v>
      </c>
      <c r="Q1" t="s">
        <v>491</v>
      </c>
      <c r="R1" t="s">
        <v>492</v>
      </c>
      <c r="S1" t="s">
        <v>493</v>
      </c>
      <c r="T1" t="s">
        <v>494</v>
      </c>
      <c r="U1" t="s">
        <v>495</v>
      </c>
      <c r="V1" t="s">
        <v>496</v>
      </c>
      <c r="W1" t="s">
        <v>497</v>
      </c>
      <c r="X1" t="s">
        <v>40</v>
      </c>
      <c r="Y1" t="s">
        <v>41</v>
      </c>
      <c r="Z1" t="s">
        <v>498</v>
      </c>
      <c r="AA1" t="s">
        <v>43</v>
      </c>
      <c r="AB1" t="s">
        <v>44</v>
      </c>
      <c r="AC1" t="s">
        <v>499</v>
      </c>
      <c r="AD1" t="s">
        <v>500</v>
      </c>
      <c r="AE1" t="s">
        <v>501</v>
      </c>
      <c r="AF1" t="s">
        <v>502</v>
      </c>
      <c r="AG1" t="s">
        <v>503</v>
      </c>
      <c r="AH1" t="s">
        <v>504</v>
      </c>
      <c r="AI1" t="s">
        <v>505</v>
      </c>
      <c r="AJ1" t="s">
        <v>506</v>
      </c>
      <c r="AK1" t="s">
        <v>507</v>
      </c>
      <c r="AL1" t="s">
        <v>508</v>
      </c>
      <c r="AM1" t="s">
        <v>509</v>
      </c>
      <c r="AN1" t="s">
        <v>510</v>
      </c>
      <c r="AO1" t="s">
        <v>511</v>
      </c>
      <c r="AP1" t="s">
        <v>512</v>
      </c>
      <c r="AQ1" t="s">
        <v>513</v>
      </c>
      <c r="AR1" t="s">
        <v>514</v>
      </c>
      <c r="AS1" t="s">
        <v>515</v>
      </c>
      <c r="AT1" t="s">
        <v>516</v>
      </c>
      <c r="AU1" t="s">
        <v>517</v>
      </c>
      <c r="AV1" t="s">
        <v>518</v>
      </c>
      <c r="AW1" t="s">
        <v>519</v>
      </c>
      <c r="AX1" t="s">
        <v>520</v>
      </c>
      <c r="AY1" t="s">
        <v>521</v>
      </c>
      <c r="AZ1" t="s">
        <v>522</v>
      </c>
      <c r="BA1" t="s">
        <v>523</v>
      </c>
      <c r="BB1" t="s">
        <v>524</v>
      </c>
      <c r="BC1" t="s">
        <v>525</v>
      </c>
      <c r="BD1" t="s">
        <v>526</v>
      </c>
      <c r="BE1" t="s">
        <v>527</v>
      </c>
      <c r="BF1" t="s">
        <v>528</v>
      </c>
      <c r="BG1" t="s">
        <v>529</v>
      </c>
      <c r="BH1" t="s">
        <v>530</v>
      </c>
      <c r="BI1" t="s">
        <v>531</v>
      </c>
      <c r="BJ1" t="s">
        <v>532</v>
      </c>
      <c r="BK1" t="s">
        <v>533</v>
      </c>
      <c r="BL1" t="s">
        <v>534</v>
      </c>
      <c r="BM1" t="s">
        <v>535</v>
      </c>
      <c r="BN1" t="s">
        <v>536</v>
      </c>
      <c r="BO1" t="s">
        <v>537</v>
      </c>
      <c r="BP1" t="s">
        <v>538</v>
      </c>
      <c r="BQ1" t="s">
        <v>539</v>
      </c>
      <c r="BR1" t="s">
        <v>540</v>
      </c>
    </row>
    <row r="2" spans="1:70" x14ac:dyDescent="0.25">
      <c r="A2" t="s">
        <v>541</v>
      </c>
      <c r="B2">
        <v>19156690</v>
      </c>
      <c r="C2">
        <v>32444</v>
      </c>
      <c r="D2">
        <v>549810</v>
      </c>
      <c r="E2">
        <v>95841</v>
      </c>
      <c r="F2">
        <v>5.9009475999999998E-2</v>
      </c>
      <c r="G2">
        <v>590.4540131</v>
      </c>
      <c r="H2">
        <v>199.87990525975309</v>
      </c>
      <c r="W2">
        <v>9962927</v>
      </c>
      <c r="X2">
        <v>13090</v>
      </c>
      <c r="Y2">
        <v>761.10977845683726</v>
      </c>
      <c r="Z2">
        <v>9193763</v>
      </c>
      <c r="AA2">
        <v>19354</v>
      </c>
      <c r="AB2">
        <v>475.03167303916501</v>
      </c>
      <c r="AS2">
        <v>7573774</v>
      </c>
      <c r="AT2">
        <v>10624022</v>
      </c>
      <c r="AU2">
        <v>10327850</v>
      </c>
      <c r="AV2">
        <v>296172</v>
      </c>
      <c r="AW2">
        <v>958894</v>
      </c>
      <c r="AX2">
        <v>0.39535921915529249</v>
      </c>
      <c r="AY2">
        <v>0.55458547379531642</v>
      </c>
      <c r="AZ2">
        <v>0.53912497409521165</v>
      </c>
      <c r="BA2">
        <v>1.546049970010477E-2</v>
      </c>
      <c r="BB2">
        <v>5.0055307049391103E-2</v>
      </c>
      <c r="BC2">
        <v>5056</v>
      </c>
      <c r="BD2">
        <v>27656</v>
      </c>
      <c r="BE2">
        <v>26951</v>
      </c>
      <c r="BF2">
        <v>705</v>
      </c>
      <c r="BG2">
        <v>-268</v>
      </c>
      <c r="BH2">
        <v>0.1558377512020713</v>
      </c>
      <c r="BI2">
        <v>0.85242263592651957</v>
      </c>
      <c r="BJ2">
        <v>0.83069288620392057</v>
      </c>
      <c r="BK2">
        <v>2.1729749722598939E-2</v>
      </c>
      <c r="BL2">
        <v>-8.2603871285908022E-3</v>
      </c>
      <c r="BM2">
        <v>0.1545610173636586</v>
      </c>
      <c r="BN2">
        <v>0.82388725849841038</v>
      </c>
      <c r="BO2">
        <v>2.1551724137931039E-2</v>
      </c>
      <c r="BP2">
        <v>1497.9774525316459</v>
      </c>
      <c r="BQ2">
        <v>384.148900781024</v>
      </c>
      <c r="BR2">
        <v>383.20841527216061</v>
      </c>
    </row>
    <row r="3" spans="1:70" x14ac:dyDescent="0.25">
      <c r="A3" t="s">
        <v>542</v>
      </c>
      <c r="B3">
        <v>14315199</v>
      </c>
      <c r="C3">
        <v>27422</v>
      </c>
      <c r="D3">
        <v>380667</v>
      </c>
      <c r="E3">
        <v>84161</v>
      </c>
      <c r="F3">
        <v>7.2036714500000001E-2</v>
      </c>
      <c r="G3">
        <v>522.03336739999997</v>
      </c>
      <c r="H3">
        <v>170.0930240847899</v>
      </c>
      <c r="W3">
        <v>7069184</v>
      </c>
      <c r="X3">
        <v>10764</v>
      </c>
      <c r="Y3">
        <v>656.74321813452252</v>
      </c>
      <c r="Z3">
        <v>7246015</v>
      </c>
      <c r="AA3">
        <v>16658</v>
      </c>
      <c r="AB3">
        <v>434.98709328850998</v>
      </c>
      <c r="AS3">
        <v>4987263</v>
      </c>
      <c r="AT3">
        <v>8444137</v>
      </c>
      <c r="AU3">
        <v>8387276</v>
      </c>
      <c r="AV3">
        <v>56861</v>
      </c>
      <c r="AW3">
        <v>883799</v>
      </c>
      <c r="AX3">
        <v>0.34838935875079352</v>
      </c>
      <c r="AY3">
        <v>0.5898721352039884</v>
      </c>
      <c r="AZ3">
        <v>0.58590006328238953</v>
      </c>
      <c r="BA3">
        <v>3.9720719215988543E-3</v>
      </c>
      <c r="BB3">
        <v>6.1738506045218092E-2</v>
      </c>
      <c r="BC3">
        <v>3396</v>
      </c>
      <c r="BD3">
        <v>23426</v>
      </c>
      <c r="BE3">
        <v>23326</v>
      </c>
      <c r="BF3">
        <v>100</v>
      </c>
      <c r="BG3">
        <v>600</v>
      </c>
      <c r="BH3">
        <v>0.1238421705200204</v>
      </c>
      <c r="BI3">
        <v>0.85427758733863324</v>
      </c>
      <c r="BJ3">
        <v>0.8506308803150755</v>
      </c>
      <c r="BK3">
        <v>3.6467070235577268E-3</v>
      </c>
      <c r="BL3">
        <v>2.1880242141346359E-2</v>
      </c>
      <c r="BM3">
        <v>0.12661248229065691</v>
      </c>
      <c r="BN3">
        <v>0.86965923495637909</v>
      </c>
      <c r="BO3">
        <v>3.7282827529639849E-3</v>
      </c>
      <c r="BP3">
        <v>1468.569787985866</v>
      </c>
      <c r="BQ3">
        <v>360.46004439511648</v>
      </c>
      <c r="BR3">
        <v>359.56769270342107</v>
      </c>
    </row>
    <row r="4" spans="1:70" x14ac:dyDescent="0.25">
      <c r="A4" t="s">
        <v>543</v>
      </c>
      <c r="B4">
        <v>29234295</v>
      </c>
      <c r="C4">
        <v>55306</v>
      </c>
      <c r="D4">
        <v>483627</v>
      </c>
      <c r="E4">
        <v>181607</v>
      </c>
      <c r="F4">
        <v>0.1143567253</v>
      </c>
      <c r="G4">
        <v>528.59174410000003</v>
      </c>
      <c r="H4">
        <v>160.9755956543525</v>
      </c>
      <c r="W4">
        <v>12546512</v>
      </c>
      <c r="X4">
        <v>20013</v>
      </c>
      <c r="Y4">
        <v>626.9181032328986</v>
      </c>
      <c r="Z4">
        <v>16687783</v>
      </c>
      <c r="AA4">
        <v>35293</v>
      </c>
      <c r="AB4">
        <v>472.83549145722952</v>
      </c>
      <c r="AS4">
        <v>8118179</v>
      </c>
      <c r="AT4">
        <v>20044319</v>
      </c>
      <c r="AU4">
        <v>19940036</v>
      </c>
      <c r="AV4">
        <v>104283</v>
      </c>
      <c r="AW4">
        <v>1071797</v>
      </c>
      <c r="AX4">
        <v>0.27769368134240968</v>
      </c>
      <c r="AY4">
        <v>0.68564400133473369</v>
      </c>
      <c r="AZ4">
        <v>0.68207685528246875</v>
      </c>
      <c r="BA4">
        <v>3.5671460522649859E-3</v>
      </c>
      <c r="BB4">
        <v>3.6662317322856602E-2</v>
      </c>
      <c r="BC4">
        <v>6729</v>
      </c>
      <c r="BD4">
        <v>49826</v>
      </c>
      <c r="BE4">
        <v>49661</v>
      </c>
      <c r="BF4">
        <v>165</v>
      </c>
      <c r="BG4">
        <v>-1249</v>
      </c>
      <c r="BH4">
        <v>0.1216685350594872</v>
      </c>
      <c r="BI4">
        <v>0.90091490977470801</v>
      </c>
      <c r="BJ4">
        <v>0.89793150833544277</v>
      </c>
      <c r="BK4">
        <v>2.983401439265179E-3</v>
      </c>
      <c r="BL4">
        <v>-2.25834448341952E-2</v>
      </c>
      <c r="BM4">
        <v>0.11898152241181149</v>
      </c>
      <c r="BN4">
        <v>0.87810096366369017</v>
      </c>
      <c r="BO4">
        <v>2.9175139244982762E-3</v>
      </c>
      <c r="BP4">
        <v>1206.446574528162</v>
      </c>
      <c r="BQ4">
        <v>402.28633645084898</v>
      </c>
      <c r="BR4">
        <v>401.52304625359938</v>
      </c>
    </row>
    <row r="5" spans="1:70" x14ac:dyDescent="0.25">
      <c r="A5" t="s">
        <v>544</v>
      </c>
      <c r="B5">
        <v>13354562</v>
      </c>
      <c r="C5">
        <v>27136</v>
      </c>
      <c r="D5">
        <v>405848</v>
      </c>
      <c r="E5">
        <v>92859</v>
      </c>
      <c r="F5">
        <v>6.6862470699999996E-2</v>
      </c>
      <c r="G5">
        <v>492.13450769999997</v>
      </c>
      <c r="H5">
        <v>143.8154836903262</v>
      </c>
      <c r="W5">
        <v>5920904</v>
      </c>
      <c r="X5">
        <v>10107</v>
      </c>
      <c r="Y5">
        <v>585.82210349262891</v>
      </c>
      <c r="Z5">
        <v>7433658</v>
      </c>
      <c r="AA5">
        <v>17029</v>
      </c>
      <c r="AB5">
        <v>436.52933231546189</v>
      </c>
      <c r="AS5">
        <v>3837444</v>
      </c>
      <c r="AT5">
        <v>8956198</v>
      </c>
      <c r="AU5">
        <v>8907352</v>
      </c>
      <c r="AV5">
        <v>48846</v>
      </c>
      <c r="AW5">
        <v>560920</v>
      </c>
      <c r="AX5">
        <v>0.28735079443264411</v>
      </c>
      <c r="AY5">
        <v>0.67064707925276767</v>
      </c>
      <c r="AZ5">
        <v>0.66698945274281551</v>
      </c>
      <c r="BA5">
        <v>3.6576265099521801E-3</v>
      </c>
      <c r="BB5">
        <v>4.2002126314588231E-2</v>
      </c>
      <c r="BC5">
        <v>2751</v>
      </c>
      <c r="BD5">
        <v>24746</v>
      </c>
      <c r="BE5">
        <v>24669</v>
      </c>
      <c r="BF5">
        <v>77</v>
      </c>
      <c r="BG5">
        <v>-361</v>
      </c>
      <c r="BH5">
        <v>0.10137824292452829</v>
      </c>
      <c r="BI5">
        <v>0.91192511792452835</v>
      </c>
      <c r="BJ5">
        <v>0.90908755896226412</v>
      </c>
      <c r="BK5">
        <v>2.8375589622641512E-3</v>
      </c>
      <c r="BL5">
        <v>-1.33033608490566E-2</v>
      </c>
      <c r="BM5">
        <v>0.1000472778848602</v>
      </c>
      <c r="BN5">
        <v>0.89715241662726841</v>
      </c>
      <c r="BO5">
        <v>2.8003054878714042E-3</v>
      </c>
      <c r="BP5">
        <v>1394.9269356597599</v>
      </c>
      <c r="BQ5">
        <v>361.92507880061419</v>
      </c>
      <c r="BR5">
        <v>361.07470914913449</v>
      </c>
    </row>
    <row r="6" spans="1:70" x14ac:dyDescent="0.25">
      <c r="A6" t="s">
        <v>545</v>
      </c>
      <c r="B6">
        <v>40814385.960000001</v>
      </c>
      <c r="C6">
        <v>68228</v>
      </c>
      <c r="D6">
        <v>4280977</v>
      </c>
      <c r="E6">
        <v>232965</v>
      </c>
      <c r="F6">
        <v>1.5937483400000001E-2</v>
      </c>
      <c r="G6">
        <v>598.20580930000006</v>
      </c>
      <c r="H6">
        <v>175.19535535380851</v>
      </c>
      <c r="W6">
        <v>17795322.68</v>
      </c>
      <c r="X6">
        <v>25903</v>
      </c>
      <c r="Y6">
        <v>686.99852063467551</v>
      </c>
      <c r="Z6">
        <v>23019063.280000001</v>
      </c>
      <c r="AA6">
        <v>42325</v>
      </c>
      <c r="AB6">
        <v>543.86446024808038</v>
      </c>
      <c r="AS6">
        <v>12286955.960000001</v>
      </c>
      <c r="AT6">
        <v>27414019.07</v>
      </c>
      <c r="AU6">
        <v>27342923.280000001</v>
      </c>
      <c r="AV6">
        <v>71095.789999999994</v>
      </c>
      <c r="AW6">
        <v>1113410.93</v>
      </c>
      <c r="AX6">
        <v>0.3010447338848069</v>
      </c>
      <c r="AY6">
        <v>0.67167540133684767</v>
      </c>
      <c r="AZ6">
        <v>0.66993347166357808</v>
      </c>
      <c r="BA6">
        <v>1.741929673269547E-3</v>
      </c>
      <c r="BB6">
        <v>2.727986477834542E-2</v>
      </c>
      <c r="BC6">
        <v>10629</v>
      </c>
      <c r="BD6">
        <v>57958</v>
      </c>
      <c r="BE6">
        <v>57852</v>
      </c>
      <c r="BF6">
        <v>106</v>
      </c>
      <c r="BG6">
        <v>-359</v>
      </c>
      <c r="BH6">
        <v>0.1557864806237908</v>
      </c>
      <c r="BI6">
        <v>0.84947528873776157</v>
      </c>
      <c r="BJ6">
        <v>0.84792167438588262</v>
      </c>
      <c r="BK6">
        <v>1.5536143518789941E-3</v>
      </c>
      <c r="BL6">
        <v>-5.261769361552442E-3</v>
      </c>
      <c r="BM6">
        <v>0.15497105865543029</v>
      </c>
      <c r="BN6">
        <v>0.84348345896452681</v>
      </c>
      <c r="BO6">
        <v>1.5454823800428649E-3</v>
      </c>
      <c r="BP6">
        <v>1155.984190422429</v>
      </c>
      <c r="BQ6">
        <v>472.99801701231928</v>
      </c>
      <c r="BR6">
        <v>472.63574777017209</v>
      </c>
    </row>
    <row r="7" spans="1:70" x14ac:dyDescent="0.25">
      <c r="A7" t="s">
        <v>546</v>
      </c>
      <c r="B7">
        <v>48839011.409999996</v>
      </c>
      <c r="C7">
        <v>70584</v>
      </c>
      <c r="D7">
        <v>1725765</v>
      </c>
      <c r="E7">
        <v>261049</v>
      </c>
      <c r="F7">
        <v>4.0900122599999998E-2</v>
      </c>
      <c r="G7">
        <v>691.92751060000001</v>
      </c>
      <c r="H7">
        <v>187.0875253688005</v>
      </c>
      <c r="W7">
        <v>24425310.77</v>
      </c>
      <c r="X7">
        <v>30113</v>
      </c>
      <c r="Y7">
        <v>811.12180021917447</v>
      </c>
      <c r="Z7">
        <v>24413700.640000001</v>
      </c>
      <c r="AA7">
        <v>40471</v>
      </c>
      <c r="AB7">
        <v>603.2393723901065</v>
      </c>
      <c r="AS7">
        <v>19112656.140000001</v>
      </c>
      <c r="AT7">
        <v>27935888.719999999</v>
      </c>
      <c r="AU7">
        <v>27889768.050000001</v>
      </c>
      <c r="AV7">
        <v>46120.67</v>
      </c>
      <c r="AW7">
        <v>1790466.55</v>
      </c>
      <c r="AX7">
        <v>0.39133994706712272</v>
      </c>
      <c r="AY7">
        <v>0.57199947160027909</v>
      </c>
      <c r="AZ7">
        <v>0.57105513082292747</v>
      </c>
      <c r="BA7">
        <v>9.4434077735153731E-4</v>
      </c>
      <c r="BB7">
        <v>3.6660581332598273E-2</v>
      </c>
      <c r="BC7">
        <v>14417</v>
      </c>
      <c r="BD7">
        <v>59632</v>
      </c>
      <c r="BE7">
        <v>59479</v>
      </c>
      <c r="BF7">
        <v>153</v>
      </c>
      <c r="BG7">
        <v>-3465</v>
      </c>
      <c r="BH7">
        <v>0.20425308851864449</v>
      </c>
      <c r="BI7">
        <v>0.84483735690808115</v>
      </c>
      <c r="BJ7">
        <v>0.84266972685027763</v>
      </c>
      <c r="BK7">
        <v>2.167630057803468E-3</v>
      </c>
      <c r="BL7">
        <v>-4.9090445426725603E-2</v>
      </c>
      <c r="BM7">
        <v>0.19469540439438751</v>
      </c>
      <c r="BN7">
        <v>0.80323839619711268</v>
      </c>
      <c r="BO7">
        <v>2.0661994084997769E-3</v>
      </c>
      <c r="BP7">
        <v>1325.702721786779</v>
      </c>
      <c r="BQ7">
        <v>468.47143681244972</v>
      </c>
      <c r="BR7">
        <v>468.90109198204408</v>
      </c>
    </row>
    <row r="8" spans="1:70" x14ac:dyDescent="0.25">
      <c r="A8" t="s">
        <v>547</v>
      </c>
      <c r="B8">
        <v>11773407.380000001</v>
      </c>
      <c r="C8">
        <v>23512</v>
      </c>
      <c r="D8">
        <v>303918</v>
      </c>
      <c r="E8">
        <v>76860</v>
      </c>
      <c r="F8">
        <v>7.7399999999999997E-2</v>
      </c>
      <c r="G8">
        <v>500.74</v>
      </c>
      <c r="H8">
        <v>153.17990346083789</v>
      </c>
      <c r="W8">
        <v>5233579.18</v>
      </c>
      <c r="X8">
        <v>8944</v>
      </c>
      <c r="Y8">
        <v>585.14972942754923</v>
      </c>
      <c r="Z8">
        <v>6539828.2000000002</v>
      </c>
      <c r="AA8">
        <v>14568</v>
      </c>
      <c r="AB8">
        <v>448.9173668314113</v>
      </c>
      <c r="AS8">
        <v>3617627.25</v>
      </c>
      <c r="AT8">
        <v>7666698.9239999996</v>
      </c>
      <c r="AU8">
        <v>7616214.2570000002</v>
      </c>
      <c r="AV8">
        <v>50484.667000000001</v>
      </c>
      <c r="AW8">
        <v>489081.20600000001</v>
      </c>
      <c r="AX8">
        <v>0.30727105019277767</v>
      </c>
      <c r="AY8">
        <v>0.65118777228619096</v>
      </c>
      <c r="AZ8">
        <v>0.64689974713165832</v>
      </c>
      <c r="BA8">
        <v>4.2880251545326211E-3</v>
      </c>
      <c r="BB8">
        <v>4.15411775210313E-2</v>
      </c>
      <c r="BC8">
        <v>2632</v>
      </c>
      <c r="BD8">
        <v>20692</v>
      </c>
      <c r="BE8">
        <v>20602</v>
      </c>
      <c r="BF8">
        <v>90</v>
      </c>
      <c r="BG8">
        <v>188</v>
      </c>
      <c r="BH8">
        <v>0.11194283769989791</v>
      </c>
      <c r="BI8">
        <v>0.88006124532153795</v>
      </c>
      <c r="BJ8">
        <v>0.87623341272541677</v>
      </c>
      <c r="BK8">
        <v>3.8278325961211301E-3</v>
      </c>
      <c r="BL8">
        <v>7.9959169785641382E-3</v>
      </c>
      <c r="BM8">
        <v>0.1128451380552221</v>
      </c>
      <c r="BN8">
        <v>0.88329617561310236</v>
      </c>
      <c r="BO8">
        <v>3.8586863316755269E-3</v>
      </c>
      <c r="BP8">
        <v>1374.478438449848</v>
      </c>
      <c r="BQ8">
        <v>370.51512294606613</v>
      </c>
      <c r="BR8">
        <v>369.68324711193088</v>
      </c>
    </row>
    <row r="9" spans="1:70" x14ac:dyDescent="0.25">
      <c r="A9" t="s">
        <v>548</v>
      </c>
      <c r="B9">
        <v>14435361.060000001</v>
      </c>
      <c r="C9">
        <v>27077</v>
      </c>
      <c r="D9">
        <v>485613</v>
      </c>
      <c r="E9">
        <v>81792</v>
      </c>
      <c r="F9">
        <v>5.5800000000000002E-2</v>
      </c>
      <c r="G9">
        <v>533.12</v>
      </c>
      <c r="H9">
        <v>176.4886671068075</v>
      </c>
      <c r="W9">
        <v>6999305.1299999999</v>
      </c>
      <c r="X9">
        <v>10724</v>
      </c>
      <c r="Y9">
        <v>652.67671857515847</v>
      </c>
      <c r="Z9">
        <v>7436055.9299999997</v>
      </c>
      <c r="AA9">
        <v>16353</v>
      </c>
      <c r="AB9">
        <v>454.72120895248582</v>
      </c>
      <c r="AS9">
        <v>5237199.8629999999</v>
      </c>
      <c r="AT9">
        <v>8554139.3550000004</v>
      </c>
      <c r="AU9">
        <v>8476618.3450000007</v>
      </c>
      <c r="AV9">
        <v>77521.009999999995</v>
      </c>
      <c r="AW9">
        <v>644021.84199999995</v>
      </c>
      <c r="AX9">
        <v>0.36280352401521432</v>
      </c>
      <c r="AY9">
        <v>0.59258229284636954</v>
      </c>
      <c r="AZ9">
        <v>0.58721207663371044</v>
      </c>
      <c r="BA9">
        <v>5.3702162126591114E-3</v>
      </c>
      <c r="BB9">
        <v>4.4614183138416072E-2</v>
      </c>
      <c r="BC9">
        <v>4254</v>
      </c>
      <c r="BD9">
        <v>22726</v>
      </c>
      <c r="BE9">
        <v>22648</v>
      </c>
      <c r="BF9">
        <v>78</v>
      </c>
      <c r="BG9">
        <v>97</v>
      </c>
      <c r="BH9">
        <v>0.15710750821730621</v>
      </c>
      <c r="BI9">
        <v>0.83931011559626256</v>
      </c>
      <c r="BJ9">
        <v>0.83642944196181257</v>
      </c>
      <c r="BK9">
        <v>2.8806736344499022E-3</v>
      </c>
      <c r="BL9">
        <v>3.5823761864312879E-3</v>
      </c>
      <c r="BM9">
        <v>0.15767234988880649</v>
      </c>
      <c r="BN9">
        <v>0.83943661971830985</v>
      </c>
      <c r="BO9">
        <v>2.8910303928836169E-3</v>
      </c>
      <c r="BP9">
        <v>1231.123616125999</v>
      </c>
      <c r="BQ9">
        <v>376.40321019977119</v>
      </c>
      <c r="BR9">
        <v>374.27668425468028</v>
      </c>
    </row>
    <row r="10" spans="1:70" x14ac:dyDescent="0.25">
      <c r="A10" t="s">
        <v>549</v>
      </c>
      <c r="B10">
        <v>23922402.390000001</v>
      </c>
      <c r="C10">
        <v>42991</v>
      </c>
      <c r="D10">
        <v>3192986</v>
      </c>
      <c r="E10">
        <v>128571</v>
      </c>
      <c r="F10">
        <v>1.35E-2</v>
      </c>
      <c r="G10">
        <v>556.45000000000005</v>
      </c>
      <c r="H10">
        <v>186.0637499124997</v>
      </c>
      <c r="W10">
        <v>11404317.529999999</v>
      </c>
      <c r="X10">
        <v>16805</v>
      </c>
      <c r="Y10">
        <v>678.62645224635526</v>
      </c>
      <c r="Z10">
        <v>12518084.859999999</v>
      </c>
      <c r="AA10">
        <v>26186</v>
      </c>
      <c r="AB10">
        <v>478.04494233559922</v>
      </c>
      <c r="AS10">
        <v>8825401.3300000001</v>
      </c>
      <c r="AT10">
        <v>14259821.67</v>
      </c>
      <c r="AU10">
        <v>14232302.810000001</v>
      </c>
      <c r="AV10">
        <v>27518.86</v>
      </c>
      <c r="AW10">
        <v>837179.39</v>
      </c>
      <c r="AX10">
        <v>0.36891785307019082</v>
      </c>
      <c r="AY10">
        <v>0.59608652331510259</v>
      </c>
      <c r="AZ10">
        <v>0.59493618483523891</v>
      </c>
      <c r="BA10">
        <v>1.150338479863686E-3</v>
      </c>
      <c r="BB10">
        <v>3.4995623614706699E-2</v>
      </c>
      <c r="BC10">
        <v>7585</v>
      </c>
      <c r="BD10">
        <v>34949</v>
      </c>
      <c r="BE10">
        <v>34845</v>
      </c>
      <c r="BF10">
        <v>104</v>
      </c>
      <c r="BG10">
        <v>457</v>
      </c>
      <c r="BH10">
        <v>0.1764322765229932</v>
      </c>
      <c r="BI10">
        <v>0.81293759158893719</v>
      </c>
      <c r="BJ10">
        <v>0.8105184806122212</v>
      </c>
      <c r="BK10">
        <v>2.4191109767160569E-3</v>
      </c>
      <c r="BL10">
        <v>1.06301318880696E-2</v>
      </c>
      <c r="BM10">
        <v>0.17832792589457849</v>
      </c>
      <c r="BN10">
        <v>0.81922697136408518</v>
      </c>
      <c r="BO10">
        <v>2.4451027413363428E-3</v>
      </c>
      <c r="BP10">
        <v>1163.533464733026</v>
      </c>
      <c r="BQ10">
        <v>408.01801682451571</v>
      </c>
      <c r="BR10">
        <v>408.44605567513281</v>
      </c>
    </row>
    <row r="11" spans="1:70" x14ac:dyDescent="0.25">
      <c r="A11" t="s">
        <v>550</v>
      </c>
      <c r="B11">
        <v>52970527.369999997</v>
      </c>
      <c r="C11">
        <v>85841</v>
      </c>
      <c r="D11">
        <v>14157336</v>
      </c>
      <c r="E11">
        <v>256186</v>
      </c>
      <c r="F11">
        <v>6.1000000000000004E-3</v>
      </c>
      <c r="G11">
        <v>617.08000000000004</v>
      </c>
      <c r="H11">
        <v>206.7658941940621</v>
      </c>
      <c r="W11">
        <v>20837677.57</v>
      </c>
      <c r="X11">
        <v>31861</v>
      </c>
      <c r="Y11">
        <v>654.01831612315993</v>
      </c>
      <c r="Z11">
        <v>32132849.800000001</v>
      </c>
      <c r="AA11">
        <v>53980</v>
      </c>
      <c r="AB11">
        <v>595.27324564653577</v>
      </c>
      <c r="AS11">
        <v>16268726.49</v>
      </c>
      <c r="AT11">
        <v>35535311.890000001</v>
      </c>
      <c r="AU11">
        <v>35445954.700000003</v>
      </c>
      <c r="AV11">
        <v>89357.19</v>
      </c>
      <c r="AW11">
        <v>1166488.99</v>
      </c>
      <c r="AX11">
        <v>0.30712789352393421</v>
      </c>
      <c r="AY11">
        <v>0.67085063438740689</v>
      </c>
      <c r="AZ11">
        <v>0.66916371159398558</v>
      </c>
      <c r="BA11">
        <v>1.686922793421303E-3</v>
      </c>
      <c r="BB11">
        <v>2.2021472088658949E-2</v>
      </c>
      <c r="BC11">
        <v>13923</v>
      </c>
      <c r="BD11">
        <v>70735</v>
      </c>
      <c r="BE11">
        <v>70650</v>
      </c>
      <c r="BF11">
        <v>85</v>
      </c>
      <c r="BG11">
        <v>1183</v>
      </c>
      <c r="BH11">
        <v>0.1621952213977004</v>
      </c>
      <c r="BI11">
        <v>0.82402348528092639</v>
      </c>
      <c r="BJ11">
        <v>0.82303328246409058</v>
      </c>
      <c r="BK11">
        <v>9.9020281683577776E-4</v>
      </c>
      <c r="BL11">
        <v>1.3781293321373241E-2</v>
      </c>
      <c r="BM11">
        <v>0.16446171655366301</v>
      </c>
      <c r="BN11">
        <v>0.8345342436627371</v>
      </c>
      <c r="BO11">
        <v>1.0040397835998961E-3</v>
      </c>
      <c r="BP11">
        <v>1168.4785240249951</v>
      </c>
      <c r="BQ11">
        <v>502.37240248815999</v>
      </c>
      <c r="BR11">
        <v>501.71202689313509</v>
      </c>
    </row>
    <row r="12" spans="1:70" x14ac:dyDescent="0.25">
      <c r="A12" t="s">
        <v>551</v>
      </c>
      <c r="B12">
        <v>54832596.030000001</v>
      </c>
      <c r="C12">
        <v>81460</v>
      </c>
      <c r="D12">
        <v>13124511</v>
      </c>
      <c r="E12">
        <v>297670</v>
      </c>
      <c r="F12">
        <v>6.1999999999999998E-3</v>
      </c>
      <c r="G12">
        <v>673.12</v>
      </c>
      <c r="H12">
        <v>184.20598659589481</v>
      </c>
      <c r="W12">
        <v>27791787.140000001</v>
      </c>
      <c r="X12">
        <v>37338</v>
      </c>
      <c r="Y12">
        <v>744.32982859285448</v>
      </c>
      <c r="Z12">
        <v>27040808.890000001</v>
      </c>
      <c r="AA12">
        <v>44122</v>
      </c>
      <c r="AB12">
        <v>612.86453220615567</v>
      </c>
      <c r="AS12">
        <v>20131608.66</v>
      </c>
      <c r="AT12">
        <v>32754382.600000001</v>
      </c>
      <c r="AU12">
        <v>32675858.41</v>
      </c>
      <c r="AV12">
        <v>78524.19</v>
      </c>
      <c r="AW12">
        <v>1946604.77</v>
      </c>
      <c r="AX12">
        <v>0.36714673602150077</v>
      </c>
      <c r="AY12">
        <v>0.59735239568229503</v>
      </c>
      <c r="AZ12">
        <v>0.59592032432902486</v>
      </c>
      <c r="BA12">
        <v>1.432071353270195E-3</v>
      </c>
      <c r="BB12">
        <v>3.5500868296204212E-2</v>
      </c>
      <c r="BC12">
        <v>15603</v>
      </c>
      <c r="BD12">
        <v>67891</v>
      </c>
      <c r="BE12">
        <v>67739</v>
      </c>
      <c r="BF12">
        <v>152</v>
      </c>
      <c r="BG12">
        <v>-2034</v>
      </c>
      <c r="BH12">
        <v>0.1915418610360913</v>
      </c>
      <c r="BI12">
        <v>0.83342744905475075</v>
      </c>
      <c r="BJ12">
        <v>0.83156150257795236</v>
      </c>
      <c r="BK12">
        <v>1.8659464767984289E-3</v>
      </c>
      <c r="BL12">
        <v>-2.496931009084213E-2</v>
      </c>
      <c r="BM12">
        <v>0.18687570364337561</v>
      </c>
      <c r="BN12">
        <v>0.81130380626152776</v>
      </c>
      <c r="BO12">
        <v>1.820490095096654E-3</v>
      </c>
      <c r="BP12">
        <v>1290.2396116131511</v>
      </c>
      <c r="BQ12">
        <v>482.45544475703701</v>
      </c>
      <c r="BR12">
        <v>482.37881294379901</v>
      </c>
    </row>
    <row r="13" spans="1:70" x14ac:dyDescent="0.25">
      <c r="A13" t="s">
        <v>552</v>
      </c>
      <c r="B13">
        <v>23738614</v>
      </c>
      <c r="C13">
        <v>38442</v>
      </c>
      <c r="D13">
        <v>981443</v>
      </c>
      <c r="E13">
        <v>138449</v>
      </c>
      <c r="F13">
        <v>3.9199999999999999E-2</v>
      </c>
      <c r="G13" s="252">
        <v>617.52</v>
      </c>
      <c r="H13">
        <v>171.4610723082146</v>
      </c>
      <c r="W13">
        <v>11916621.380000001</v>
      </c>
      <c r="X13">
        <v>15540</v>
      </c>
      <c r="Y13">
        <v>766.83535263835267</v>
      </c>
      <c r="Z13">
        <v>11821992.619999999</v>
      </c>
      <c r="AA13">
        <v>22902</v>
      </c>
      <c r="AB13">
        <v>516.19913631997201</v>
      </c>
      <c r="AS13">
        <v>8411847.8599999994</v>
      </c>
      <c r="AT13">
        <v>14300480.07</v>
      </c>
      <c r="AU13">
        <v>14210983.279999999</v>
      </c>
      <c r="AV13">
        <v>89496.79</v>
      </c>
      <c r="AW13">
        <v>1026286.07</v>
      </c>
      <c r="AX13">
        <v>0.35435294832293068</v>
      </c>
      <c r="AY13">
        <v>0.60241428037879552</v>
      </c>
      <c r="AZ13">
        <v>0.59864418706163725</v>
      </c>
      <c r="BA13">
        <v>3.7700933171582809E-3</v>
      </c>
      <c r="BB13">
        <v>4.3232771298273777E-2</v>
      </c>
      <c r="BC13">
        <v>6954</v>
      </c>
      <c r="BD13">
        <v>32102</v>
      </c>
      <c r="BE13">
        <v>32010</v>
      </c>
      <c r="BF13">
        <v>92</v>
      </c>
      <c r="BG13">
        <v>-614</v>
      </c>
      <c r="BH13">
        <v>0.18089589511471829</v>
      </c>
      <c r="BI13">
        <v>0.83507621871910931</v>
      </c>
      <c r="BJ13">
        <v>0.83268300296550646</v>
      </c>
      <c r="BK13">
        <v>2.3932157536028301E-3</v>
      </c>
      <c r="BL13">
        <v>-1.5972113833827579E-2</v>
      </c>
      <c r="BM13">
        <v>0.17805202785743551</v>
      </c>
      <c r="BN13">
        <v>0.8195923801720606</v>
      </c>
      <c r="BO13">
        <v>2.3555919705038919E-3</v>
      </c>
      <c r="BP13" s="252">
        <v>1209.641624964049</v>
      </c>
      <c r="BQ13" s="252">
        <v>445.47006635100621</v>
      </c>
      <c r="BR13" s="252">
        <v>443.95449172133709</v>
      </c>
    </row>
    <row r="14" spans="1:70" x14ac:dyDescent="0.25">
      <c r="A14" t="s">
        <v>553</v>
      </c>
      <c r="B14">
        <v>10629155.08</v>
      </c>
      <c r="C14">
        <v>17487</v>
      </c>
      <c r="D14">
        <v>1252842</v>
      </c>
      <c r="E14">
        <v>48505</v>
      </c>
      <c r="F14">
        <v>1.4E-2</v>
      </c>
      <c r="G14">
        <v>607.83000000000004</v>
      </c>
      <c r="H14">
        <v>219.13524543861459</v>
      </c>
      <c r="I14">
        <v>19156690</v>
      </c>
      <c r="J14">
        <v>32444</v>
      </c>
      <c r="K14">
        <v>549810</v>
      </c>
      <c r="L14">
        <v>95841</v>
      </c>
      <c r="M14">
        <v>5.9009475999999998E-2</v>
      </c>
      <c r="N14">
        <v>590.4540131</v>
      </c>
      <c r="O14">
        <v>199.87990525975309</v>
      </c>
      <c r="P14">
        <v>-0.44514657386009798</v>
      </c>
      <c r="Q14">
        <v>-0.46100973985945021</v>
      </c>
      <c r="R14">
        <v>1.27868172641458</v>
      </c>
      <c r="S14">
        <v>-0.49390135745662078</v>
      </c>
      <c r="T14">
        <v>-4.5009476E-2</v>
      </c>
      <c r="U14">
        <v>2.9428179865816501E-2</v>
      </c>
      <c r="V14">
        <v>9.633454725645503E-2</v>
      </c>
      <c r="W14">
        <v>5404244.0499999998</v>
      </c>
      <c r="X14">
        <v>6951</v>
      </c>
      <c r="Y14">
        <v>777.4772047187455</v>
      </c>
      <c r="Z14">
        <v>5224911.03</v>
      </c>
      <c r="AA14">
        <v>10536</v>
      </c>
      <c r="AB14">
        <v>495.91031036446469</v>
      </c>
      <c r="AC14">
        <v>9962927</v>
      </c>
      <c r="AD14">
        <v>13090</v>
      </c>
      <c r="AE14">
        <v>761.10977845683726</v>
      </c>
      <c r="AF14">
        <v>9193763</v>
      </c>
      <c r="AG14">
        <v>19354</v>
      </c>
      <c r="AH14">
        <v>475.03167303916501</v>
      </c>
      <c r="AI14">
        <v>-0.45756462433178519</v>
      </c>
      <c r="AJ14">
        <v>-0.46898395721925129</v>
      </c>
      <c r="AK14">
        <v>2.1504685296638099E-2</v>
      </c>
      <c r="AL14">
        <v>-0.43168961066322897</v>
      </c>
      <c r="AM14">
        <v>-0.45561641004443532</v>
      </c>
      <c r="AN14">
        <v>4.3952095218666103E-2</v>
      </c>
      <c r="AO14">
        <v>-1.16396956673E-2</v>
      </c>
      <c r="AP14">
        <v>-5.9691488099615601E-3</v>
      </c>
      <c r="AQ14">
        <v>1.16396956673E-2</v>
      </c>
      <c r="AR14">
        <v>5.9691488099615601E-3</v>
      </c>
      <c r="AS14">
        <v>4342139.2</v>
      </c>
      <c r="AT14">
        <v>5583971.3219999997</v>
      </c>
      <c r="AU14">
        <v>5568861.6150000002</v>
      </c>
      <c r="AV14">
        <v>15109.707</v>
      </c>
      <c r="AW14">
        <v>703044.55799999996</v>
      </c>
      <c r="AX14">
        <v>0.40851216934168583</v>
      </c>
      <c r="AY14">
        <v>0.52534479739663376</v>
      </c>
      <c r="AZ14">
        <v>0.52392326324022365</v>
      </c>
      <c r="BA14">
        <v>1.421534156410107E-3</v>
      </c>
      <c r="BB14">
        <v>6.6143033261680473E-2</v>
      </c>
      <c r="BC14">
        <v>2985</v>
      </c>
      <c r="BD14">
        <v>13967</v>
      </c>
      <c r="BE14">
        <v>13886</v>
      </c>
      <c r="BF14">
        <v>81</v>
      </c>
      <c r="BG14">
        <v>535</v>
      </c>
      <c r="BH14">
        <v>0.17069823297306569</v>
      </c>
      <c r="BI14">
        <v>0.79870761136844515</v>
      </c>
      <c r="BJ14">
        <v>0.79407559901641223</v>
      </c>
      <c r="BK14">
        <v>4.6320123520329388E-3</v>
      </c>
      <c r="BL14">
        <v>3.059415565848916E-2</v>
      </c>
      <c r="BM14">
        <v>0.17608541764983479</v>
      </c>
      <c r="BN14">
        <v>0.81913638508730535</v>
      </c>
      <c r="BO14">
        <v>4.7781972628598386E-3</v>
      </c>
      <c r="BP14">
        <v>1454.6529983249579</v>
      </c>
      <c r="BQ14">
        <v>399.79747418916008</v>
      </c>
      <c r="BR14">
        <v>401.04145290220367</v>
      </c>
    </row>
    <row r="15" spans="1:70" x14ac:dyDescent="0.25">
      <c r="A15" t="s">
        <v>554</v>
      </c>
      <c r="B15">
        <v>12367055</v>
      </c>
      <c r="C15">
        <v>21518</v>
      </c>
      <c r="D15">
        <v>435815</v>
      </c>
      <c r="E15">
        <v>63849</v>
      </c>
      <c r="F15">
        <v>4.9399999999999999E-2</v>
      </c>
      <c r="G15">
        <v>574.73</v>
      </c>
      <c r="H15">
        <v>193.69222697301441</v>
      </c>
      <c r="I15">
        <v>14315199</v>
      </c>
      <c r="J15">
        <v>27422</v>
      </c>
      <c r="K15">
        <v>380667</v>
      </c>
      <c r="L15">
        <v>84161</v>
      </c>
      <c r="M15">
        <v>7.2036714500000001E-2</v>
      </c>
      <c r="N15">
        <v>522.03336739999997</v>
      </c>
      <c r="O15">
        <v>170.0930240847899</v>
      </c>
      <c r="P15">
        <v>-0.13608920141452449</v>
      </c>
      <c r="Q15">
        <v>-0.2153015826708482</v>
      </c>
      <c r="R15">
        <v>0.14487202725741921</v>
      </c>
      <c r="S15">
        <v>-0.24134694217036401</v>
      </c>
      <c r="T15">
        <v>-2.2636714499999998E-2</v>
      </c>
      <c r="U15">
        <v>0.10094495082269719</v>
      </c>
      <c r="V15">
        <v>0.13874292032376701</v>
      </c>
      <c r="W15">
        <v>6061434</v>
      </c>
      <c r="X15">
        <v>8395</v>
      </c>
      <c r="Y15">
        <v>722.02906491959504</v>
      </c>
      <c r="Z15">
        <v>6305621</v>
      </c>
      <c r="AA15">
        <v>13123</v>
      </c>
      <c r="AB15">
        <v>480.50148594071482</v>
      </c>
      <c r="AC15">
        <v>7069184</v>
      </c>
      <c r="AD15">
        <v>10764</v>
      </c>
      <c r="AE15">
        <v>656.74321813452252</v>
      </c>
      <c r="AF15">
        <v>7246015</v>
      </c>
      <c r="AG15">
        <v>16658</v>
      </c>
      <c r="AH15">
        <v>434.98709328850998</v>
      </c>
      <c r="AI15">
        <v>-0.1425553500941551</v>
      </c>
      <c r="AJ15">
        <v>-0.22008547008547011</v>
      </c>
      <c r="AK15">
        <v>9.9408482619001107E-2</v>
      </c>
      <c r="AL15">
        <v>-0.12978085195793829</v>
      </c>
      <c r="AM15">
        <v>-0.21221034938167849</v>
      </c>
      <c r="AN15">
        <v>0.10463389225669931</v>
      </c>
      <c r="AO15">
        <v>-3.6961422737802892E-3</v>
      </c>
      <c r="AP15">
        <v>-2.393055308624859E-3</v>
      </c>
      <c r="AQ15">
        <v>3.6961422737802892E-3</v>
      </c>
      <c r="AR15">
        <v>2.393055308624859E-3</v>
      </c>
      <c r="AS15">
        <v>4698418.8080000002</v>
      </c>
      <c r="AT15">
        <v>6996637.4859999996</v>
      </c>
      <c r="AU15">
        <v>6946246.7970000003</v>
      </c>
      <c r="AV15">
        <v>50390.688999999998</v>
      </c>
      <c r="AW15">
        <v>671998.70600000001</v>
      </c>
      <c r="AX15">
        <v>0.3799141192466598</v>
      </c>
      <c r="AY15">
        <v>0.56574806904311492</v>
      </c>
      <c r="AZ15">
        <v>0.56167347820479496</v>
      </c>
      <c r="BA15">
        <v>4.074590838320037E-3</v>
      </c>
      <c r="BB15">
        <v>5.4337811710225267E-2</v>
      </c>
      <c r="BC15">
        <v>3201</v>
      </c>
      <c r="BD15">
        <v>18068</v>
      </c>
      <c r="BE15">
        <v>17985</v>
      </c>
      <c r="BF15">
        <v>83</v>
      </c>
      <c r="BG15">
        <v>249</v>
      </c>
      <c r="BH15">
        <v>0.14875917836230129</v>
      </c>
      <c r="BI15">
        <v>0.83966911422994706</v>
      </c>
      <c r="BJ15">
        <v>0.83581187842736315</v>
      </c>
      <c r="BK15">
        <v>3.8572358025838831E-3</v>
      </c>
      <c r="BL15">
        <v>1.1571707407751651E-2</v>
      </c>
      <c r="BM15">
        <v>0.1505007287601674</v>
      </c>
      <c r="BN15">
        <v>0.84559687808547657</v>
      </c>
      <c r="BO15">
        <v>3.9023931543561048E-3</v>
      </c>
      <c r="BP15">
        <v>1467.7971908778511</v>
      </c>
      <c r="BQ15">
        <v>387.23917899048041</v>
      </c>
      <c r="BR15">
        <v>386.22445354462047</v>
      </c>
    </row>
    <row r="16" spans="1:70" x14ac:dyDescent="0.25">
      <c r="A16" t="s">
        <v>555</v>
      </c>
      <c r="B16">
        <v>23570192.329999998</v>
      </c>
      <c r="C16">
        <v>40063</v>
      </c>
      <c r="D16">
        <v>661406</v>
      </c>
      <c r="E16">
        <v>112693</v>
      </c>
      <c r="F16">
        <v>6.0600000000000001E-2</v>
      </c>
      <c r="G16">
        <v>588.33000000000004</v>
      </c>
      <c r="H16">
        <v>209.1540053951887</v>
      </c>
      <c r="I16">
        <v>29234295</v>
      </c>
      <c r="J16">
        <v>55306</v>
      </c>
      <c r="K16">
        <v>483627</v>
      </c>
      <c r="L16">
        <v>181607</v>
      </c>
      <c r="M16">
        <v>0.1143567253</v>
      </c>
      <c r="N16">
        <v>528.59174410000003</v>
      </c>
      <c r="O16">
        <v>160.9755956543525</v>
      </c>
      <c r="P16">
        <v>-0.1937485638015215</v>
      </c>
      <c r="Q16">
        <v>-0.27561204932557049</v>
      </c>
      <c r="R16">
        <v>0.36759527487092331</v>
      </c>
      <c r="S16">
        <v>-0.3794677517937084</v>
      </c>
      <c r="T16">
        <v>-5.3756725300000002E-2</v>
      </c>
      <c r="U16">
        <v>0.11301397830515229</v>
      </c>
      <c r="V16">
        <v>0.29929014733565612</v>
      </c>
      <c r="W16">
        <v>9936747.4100000001</v>
      </c>
      <c r="X16">
        <v>13869</v>
      </c>
      <c r="Y16">
        <v>716.47180113923139</v>
      </c>
      <c r="Z16">
        <v>13633444.92</v>
      </c>
      <c r="AA16">
        <v>26194</v>
      </c>
      <c r="AB16">
        <v>520.47968695121017</v>
      </c>
      <c r="AC16">
        <v>12546512</v>
      </c>
      <c r="AD16">
        <v>20013</v>
      </c>
      <c r="AE16">
        <v>626.9181032328986</v>
      </c>
      <c r="AF16">
        <v>16687783</v>
      </c>
      <c r="AG16">
        <v>35293</v>
      </c>
      <c r="AH16">
        <v>472.83549145722952</v>
      </c>
      <c r="AI16">
        <v>-0.20800718080052849</v>
      </c>
      <c r="AJ16">
        <v>-0.30700044970769003</v>
      </c>
      <c r="AK16">
        <v>0.14284752257834191</v>
      </c>
      <c r="AL16">
        <v>-0.18302839148855179</v>
      </c>
      <c r="AM16">
        <v>-0.25781316408352928</v>
      </c>
      <c r="AN16">
        <v>0.1007627311290578</v>
      </c>
      <c r="AO16">
        <v>-7.5899214896837167E-3</v>
      </c>
      <c r="AP16">
        <v>-1.5679705884416001E-2</v>
      </c>
      <c r="AQ16">
        <v>7.5899214896837167E-3</v>
      </c>
      <c r="AR16">
        <v>1.5679705884416001E-2</v>
      </c>
      <c r="AS16">
        <v>6979962.7300000004</v>
      </c>
      <c r="AT16">
        <v>15765773.810000001</v>
      </c>
      <c r="AU16">
        <v>15667759.01</v>
      </c>
      <c r="AV16">
        <v>98014.8</v>
      </c>
      <c r="AW16">
        <v>824455.79</v>
      </c>
      <c r="AX16">
        <v>0.29613516225389241</v>
      </c>
      <c r="AY16">
        <v>0.6688860909265224</v>
      </c>
      <c r="AZ16">
        <v>0.66472766919505233</v>
      </c>
      <c r="BA16">
        <v>4.1584217314700207E-3</v>
      </c>
      <c r="BB16">
        <v>3.4978746819585238E-2</v>
      </c>
      <c r="BC16">
        <v>5117</v>
      </c>
      <c r="BD16">
        <v>35243</v>
      </c>
      <c r="BE16">
        <v>35164</v>
      </c>
      <c r="BF16">
        <v>79</v>
      </c>
      <c r="BG16">
        <v>-297</v>
      </c>
      <c r="BH16">
        <v>0.12772383495993811</v>
      </c>
      <c r="BI16">
        <v>0.87968948905473876</v>
      </c>
      <c r="BJ16">
        <v>0.87771759478820854</v>
      </c>
      <c r="BK16">
        <v>1.9718942665302151E-3</v>
      </c>
      <c r="BL16">
        <v>-7.4133240146768836E-3</v>
      </c>
      <c r="BM16">
        <v>0.12678394449950439</v>
      </c>
      <c r="BN16">
        <v>0.87125867195242812</v>
      </c>
      <c r="BO16">
        <v>1.957383548067394E-3</v>
      </c>
      <c r="BP16">
        <v>1364.073232362713</v>
      </c>
      <c r="BQ16">
        <v>447.34482904406548</v>
      </c>
      <c r="BR16">
        <v>445.56247895575018</v>
      </c>
    </row>
    <row r="17" spans="1:70" x14ac:dyDescent="0.25">
      <c r="A17" t="s">
        <v>556</v>
      </c>
      <c r="B17">
        <v>13841431.68</v>
      </c>
      <c r="C17">
        <v>24075</v>
      </c>
      <c r="D17">
        <v>5540428</v>
      </c>
      <c r="E17">
        <v>68998</v>
      </c>
      <c r="F17">
        <v>4.3E-3</v>
      </c>
      <c r="G17">
        <v>574.92999999999995</v>
      </c>
      <c r="H17">
        <v>200.6062738050378</v>
      </c>
      <c r="I17">
        <v>13354562</v>
      </c>
      <c r="J17">
        <v>27136</v>
      </c>
      <c r="K17">
        <v>405848</v>
      </c>
      <c r="L17">
        <v>92859</v>
      </c>
      <c r="M17">
        <v>6.6862470699999996E-2</v>
      </c>
      <c r="N17">
        <v>492.13450769999997</v>
      </c>
      <c r="O17">
        <v>143.8154836903262</v>
      </c>
      <c r="P17">
        <v>3.6457180699748903E-2</v>
      </c>
      <c r="Q17">
        <v>-0.1128021816037736</v>
      </c>
      <c r="R17">
        <v>12.651485285131381</v>
      </c>
      <c r="S17">
        <v>-0.25695947619509152</v>
      </c>
      <c r="T17">
        <v>-6.2562470699999997E-2</v>
      </c>
      <c r="U17">
        <v>0.1682375265391291</v>
      </c>
      <c r="V17">
        <v>0.39488647993562109</v>
      </c>
      <c r="W17">
        <v>6810897.4800000004</v>
      </c>
      <c r="X17">
        <v>9501</v>
      </c>
      <c r="Y17">
        <v>716.86111777707606</v>
      </c>
      <c r="Z17">
        <v>7030534.2000000002</v>
      </c>
      <c r="AA17">
        <v>14574</v>
      </c>
      <c r="AB17">
        <v>482.40251132153151</v>
      </c>
      <c r="AC17">
        <v>5920904</v>
      </c>
      <c r="AD17">
        <v>10107</v>
      </c>
      <c r="AE17">
        <v>585.82210349262891</v>
      </c>
      <c r="AF17">
        <v>7433658</v>
      </c>
      <c r="AG17">
        <v>17029</v>
      </c>
      <c r="AH17">
        <v>436.52933231546189</v>
      </c>
      <c r="AI17">
        <v>0.15031378316554361</v>
      </c>
      <c r="AJ17">
        <v>-5.9958444642327101E-2</v>
      </c>
      <c r="AK17">
        <v>0.22368397078772231</v>
      </c>
      <c r="AL17">
        <v>-5.4229532754937068E-2</v>
      </c>
      <c r="AM17">
        <v>-0.1441658347524811</v>
      </c>
      <c r="AN17">
        <v>0.1050861319278288</v>
      </c>
      <c r="AO17">
        <v>4.8704066786690522E-2</v>
      </c>
      <c r="AP17">
        <v>2.218449218979604E-2</v>
      </c>
      <c r="AQ17">
        <v>-4.8704066786690522E-2</v>
      </c>
      <c r="AR17">
        <v>-2.218449218979604E-2</v>
      </c>
      <c r="AS17">
        <v>5519408.6600000001</v>
      </c>
      <c r="AT17">
        <v>7662239.1119999997</v>
      </c>
      <c r="AU17">
        <v>7457399.4510000004</v>
      </c>
      <c r="AV17">
        <v>204839.66099999999</v>
      </c>
      <c r="AW17">
        <v>659783.90800000005</v>
      </c>
      <c r="AX17">
        <v>0.39875995399920938</v>
      </c>
      <c r="AY17">
        <v>0.55357272926264234</v>
      </c>
      <c r="AZ17">
        <v>0.53877370660836144</v>
      </c>
      <c r="BA17">
        <v>1.47990226542808E-2</v>
      </c>
      <c r="BB17">
        <v>4.7667316738148287E-2</v>
      </c>
      <c r="BC17">
        <v>3994</v>
      </c>
      <c r="BD17">
        <v>19990</v>
      </c>
      <c r="BE17">
        <v>19896</v>
      </c>
      <c r="BF17">
        <v>94</v>
      </c>
      <c r="BG17">
        <v>91</v>
      </c>
      <c r="BH17">
        <v>0.16589823468328141</v>
      </c>
      <c r="BI17">
        <v>0.83032191069574246</v>
      </c>
      <c r="BJ17">
        <v>0.826417445482866</v>
      </c>
      <c r="BK17">
        <v>3.904465212876428E-3</v>
      </c>
      <c r="BL17">
        <v>3.779854620976116E-3</v>
      </c>
      <c r="BM17">
        <v>0.16652768512341559</v>
      </c>
      <c r="BN17">
        <v>0.82955303535690461</v>
      </c>
      <c r="BO17">
        <v>3.9192795196797874E-3</v>
      </c>
      <c r="BP17">
        <v>1381.925052578868</v>
      </c>
      <c r="BQ17">
        <v>383.30360740370179</v>
      </c>
      <c r="BR17">
        <v>374.81903151387212</v>
      </c>
    </row>
    <row r="18" spans="1:70" x14ac:dyDescent="0.25">
      <c r="A18" t="s">
        <v>557</v>
      </c>
      <c r="B18">
        <v>29604204.23</v>
      </c>
      <c r="C18">
        <v>55073</v>
      </c>
      <c r="D18">
        <v>2026998</v>
      </c>
      <c r="E18">
        <v>150355</v>
      </c>
      <c r="F18">
        <v>2.7199999999999998E-2</v>
      </c>
      <c r="G18">
        <v>537.54</v>
      </c>
      <c r="H18">
        <v>196.89537581058161</v>
      </c>
      <c r="I18">
        <v>40814385.960000001</v>
      </c>
      <c r="J18">
        <v>68228</v>
      </c>
      <c r="K18">
        <v>4280977</v>
      </c>
      <c r="L18">
        <v>232965</v>
      </c>
      <c r="M18">
        <v>1.5937483400000001E-2</v>
      </c>
      <c r="N18">
        <v>598.20580930000006</v>
      </c>
      <c r="O18">
        <v>175.19535535380851</v>
      </c>
      <c r="P18">
        <v>-0.27466251093392657</v>
      </c>
      <c r="Q18">
        <v>-0.19280940376385061</v>
      </c>
      <c r="R18">
        <v>-0.52651042040169804</v>
      </c>
      <c r="S18">
        <v>-0.35460262271156612</v>
      </c>
      <c r="T18">
        <v>1.12625166E-2</v>
      </c>
      <c r="U18">
        <v>-0.10141293908694909</v>
      </c>
      <c r="V18">
        <v>0.1238618478951667</v>
      </c>
      <c r="W18">
        <v>12580484.550000001</v>
      </c>
      <c r="X18">
        <v>22713</v>
      </c>
      <c r="Y18">
        <v>553.88916259410905</v>
      </c>
      <c r="Z18">
        <v>17023719.68</v>
      </c>
      <c r="AA18">
        <v>32360</v>
      </c>
      <c r="AB18">
        <v>526.07291965389368</v>
      </c>
      <c r="AC18">
        <v>17795322.68</v>
      </c>
      <c r="AD18">
        <v>25903</v>
      </c>
      <c r="AE18">
        <v>686.99852063467551</v>
      </c>
      <c r="AF18">
        <v>23019063.280000001</v>
      </c>
      <c r="AG18">
        <v>42325</v>
      </c>
      <c r="AH18">
        <v>543.86446024808038</v>
      </c>
      <c r="AI18">
        <v>-0.29304543804990452</v>
      </c>
      <c r="AJ18">
        <v>-0.12315175848357331</v>
      </c>
      <c r="AK18">
        <v>-0.19375494130263179</v>
      </c>
      <c r="AL18">
        <v>-0.26045124108977208</v>
      </c>
      <c r="AM18">
        <v>-0.23544004725339629</v>
      </c>
      <c r="AN18">
        <v>-3.2713188477274537E-2</v>
      </c>
      <c r="AO18">
        <v>-1.105012373547418E-2</v>
      </c>
      <c r="AP18">
        <v>3.2762732839958293E-2</v>
      </c>
      <c r="AQ18">
        <v>1.105012373547418E-2</v>
      </c>
      <c r="AR18">
        <v>-3.2762732839958293E-2</v>
      </c>
      <c r="AS18">
        <v>9669212.9600000009</v>
      </c>
      <c r="AT18">
        <v>19219594.129999999</v>
      </c>
      <c r="AU18">
        <v>19120752.16</v>
      </c>
      <c r="AV18">
        <v>98841.97</v>
      </c>
      <c r="AW18">
        <v>715397.14</v>
      </c>
      <c r="AX18">
        <v>0.32661620913294181</v>
      </c>
      <c r="AY18">
        <v>0.649218400896027</v>
      </c>
      <c r="AZ18">
        <v>0.64587961937594029</v>
      </c>
      <c r="BA18">
        <v>3.3387815200868181E-3</v>
      </c>
      <c r="BB18">
        <v>2.416538997103115E-2</v>
      </c>
      <c r="BC18">
        <v>8969</v>
      </c>
      <c r="BD18">
        <v>46966</v>
      </c>
      <c r="BE18">
        <v>46884</v>
      </c>
      <c r="BF18">
        <v>82</v>
      </c>
      <c r="BG18">
        <v>-862</v>
      </c>
      <c r="BH18">
        <v>0.16285657218600769</v>
      </c>
      <c r="BI18">
        <v>0.85279538067655658</v>
      </c>
      <c r="BJ18">
        <v>0.8513064478056398</v>
      </c>
      <c r="BK18">
        <v>1.488932870916783E-3</v>
      </c>
      <c r="BL18">
        <v>-1.5651952862564229E-2</v>
      </c>
      <c r="BM18">
        <v>0.16034683114329129</v>
      </c>
      <c r="BN18">
        <v>0.83818718155001337</v>
      </c>
      <c r="BO18">
        <v>1.4659873066952709E-3</v>
      </c>
      <c r="BP18">
        <v>1078.0703489798191</v>
      </c>
      <c r="BQ18">
        <v>409.22356875186313</v>
      </c>
      <c r="BR18">
        <v>407.83107584677077</v>
      </c>
    </row>
    <row r="19" spans="1:70" x14ac:dyDescent="0.25">
      <c r="A19" t="s">
        <v>558</v>
      </c>
      <c r="B19">
        <v>38046115.509999998</v>
      </c>
      <c r="C19">
        <v>60816</v>
      </c>
      <c r="D19">
        <v>4238870</v>
      </c>
      <c r="E19">
        <v>212727</v>
      </c>
      <c r="F19">
        <v>1.43E-2</v>
      </c>
      <c r="G19">
        <v>625.59</v>
      </c>
      <c r="H19">
        <v>178.8494902386627</v>
      </c>
      <c r="I19">
        <v>48839011.409999996</v>
      </c>
      <c r="J19">
        <v>70584</v>
      </c>
      <c r="K19">
        <v>1725765</v>
      </c>
      <c r="L19">
        <v>261049</v>
      </c>
      <c r="M19">
        <v>4.0900122599999998E-2</v>
      </c>
      <c r="N19">
        <v>691.92751060000001</v>
      </c>
      <c r="O19">
        <v>187.0875253688005</v>
      </c>
      <c r="P19">
        <v>-0.2209892376689285</v>
      </c>
      <c r="Q19">
        <v>-0.1383883032981979</v>
      </c>
      <c r="R19">
        <v>1.4562266589019941</v>
      </c>
      <c r="S19">
        <v>-0.1851070105612356</v>
      </c>
      <c r="T19">
        <v>-2.6600122600000001E-2</v>
      </c>
      <c r="U19">
        <v>-9.5873497705671371E-2</v>
      </c>
      <c r="V19">
        <v>-4.4033054122119483E-2</v>
      </c>
      <c r="W19">
        <v>18499047.870000001</v>
      </c>
      <c r="X19">
        <v>26498</v>
      </c>
      <c r="Y19">
        <v>698.12996716733335</v>
      </c>
      <c r="Z19">
        <v>19547067.640000001</v>
      </c>
      <c r="AA19">
        <v>34318</v>
      </c>
      <c r="AB19">
        <v>569.58644559706272</v>
      </c>
      <c r="AC19">
        <v>24425310.77</v>
      </c>
      <c r="AD19">
        <v>30113</v>
      </c>
      <c r="AE19">
        <v>811.12180021917447</v>
      </c>
      <c r="AF19">
        <v>24413700.640000001</v>
      </c>
      <c r="AG19">
        <v>40471</v>
      </c>
      <c r="AH19">
        <v>603.2393723901065</v>
      </c>
      <c r="AI19">
        <v>-0.24262794262085041</v>
      </c>
      <c r="AJ19">
        <v>-0.12004781987845781</v>
      </c>
      <c r="AK19">
        <v>-0.13930316386676991</v>
      </c>
      <c r="AL19">
        <v>-0.19934024225833219</v>
      </c>
      <c r="AM19">
        <v>-0.1520347903437029</v>
      </c>
      <c r="AN19">
        <v>-5.5787019769128823E-2</v>
      </c>
      <c r="AO19">
        <v>-1.3891880577719231E-2</v>
      </c>
      <c r="AP19">
        <v>9.0812775785752611E-3</v>
      </c>
      <c r="AQ19">
        <v>1.3891880577719231E-2</v>
      </c>
      <c r="AR19">
        <v>-9.0812775785752611E-3</v>
      </c>
      <c r="AS19">
        <v>13463655.74</v>
      </c>
      <c r="AT19">
        <v>23620253.5</v>
      </c>
      <c r="AU19">
        <v>23595400.170000002</v>
      </c>
      <c r="AV19">
        <v>24853.33</v>
      </c>
      <c r="AW19">
        <v>962206.27</v>
      </c>
      <c r="AX19">
        <v>0.35387727655038081</v>
      </c>
      <c r="AY19">
        <v>0.62083219754173535</v>
      </c>
      <c r="AZ19">
        <v>0.62017895529435085</v>
      </c>
      <c r="BA19">
        <v>6.5324224738442951E-4</v>
      </c>
      <c r="BB19">
        <v>2.5290525907883939E-2</v>
      </c>
      <c r="BC19">
        <v>11085</v>
      </c>
      <c r="BD19">
        <v>50717</v>
      </c>
      <c r="BE19">
        <v>50630</v>
      </c>
      <c r="BF19">
        <v>87</v>
      </c>
      <c r="BG19">
        <v>-986</v>
      </c>
      <c r="BH19">
        <v>0.1822711128650355</v>
      </c>
      <c r="BI19">
        <v>0.83394172586161541</v>
      </c>
      <c r="BJ19">
        <v>0.83251118126808732</v>
      </c>
      <c r="BK19">
        <v>1.430544593528019E-3</v>
      </c>
      <c r="BL19">
        <v>-1.6212838726650879E-2</v>
      </c>
      <c r="BM19">
        <v>0.17936312740688001</v>
      </c>
      <c r="BN19">
        <v>0.8192291511601566</v>
      </c>
      <c r="BO19">
        <v>1.407721432963334E-3</v>
      </c>
      <c r="BP19">
        <v>1214.5832873252141</v>
      </c>
      <c r="BQ19">
        <v>465.72655125500319</v>
      </c>
      <c r="BR19">
        <v>466.0359504246494</v>
      </c>
    </row>
    <row r="20" spans="1:70" x14ac:dyDescent="0.25">
      <c r="A20" t="s">
        <v>559</v>
      </c>
      <c r="B20">
        <v>8531404</v>
      </c>
      <c r="C20">
        <v>17104</v>
      </c>
      <c r="D20">
        <v>296788</v>
      </c>
      <c r="E20">
        <v>51042</v>
      </c>
      <c r="F20">
        <v>5.7599999999999998E-2</v>
      </c>
      <c r="G20">
        <v>498.8</v>
      </c>
      <c r="H20">
        <v>167.14478272794949</v>
      </c>
      <c r="I20">
        <v>11773407.380000001</v>
      </c>
      <c r="J20">
        <v>23512</v>
      </c>
      <c r="K20">
        <v>303918</v>
      </c>
      <c r="L20">
        <v>76860</v>
      </c>
      <c r="M20">
        <v>7.7399999999999997E-2</v>
      </c>
      <c r="N20">
        <v>500.74</v>
      </c>
      <c r="O20">
        <v>153.17990346083789</v>
      </c>
      <c r="P20">
        <v>-0.27536661863135159</v>
      </c>
      <c r="Q20">
        <v>-0.27254168084382441</v>
      </c>
      <c r="R20">
        <v>-2.3460275469040989E-2</v>
      </c>
      <c r="S20">
        <v>-0.33590944574551129</v>
      </c>
      <c r="T20">
        <v>-1.9800000000000002E-2</v>
      </c>
      <c r="U20">
        <v>-3.874266086192435E-3</v>
      </c>
      <c r="V20">
        <v>9.116652349034754E-2</v>
      </c>
      <c r="W20">
        <v>4022955</v>
      </c>
      <c r="X20">
        <v>6453</v>
      </c>
      <c r="Y20">
        <v>623.4239888423989</v>
      </c>
      <c r="Z20">
        <v>4508449</v>
      </c>
      <c r="AA20">
        <v>10651</v>
      </c>
      <c r="AB20">
        <v>423.28879917378651</v>
      </c>
      <c r="AC20">
        <v>5233579.18</v>
      </c>
      <c r="AD20">
        <v>8944</v>
      </c>
      <c r="AE20">
        <v>585.14972942754923</v>
      </c>
      <c r="AF20">
        <v>6539828.2000000002</v>
      </c>
      <c r="AG20">
        <v>14568</v>
      </c>
      <c r="AH20">
        <v>448.9173668314113</v>
      </c>
      <c r="AI20">
        <v>-0.23131859447667699</v>
      </c>
      <c r="AJ20">
        <v>-0.27851073345259392</v>
      </c>
      <c r="AK20">
        <v>6.5409343096327399E-2</v>
      </c>
      <c r="AL20">
        <v>-0.3106165999895838</v>
      </c>
      <c r="AM20">
        <v>-0.26887699066447007</v>
      </c>
      <c r="AN20">
        <v>-5.7089721964910072E-2</v>
      </c>
      <c r="AO20">
        <v>2.7021205669786781E-2</v>
      </c>
      <c r="AP20">
        <v>-3.121328726194709E-3</v>
      </c>
      <c r="AQ20">
        <v>-2.7021205669786781E-2</v>
      </c>
      <c r="AR20">
        <v>3.121328726194709E-3</v>
      </c>
      <c r="AS20">
        <v>2919505.06</v>
      </c>
      <c r="AT20">
        <v>5249465.5999999996</v>
      </c>
      <c r="AU20">
        <v>5236568.54</v>
      </c>
      <c r="AV20">
        <v>12897.06</v>
      </c>
      <c r="AW20">
        <v>362433.34</v>
      </c>
      <c r="AX20">
        <v>0.3422068700532761</v>
      </c>
      <c r="AY20">
        <v>0.61531086794154866</v>
      </c>
      <c r="AZ20">
        <v>0.6137991519332574</v>
      </c>
      <c r="BA20">
        <v>1.51171600829125E-3</v>
      </c>
      <c r="BB20">
        <v>4.2482262005175242E-2</v>
      </c>
      <c r="BC20">
        <v>2215</v>
      </c>
      <c r="BD20">
        <v>14732</v>
      </c>
      <c r="BE20">
        <v>14681</v>
      </c>
      <c r="BF20">
        <v>51</v>
      </c>
      <c r="BG20">
        <v>157</v>
      </c>
      <c r="BH20">
        <v>0.1295018709073901</v>
      </c>
      <c r="BI20">
        <v>0.86131898971000931</v>
      </c>
      <c r="BJ20">
        <v>0.85833723105706272</v>
      </c>
      <c r="BK20">
        <v>2.9817586529466791E-3</v>
      </c>
      <c r="BL20">
        <v>9.1791393826005617E-3</v>
      </c>
      <c r="BM20">
        <v>0.1307015991030861</v>
      </c>
      <c r="BN20">
        <v>0.86628901870537556</v>
      </c>
      <c r="BO20">
        <v>3.0093821915383248E-3</v>
      </c>
      <c r="BP20">
        <v>1318.0609751693</v>
      </c>
      <c r="BQ20">
        <v>356.33081726853112</v>
      </c>
      <c r="BR20">
        <v>356.69018050541519</v>
      </c>
    </row>
    <row r="21" spans="1:70" x14ac:dyDescent="0.25">
      <c r="A21" t="s">
        <v>560</v>
      </c>
      <c r="B21">
        <v>12813475.789999999</v>
      </c>
      <c r="C21">
        <v>24586</v>
      </c>
      <c r="D21">
        <v>398143</v>
      </c>
      <c r="E21">
        <v>76219</v>
      </c>
      <c r="F21">
        <v>6.1800000000000001E-2</v>
      </c>
      <c r="G21">
        <v>521.16999999999996</v>
      </c>
      <c r="H21">
        <v>168.11393209042359</v>
      </c>
      <c r="I21">
        <v>14435361.060000001</v>
      </c>
      <c r="J21">
        <v>27077</v>
      </c>
      <c r="K21">
        <v>485613</v>
      </c>
      <c r="L21">
        <v>81792</v>
      </c>
      <c r="M21">
        <v>5.5800000000000002E-2</v>
      </c>
      <c r="N21">
        <v>533.12</v>
      </c>
      <c r="O21">
        <v>176.4886671068075</v>
      </c>
      <c r="P21">
        <v>-0.11235501926544809</v>
      </c>
      <c r="Q21">
        <v>-9.1996897736085978E-2</v>
      </c>
      <c r="R21">
        <v>-0.18012285503065201</v>
      </c>
      <c r="S21">
        <v>-6.8136248043818473E-2</v>
      </c>
      <c r="T21">
        <v>6.0000000000000001E-3</v>
      </c>
      <c r="U21">
        <v>-2.241521608643457E-2</v>
      </c>
      <c r="V21">
        <v>-4.7451970450406528E-2</v>
      </c>
      <c r="W21">
        <v>5563896.2000000002</v>
      </c>
      <c r="X21">
        <v>8975</v>
      </c>
      <c r="Y21">
        <v>619.93272423398332</v>
      </c>
      <c r="Z21">
        <v>7249579.5899999999</v>
      </c>
      <c r="AA21">
        <v>15611</v>
      </c>
      <c r="AB21">
        <v>464.38918647107812</v>
      </c>
      <c r="AC21">
        <v>6999305.1299999999</v>
      </c>
      <c r="AD21">
        <v>10724</v>
      </c>
      <c r="AE21">
        <v>652.67671857515847</v>
      </c>
      <c r="AF21">
        <v>7436055.9299999997</v>
      </c>
      <c r="AG21">
        <v>16353</v>
      </c>
      <c r="AH21">
        <v>454.72120895248582</v>
      </c>
      <c r="AI21">
        <v>-0.20507877615559819</v>
      </c>
      <c r="AJ21">
        <v>-0.16309212980231261</v>
      </c>
      <c r="AK21">
        <v>-5.016877944207631E-2</v>
      </c>
      <c r="AL21">
        <v>-2.507731810457214E-2</v>
      </c>
      <c r="AM21">
        <v>-4.5373937503821932E-2</v>
      </c>
      <c r="AN21">
        <v>2.12613296416586E-2</v>
      </c>
      <c r="AO21">
        <v>-5.0649946814633973E-2</v>
      </c>
      <c r="AP21">
        <v>-3.1010545378598139E-2</v>
      </c>
      <c r="AQ21">
        <v>5.0649946814633973E-2</v>
      </c>
      <c r="AR21">
        <v>3.1010545378598139E-2</v>
      </c>
      <c r="AS21">
        <v>4150051.36</v>
      </c>
      <c r="AT21">
        <v>8240139.1100000003</v>
      </c>
      <c r="AU21">
        <v>8220867.0700000003</v>
      </c>
      <c r="AV21">
        <v>19272.04</v>
      </c>
      <c r="AW21">
        <v>423285.32</v>
      </c>
      <c r="AX21">
        <v>0.32388178102609888</v>
      </c>
      <c r="AY21">
        <v>0.64308383182265327</v>
      </c>
      <c r="AZ21">
        <v>0.64157978715000952</v>
      </c>
      <c r="BA21">
        <v>1.504044672643815E-3</v>
      </c>
      <c r="BB21">
        <v>3.3034387151247742E-2</v>
      </c>
      <c r="BC21">
        <v>3079</v>
      </c>
      <c r="BD21">
        <v>21569</v>
      </c>
      <c r="BE21">
        <v>21487</v>
      </c>
      <c r="BF21">
        <v>82</v>
      </c>
      <c r="BG21">
        <v>-62</v>
      </c>
      <c r="BH21">
        <v>0.12523387293581709</v>
      </c>
      <c r="BI21">
        <v>0.87728788741560237</v>
      </c>
      <c r="BJ21">
        <v>0.87395265598307981</v>
      </c>
      <c r="BK21">
        <v>3.3352314325225739E-3</v>
      </c>
      <c r="BL21">
        <v>-2.5217603514195068E-3</v>
      </c>
      <c r="BM21">
        <v>0.1249188575137942</v>
      </c>
      <c r="BN21">
        <v>0.87175430055176895</v>
      </c>
      <c r="BO21">
        <v>3.3268419344368708E-3</v>
      </c>
      <c r="BP21">
        <v>1347.8568886001949</v>
      </c>
      <c r="BQ21">
        <v>382.03621447447728</v>
      </c>
      <c r="BR21">
        <v>382.59724810350451</v>
      </c>
    </row>
    <row r="22" spans="1:70" x14ac:dyDescent="0.25">
      <c r="A22" t="s">
        <v>561</v>
      </c>
      <c r="B22">
        <v>13236818.35</v>
      </c>
      <c r="C22">
        <v>25603</v>
      </c>
      <c r="D22">
        <v>450511</v>
      </c>
      <c r="E22">
        <v>89933</v>
      </c>
      <c r="F22">
        <v>5.6831020774187543E-2</v>
      </c>
      <c r="G22">
        <v>517.00263055110725</v>
      </c>
      <c r="H22">
        <v>147.18533074622221</v>
      </c>
      <c r="I22">
        <v>23922402.390000001</v>
      </c>
      <c r="J22">
        <v>42991</v>
      </c>
      <c r="K22">
        <v>3192986</v>
      </c>
      <c r="L22">
        <v>128571</v>
      </c>
      <c r="M22">
        <v>1.35E-2</v>
      </c>
      <c r="N22">
        <v>556.45000000000005</v>
      </c>
      <c r="O22">
        <v>186.0637499124997</v>
      </c>
      <c r="P22">
        <v>-0.44667687909416542</v>
      </c>
      <c r="Q22">
        <v>-0.40445674676094989</v>
      </c>
      <c r="R22">
        <v>-0.85890605220317284</v>
      </c>
      <c r="S22">
        <v>-0.30051877950704281</v>
      </c>
      <c r="T22">
        <v>4.3331020774187538E-2</v>
      </c>
      <c r="U22">
        <v>-7.0891130288242968E-2</v>
      </c>
      <c r="V22">
        <v>-0.20895214239507109</v>
      </c>
      <c r="W22">
        <v>5412357.7899999982</v>
      </c>
      <c r="X22">
        <v>9045</v>
      </c>
      <c r="Y22">
        <v>598.38118186843542</v>
      </c>
      <c r="Z22">
        <v>7824460.5599999996</v>
      </c>
      <c r="AA22">
        <v>16558</v>
      </c>
      <c r="AB22">
        <v>472.54865080323708</v>
      </c>
      <c r="AC22">
        <v>11404317.529999999</v>
      </c>
      <c r="AD22">
        <v>16805</v>
      </c>
      <c r="AE22">
        <v>678.62645224635526</v>
      </c>
      <c r="AF22">
        <v>12518084.859999999</v>
      </c>
      <c r="AG22">
        <v>26186</v>
      </c>
      <c r="AH22">
        <v>478.04494233559922</v>
      </c>
      <c r="AI22">
        <v>-0.52541151403735087</v>
      </c>
      <c r="AJ22">
        <v>-0.46176733115144297</v>
      </c>
      <c r="AK22">
        <v>-0.1182465996017338</v>
      </c>
      <c r="AL22">
        <v>-0.37494747419374819</v>
      </c>
      <c r="AM22">
        <v>-0.36767738486214008</v>
      </c>
      <c r="AN22">
        <v>-1.149743684246227E-2</v>
      </c>
      <c r="AO22">
        <v>-6.7834637732315919E-2</v>
      </c>
      <c r="AP22">
        <v>-3.7616856254432521E-2</v>
      </c>
      <c r="AQ22">
        <v>6.7834637732315919E-2</v>
      </c>
      <c r="AR22">
        <v>3.7616856254432521E-2</v>
      </c>
      <c r="AS22">
        <v>3853763.6600000011</v>
      </c>
      <c r="AT22">
        <v>8922708.3132987525</v>
      </c>
      <c r="AU22">
        <v>8907011.6471906118</v>
      </c>
      <c r="AV22">
        <v>15696.666108141</v>
      </c>
      <c r="AW22">
        <v>460346.37670124398</v>
      </c>
      <c r="AX22">
        <v>0.29113972543107403</v>
      </c>
      <c r="AY22">
        <v>0.67408255347847656</v>
      </c>
      <c r="AZ22">
        <v>0.67289671971592879</v>
      </c>
      <c r="BA22">
        <v>1.185833762547705E-3</v>
      </c>
      <c r="BB22">
        <v>3.4777721090449507E-2</v>
      </c>
      <c r="BC22">
        <v>3075</v>
      </c>
      <c r="BD22">
        <v>22475</v>
      </c>
      <c r="BE22">
        <v>22401</v>
      </c>
      <c r="BF22">
        <v>74</v>
      </c>
      <c r="BG22">
        <v>53</v>
      </c>
      <c r="BH22">
        <v>0.1201031129164551</v>
      </c>
      <c r="BI22">
        <v>0.87782681716986288</v>
      </c>
      <c r="BJ22">
        <v>0.874936530875288</v>
      </c>
      <c r="BK22">
        <v>2.8902862945748551E-3</v>
      </c>
      <c r="BL22">
        <v>2.0700699136819902E-3</v>
      </c>
      <c r="BM22">
        <v>0.1203522504892368</v>
      </c>
      <c r="BN22">
        <v>0.87675146771037182</v>
      </c>
      <c r="BO22">
        <v>2.89628180039139E-3</v>
      </c>
      <c r="BP22">
        <v>1253.2564747967481</v>
      </c>
      <c r="BQ22">
        <v>397.00593162619589</v>
      </c>
      <c r="BR22">
        <v>397.61669778985811</v>
      </c>
    </row>
    <row r="23" spans="1:70" x14ac:dyDescent="0.25">
      <c r="A23" t="s">
        <v>562</v>
      </c>
      <c r="B23">
        <v>37161081.159999967</v>
      </c>
      <c r="C23">
        <v>61398</v>
      </c>
      <c r="D23">
        <v>2821713</v>
      </c>
      <c r="E23">
        <v>168279</v>
      </c>
      <c r="F23">
        <v>2.175912291576074E-2</v>
      </c>
      <c r="G23">
        <v>605.24904980618214</v>
      </c>
      <c r="H23">
        <v>220.830175838934</v>
      </c>
      <c r="I23">
        <v>52970527.369999997</v>
      </c>
      <c r="J23">
        <v>85841</v>
      </c>
      <c r="K23">
        <v>14157336</v>
      </c>
      <c r="L23">
        <v>256186</v>
      </c>
      <c r="M23">
        <v>6.1000000000000004E-3</v>
      </c>
      <c r="N23">
        <v>617.08000000000004</v>
      </c>
      <c r="O23">
        <v>206.7658941940621</v>
      </c>
      <c r="P23">
        <v>-0.29845740631522849</v>
      </c>
      <c r="Q23">
        <v>-0.28474738178725778</v>
      </c>
      <c r="R23">
        <v>-0.80068898555490953</v>
      </c>
      <c r="S23">
        <v>-0.3431374079770167</v>
      </c>
      <c r="T23">
        <v>1.5659122915760739E-2</v>
      </c>
      <c r="U23">
        <v>-1.9172473899361352E-2</v>
      </c>
      <c r="V23">
        <v>6.8020316888779062E-2</v>
      </c>
      <c r="W23">
        <v>16011861.979999971</v>
      </c>
      <c r="X23">
        <v>23198</v>
      </c>
      <c r="Y23">
        <v>690.22596689369652</v>
      </c>
      <c r="Z23">
        <v>21149219.18</v>
      </c>
      <c r="AA23">
        <v>38200</v>
      </c>
      <c r="AB23">
        <v>553.64448115183257</v>
      </c>
      <c r="AC23">
        <v>20837677.57</v>
      </c>
      <c r="AD23">
        <v>31861</v>
      </c>
      <c r="AE23">
        <v>654.01831612315993</v>
      </c>
      <c r="AF23">
        <v>32132849.800000001</v>
      </c>
      <c r="AG23">
        <v>53980</v>
      </c>
      <c r="AH23">
        <v>595.27324564653577</v>
      </c>
      <c r="AI23">
        <v>-0.23159085621651779</v>
      </c>
      <c r="AJ23">
        <v>-0.27189981482062708</v>
      </c>
      <c r="AK23">
        <v>5.5361829902815997E-2</v>
      </c>
      <c r="AL23">
        <v>-0.34181937451436373</v>
      </c>
      <c r="AM23">
        <v>-0.29233049277510192</v>
      </c>
      <c r="AN23">
        <v>-6.9932194667155834E-2</v>
      </c>
      <c r="AO23">
        <v>3.7494700576014853E-2</v>
      </c>
      <c r="AP23">
        <v>6.6669326545461078E-3</v>
      </c>
      <c r="AQ23">
        <v>-3.7494700576014853E-2</v>
      </c>
      <c r="AR23">
        <v>-6.6669326545461078E-3</v>
      </c>
      <c r="AS23">
        <v>11672199.49</v>
      </c>
      <c r="AT23">
        <v>24708345.8114882</v>
      </c>
      <c r="AU23">
        <v>24687108.423596021</v>
      </c>
      <c r="AV23">
        <v>21237.387892178998</v>
      </c>
      <c r="AW23">
        <v>780535.85851177794</v>
      </c>
      <c r="AX23">
        <v>0.31409741389773949</v>
      </c>
      <c r="AY23">
        <v>0.66489846474338188</v>
      </c>
      <c r="AZ23">
        <v>0.66432696931781177</v>
      </c>
      <c r="BA23">
        <v>5.7149542557009434E-4</v>
      </c>
      <c r="BB23">
        <v>2.1004121358878639E-2</v>
      </c>
      <c r="BC23">
        <v>10240</v>
      </c>
      <c r="BD23">
        <v>52710</v>
      </c>
      <c r="BE23">
        <v>52621</v>
      </c>
      <c r="BF23">
        <v>89</v>
      </c>
      <c r="BG23">
        <v>-1552</v>
      </c>
      <c r="BH23">
        <v>0.16678067689501291</v>
      </c>
      <c r="BI23">
        <v>0.8584970194468875</v>
      </c>
      <c r="BJ23">
        <v>0.85704746082934302</v>
      </c>
      <c r="BK23">
        <v>1.4495586175445449E-3</v>
      </c>
      <c r="BL23">
        <v>-2.5277696341900389E-2</v>
      </c>
      <c r="BM23">
        <v>0.1626687847498014</v>
      </c>
      <c r="BN23">
        <v>0.83591739475774429</v>
      </c>
      <c r="BO23">
        <v>1.4138204924543289E-3</v>
      </c>
      <c r="BP23">
        <v>1139.863231445313</v>
      </c>
      <c r="BQ23">
        <v>468.76011784269008</v>
      </c>
      <c r="BR23">
        <v>469.14935906949728</v>
      </c>
    </row>
    <row r="24" spans="1:70" x14ac:dyDescent="0.25">
      <c r="A24" t="s">
        <v>563</v>
      </c>
      <c r="B24">
        <v>41084430.579999991</v>
      </c>
      <c r="C24">
        <v>61335</v>
      </c>
      <c r="D24">
        <v>2392935</v>
      </c>
      <c r="E24">
        <v>200734</v>
      </c>
      <c r="F24">
        <v>2.5631703326667879E-2</v>
      </c>
      <c r="G24">
        <v>669.83664433031697</v>
      </c>
      <c r="H24">
        <v>204.67101029222749</v>
      </c>
      <c r="I24">
        <v>54832596.030000001</v>
      </c>
      <c r="J24">
        <v>81460</v>
      </c>
      <c r="K24">
        <v>13124511</v>
      </c>
      <c r="L24">
        <v>297670</v>
      </c>
      <c r="M24">
        <v>6.1999999999999998E-3</v>
      </c>
      <c r="N24">
        <v>673.12</v>
      </c>
      <c r="O24">
        <v>184.20598659589481</v>
      </c>
      <c r="P24">
        <v>-0.25072979295888381</v>
      </c>
      <c r="Q24">
        <v>-0.24705376872084461</v>
      </c>
      <c r="R24">
        <v>-0.81767434992435151</v>
      </c>
      <c r="S24">
        <v>-0.32564920885544402</v>
      </c>
      <c r="T24">
        <v>1.9431703326667878E-2</v>
      </c>
      <c r="U24">
        <v>-4.8778162432894581E-3</v>
      </c>
      <c r="V24">
        <v>0.11109858085789689</v>
      </c>
      <c r="W24">
        <v>21073656.639999989</v>
      </c>
      <c r="X24">
        <v>28202</v>
      </c>
      <c r="Y24">
        <v>747.23979292248737</v>
      </c>
      <c r="Z24">
        <v>20010773.940000001</v>
      </c>
      <c r="AA24">
        <v>33133</v>
      </c>
      <c r="AB24">
        <v>603.95297558325535</v>
      </c>
      <c r="AC24">
        <v>27791787.140000001</v>
      </c>
      <c r="AD24">
        <v>37338</v>
      </c>
      <c r="AE24">
        <v>744.32982859285448</v>
      </c>
      <c r="AF24">
        <v>27040808.890000001</v>
      </c>
      <c r="AG24">
        <v>44122</v>
      </c>
      <c r="AH24">
        <v>612.86453220615567</v>
      </c>
      <c r="AI24">
        <v>-0.2417307842118141</v>
      </c>
      <c r="AJ24">
        <v>-0.2446837002517542</v>
      </c>
      <c r="AK24">
        <v>3.9095092227247998E-3</v>
      </c>
      <c r="AL24">
        <v>-0.2599787224782239</v>
      </c>
      <c r="AM24">
        <v>-0.24905942613662119</v>
      </c>
      <c r="AN24">
        <v>-1.4540826160751979E-2</v>
      </c>
      <c r="AO24">
        <v>6.0874285474776923E-3</v>
      </c>
      <c r="AP24">
        <v>1.4427914974956409E-3</v>
      </c>
      <c r="AQ24">
        <v>-6.0874285474776923E-3</v>
      </c>
      <c r="AR24">
        <v>-1.4427914974956409E-3</v>
      </c>
      <c r="AS24">
        <v>15245725.690000011</v>
      </c>
      <c r="AT24">
        <v>24729726.911222879</v>
      </c>
      <c r="AU24">
        <v>24702174.584533289</v>
      </c>
      <c r="AV24">
        <v>27552.326689590001</v>
      </c>
      <c r="AW24">
        <v>1108977.978777098</v>
      </c>
      <c r="AX24">
        <v>0.37108280374759939</v>
      </c>
      <c r="AY24">
        <v>0.601924538373945</v>
      </c>
      <c r="AZ24">
        <v>0.60125391141622342</v>
      </c>
      <c r="BA24">
        <v>6.706269577216082E-4</v>
      </c>
      <c r="BB24">
        <v>2.6992657878455579E-2</v>
      </c>
      <c r="BC24">
        <v>11636</v>
      </c>
      <c r="BD24">
        <v>51123</v>
      </c>
      <c r="BE24">
        <v>51009</v>
      </c>
      <c r="BF24">
        <v>114</v>
      </c>
      <c r="BG24">
        <v>-1424</v>
      </c>
      <c r="BH24">
        <v>0.1897122360805413</v>
      </c>
      <c r="BI24">
        <v>0.83350452433357791</v>
      </c>
      <c r="BJ24">
        <v>0.83164587918806554</v>
      </c>
      <c r="BK24">
        <v>1.8586451455123499E-3</v>
      </c>
      <c r="BL24">
        <v>-2.3216760414119179E-2</v>
      </c>
      <c r="BM24">
        <v>0.1854076706129798</v>
      </c>
      <c r="BN24">
        <v>0.81277585684921683</v>
      </c>
      <c r="BO24">
        <v>1.8164725378033431E-3</v>
      </c>
      <c r="BP24">
        <v>1310.2204958748721</v>
      </c>
      <c r="BQ24">
        <v>483.7299632498657</v>
      </c>
      <c r="BR24">
        <v>484.2709048311728</v>
      </c>
    </row>
    <row r="25" spans="1:70" x14ac:dyDescent="0.25">
      <c r="A25" t="s">
        <v>564</v>
      </c>
      <c r="B25">
        <v>11164886.529999999</v>
      </c>
      <c r="C25">
        <v>20865</v>
      </c>
      <c r="D25">
        <v>584789</v>
      </c>
      <c r="E25">
        <v>57688</v>
      </c>
      <c r="F25">
        <v>3.5679535695780869E-2</v>
      </c>
      <c r="G25" s="252">
        <v>535.10119961658279</v>
      </c>
      <c r="H25">
        <v>193.5391507765913</v>
      </c>
      <c r="I25">
        <v>23738614</v>
      </c>
      <c r="J25">
        <v>38442</v>
      </c>
      <c r="K25">
        <v>981443</v>
      </c>
      <c r="L25">
        <v>138449</v>
      </c>
      <c r="M25">
        <v>3.9199999999999999E-2</v>
      </c>
      <c r="N25">
        <v>617.52</v>
      </c>
      <c r="O25">
        <v>171.4610723082146</v>
      </c>
      <c r="P25">
        <v>-0.5296740353080428</v>
      </c>
      <c r="Q25">
        <v>-0.45723427501170588</v>
      </c>
      <c r="R25">
        <v>-0.4041538836183049</v>
      </c>
      <c r="S25">
        <v>-0.58332671236339739</v>
      </c>
      <c r="T25">
        <v>-3.52046430421913E-3</v>
      </c>
      <c r="U25">
        <v>-0.13346741868023251</v>
      </c>
      <c r="V25">
        <v>0.12876437882465641</v>
      </c>
      <c r="W25">
        <v>5855010.0000000037</v>
      </c>
      <c r="X25">
        <v>9031</v>
      </c>
      <c r="Y25">
        <v>648.32355220905811</v>
      </c>
      <c r="Z25">
        <v>5309876.5299999956</v>
      </c>
      <c r="AA25">
        <v>11834</v>
      </c>
      <c r="AB25">
        <v>448.69668159540282</v>
      </c>
      <c r="AC25">
        <v>11916621.380000001</v>
      </c>
      <c r="AD25">
        <v>15540</v>
      </c>
      <c r="AE25">
        <v>766.83535263835267</v>
      </c>
      <c r="AF25">
        <v>11821992.619999999</v>
      </c>
      <c r="AG25">
        <v>22902</v>
      </c>
      <c r="AH25">
        <v>516.19913631997201</v>
      </c>
      <c r="AI25">
        <v>-0.5086686223138186</v>
      </c>
      <c r="AJ25">
        <v>-0.41885456885456879</v>
      </c>
      <c r="AK25">
        <v>-0.1545466051109225</v>
      </c>
      <c r="AL25">
        <v>-0.55084758545552226</v>
      </c>
      <c r="AM25">
        <v>-0.48327656973190108</v>
      </c>
      <c r="AN25">
        <v>-0.13076824422024441</v>
      </c>
      <c r="AO25">
        <v>2.241971317040355E-2</v>
      </c>
      <c r="AP25">
        <v>2.8584741609485279E-2</v>
      </c>
      <c r="AQ25">
        <v>-2.241971317040355E-2</v>
      </c>
      <c r="AR25">
        <v>-2.8584741609485279E-2</v>
      </c>
      <c r="AS25">
        <v>4406801.51</v>
      </c>
      <c r="AT25">
        <v>6243181.2567008575</v>
      </c>
      <c r="AU25">
        <v>6229678.2101513986</v>
      </c>
      <c r="AV25">
        <v>13503.046549459001</v>
      </c>
      <c r="AW25">
        <v>514903.76329914201</v>
      </c>
      <c r="AX25">
        <v>0.39470186267983498</v>
      </c>
      <c r="AY25">
        <v>0.55918000061401951</v>
      </c>
      <c r="AZ25">
        <v>0.55797057976471875</v>
      </c>
      <c r="BA25">
        <v>1.209420849300741E-3</v>
      </c>
      <c r="BB25">
        <v>4.6118136706145459E-2</v>
      </c>
      <c r="BC25">
        <v>3003</v>
      </c>
      <c r="BD25">
        <v>17826</v>
      </c>
      <c r="BE25">
        <v>17756</v>
      </c>
      <c r="BF25">
        <v>70</v>
      </c>
      <c r="BG25">
        <v>36</v>
      </c>
      <c r="BH25">
        <v>0.14392523364485979</v>
      </c>
      <c r="BI25">
        <v>0.85434938892882817</v>
      </c>
      <c r="BJ25">
        <v>0.850994488377666</v>
      </c>
      <c r="BK25">
        <v>3.354900551162234E-3</v>
      </c>
      <c r="BL25">
        <v>1.725377426312006E-3</v>
      </c>
      <c r="BM25">
        <v>0.14417398818954341</v>
      </c>
      <c r="BN25">
        <v>0.85246531278505933</v>
      </c>
      <c r="BO25">
        <v>3.3606990253972832E-3</v>
      </c>
      <c r="BP25" s="252">
        <v>1467.4663702963701</v>
      </c>
      <c r="BQ25" s="252">
        <v>350.22894966346121</v>
      </c>
      <c r="BR25" s="252">
        <v>350.84918957824948</v>
      </c>
    </row>
  </sheetData>
  <phoneticPr fontId="2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81"/>
  <sheetViews>
    <sheetView topLeftCell="A43" workbookViewId="0">
      <selection activeCell="L73" sqref="L73:N73"/>
    </sheetView>
  </sheetViews>
  <sheetFormatPr defaultColWidth="8.81640625" defaultRowHeight="14" x14ac:dyDescent="0.25"/>
  <cols>
    <col min="5" max="5" width="45.1796875" customWidth="1"/>
  </cols>
  <sheetData>
    <row r="1" spans="1:16" x14ac:dyDescent="0.25">
      <c r="A1" t="s">
        <v>482</v>
      </c>
      <c r="B1" t="s">
        <v>47</v>
      </c>
      <c r="C1" t="s">
        <v>48</v>
      </c>
      <c r="D1" t="s">
        <v>49</v>
      </c>
      <c r="E1" t="s">
        <v>565</v>
      </c>
      <c r="F1" t="s">
        <v>566</v>
      </c>
      <c r="G1" t="s">
        <v>567</v>
      </c>
      <c r="H1" t="s">
        <v>568</v>
      </c>
      <c r="I1" t="s">
        <v>569</v>
      </c>
      <c r="J1" t="s">
        <v>570</v>
      </c>
      <c r="K1" t="s">
        <v>571</v>
      </c>
      <c r="L1" t="s">
        <v>572</v>
      </c>
      <c r="M1" t="s">
        <v>492</v>
      </c>
      <c r="N1" t="s">
        <v>494</v>
      </c>
      <c r="O1" t="s">
        <v>573</v>
      </c>
      <c r="P1" t="s">
        <v>574</v>
      </c>
    </row>
    <row r="2" spans="1:16" x14ac:dyDescent="0.25">
      <c r="A2" t="s">
        <v>564</v>
      </c>
      <c r="B2" t="s">
        <v>76</v>
      </c>
      <c r="C2" t="s">
        <v>78</v>
      </c>
      <c r="D2" t="s">
        <v>78</v>
      </c>
      <c r="E2" t="s">
        <v>575</v>
      </c>
      <c r="F2">
        <v>448956</v>
      </c>
      <c r="G2">
        <v>276477</v>
      </c>
      <c r="H2">
        <v>6.52758844964762E-2</v>
      </c>
      <c r="I2">
        <v>5.6984848649254703E-2</v>
      </c>
      <c r="J2">
        <v>29306</v>
      </c>
      <c r="K2">
        <v>15755</v>
      </c>
      <c r="L2">
        <v>-0.462396778816624</v>
      </c>
      <c r="M2">
        <v>-0.384177959532782</v>
      </c>
      <c r="N2">
        <v>-8.2910358472215399E-3</v>
      </c>
      <c r="O2">
        <v>1</v>
      </c>
    </row>
    <row r="3" spans="1:16" x14ac:dyDescent="0.25">
      <c r="A3" t="s">
        <v>564</v>
      </c>
      <c r="B3" t="s">
        <v>76</v>
      </c>
      <c r="C3" t="s">
        <v>80</v>
      </c>
      <c r="D3" t="s">
        <v>78</v>
      </c>
      <c r="E3" t="s">
        <v>576</v>
      </c>
      <c r="F3">
        <v>94156</v>
      </c>
      <c r="G3">
        <v>96599</v>
      </c>
      <c r="H3">
        <v>4.7612472917286201E-2</v>
      </c>
      <c r="I3">
        <v>4.8892845681632303E-2</v>
      </c>
      <c r="J3">
        <v>4483</v>
      </c>
      <c r="K3">
        <v>4723</v>
      </c>
      <c r="L3">
        <v>5.3535578853446397E-2</v>
      </c>
      <c r="M3">
        <v>2.5946301881982999E-2</v>
      </c>
      <c r="N3">
        <v>1.2803727643461099E-3</v>
      </c>
      <c r="O3">
        <v>2</v>
      </c>
    </row>
    <row r="4" spans="1:16" x14ac:dyDescent="0.25">
      <c r="A4" t="s">
        <v>564</v>
      </c>
      <c r="B4" t="s">
        <v>76</v>
      </c>
      <c r="C4" t="s">
        <v>79</v>
      </c>
      <c r="D4" t="s">
        <v>78</v>
      </c>
      <c r="E4" t="s">
        <v>577</v>
      </c>
      <c r="F4">
        <v>79405</v>
      </c>
      <c r="G4">
        <v>68500</v>
      </c>
      <c r="H4">
        <v>1.4558277186575101E-2</v>
      </c>
      <c r="I4">
        <v>6.87591240875912E-3</v>
      </c>
      <c r="J4">
        <v>1156</v>
      </c>
      <c r="K4">
        <v>471</v>
      </c>
      <c r="L4">
        <v>-0.59256055363321702</v>
      </c>
      <c r="M4">
        <v>-0.13733392103771799</v>
      </c>
      <c r="N4">
        <v>-7.6823647778160196E-3</v>
      </c>
      <c r="O4">
        <v>3</v>
      </c>
    </row>
    <row r="5" spans="1:16" x14ac:dyDescent="0.25">
      <c r="A5" t="s">
        <v>564</v>
      </c>
      <c r="B5" t="s">
        <v>76</v>
      </c>
      <c r="C5" t="s">
        <v>81</v>
      </c>
      <c r="D5" t="s">
        <v>78</v>
      </c>
      <c r="E5" t="s">
        <v>578</v>
      </c>
      <c r="F5">
        <v>76790</v>
      </c>
      <c r="G5">
        <v>38139</v>
      </c>
      <c r="H5">
        <v>1.3751790597733999E-2</v>
      </c>
      <c r="I5">
        <v>1.253310259839E-2</v>
      </c>
      <c r="J5">
        <v>1056</v>
      </c>
      <c r="K5">
        <v>478</v>
      </c>
      <c r="L5">
        <v>-0.54734848484848397</v>
      </c>
      <c r="M5">
        <v>-0.50333376741763203</v>
      </c>
      <c r="N5">
        <v>-1.2186879993439799E-3</v>
      </c>
      <c r="O5">
        <v>4</v>
      </c>
    </row>
    <row r="6" spans="1:16" x14ac:dyDescent="0.25">
      <c r="A6" t="s">
        <v>564</v>
      </c>
      <c r="B6" t="s">
        <v>76</v>
      </c>
      <c r="C6" t="s">
        <v>82</v>
      </c>
      <c r="D6" t="s">
        <v>78</v>
      </c>
      <c r="E6" t="s">
        <v>579</v>
      </c>
      <c r="F6">
        <v>57297</v>
      </c>
      <c r="G6">
        <v>35280</v>
      </c>
      <c r="H6">
        <v>0.13887289037820399</v>
      </c>
      <c r="I6">
        <v>0.128628117913832</v>
      </c>
      <c r="J6">
        <v>7957</v>
      </c>
      <c r="K6">
        <v>4538</v>
      </c>
      <c r="L6">
        <v>-0.42968455448033099</v>
      </c>
      <c r="M6">
        <v>-0.38426095607099803</v>
      </c>
      <c r="N6">
        <v>-1.02447724643726E-2</v>
      </c>
      <c r="O6">
        <v>5</v>
      </c>
    </row>
    <row r="7" spans="1:16" x14ac:dyDescent="0.25">
      <c r="A7" t="s">
        <v>564</v>
      </c>
      <c r="B7" t="s">
        <v>76</v>
      </c>
      <c r="C7" t="s">
        <v>83</v>
      </c>
      <c r="D7" t="s">
        <v>78</v>
      </c>
      <c r="E7" t="s">
        <v>580</v>
      </c>
      <c r="F7">
        <v>53648</v>
      </c>
      <c r="G7">
        <v>31071</v>
      </c>
      <c r="H7">
        <v>0.34252907843722002</v>
      </c>
      <c r="I7">
        <v>0.23900099771491101</v>
      </c>
      <c r="J7">
        <v>18376</v>
      </c>
      <c r="K7">
        <v>7426</v>
      </c>
      <c r="L7">
        <v>-0.59588593818023505</v>
      </c>
      <c r="M7">
        <v>-0.42083581866984698</v>
      </c>
      <c r="N7">
        <v>-0.103528080722309</v>
      </c>
      <c r="O7">
        <v>6</v>
      </c>
    </row>
    <row r="8" spans="1:16" x14ac:dyDescent="0.25">
      <c r="A8" t="s">
        <v>564</v>
      </c>
      <c r="B8" t="s">
        <v>76</v>
      </c>
      <c r="C8" t="s">
        <v>77</v>
      </c>
      <c r="D8" t="s">
        <v>78</v>
      </c>
      <c r="E8" t="s">
        <v>581</v>
      </c>
      <c r="F8">
        <v>51267</v>
      </c>
      <c r="G8">
        <v>25801</v>
      </c>
      <c r="H8">
        <v>6.20282052782491E-2</v>
      </c>
      <c r="I8">
        <v>8.1275919538002395E-2</v>
      </c>
      <c r="J8">
        <v>3180</v>
      </c>
      <c r="K8">
        <v>2097</v>
      </c>
      <c r="L8">
        <v>-0.34056603773584898</v>
      </c>
      <c r="M8">
        <v>-0.49673279107418</v>
      </c>
      <c r="N8">
        <v>1.9247714259753201E-2</v>
      </c>
      <c r="O8">
        <v>7</v>
      </c>
    </row>
    <row r="9" spans="1:16" x14ac:dyDescent="0.25">
      <c r="A9" t="s">
        <v>564</v>
      </c>
      <c r="B9" t="s">
        <v>76</v>
      </c>
      <c r="C9" t="s">
        <v>81</v>
      </c>
      <c r="D9" t="s">
        <v>582</v>
      </c>
      <c r="E9" t="s">
        <v>583</v>
      </c>
      <c r="F9">
        <v>5397</v>
      </c>
      <c r="G9">
        <v>15538</v>
      </c>
      <c r="H9">
        <v>4.6322030757828397E-3</v>
      </c>
      <c r="I9">
        <v>1.9951087656068902E-3</v>
      </c>
      <c r="J9">
        <v>25</v>
      </c>
      <c r="K9">
        <v>31</v>
      </c>
      <c r="L9">
        <v>0.24</v>
      </c>
      <c r="M9">
        <v>1.8790068556605499</v>
      </c>
      <c r="N9">
        <v>-2.63709431017594E-3</v>
      </c>
      <c r="O9">
        <v>8</v>
      </c>
    </row>
    <row r="10" spans="1:16" x14ac:dyDescent="0.25">
      <c r="A10" t="s">
        <v>564</v>
      </c>
      <c r="B10" t="s">
        <v>76</v>
      </c>
      <c r="C10" t="s">
        <v>346</v>
      </c>
      <c r="D10" t="s">
        <v>78</v>
      </c>
      <c r="E10" t="s">
        <v>584</v>
      </c>
      <c r="F10">
        <v>8199</v>
      </c>
      <c r="G10">
        <v>12877</v>
      </c>
      <c r="H10">
        <v>4.2322234418831498E-2</v>
      </c>
      <c r="I10">
        <v>1.82495922963423E-2</v>
      </c>
      <c r="J10">
        <v>347</v>
      </c>
      <c r="K10">
        <v>235</v>
      </c>
      <c r="L10">
        <v>-0.32276657060518699</v>
      </c>
      <c r="M10">
        <v>0.57055738504695597</v>
      </c>
      <c r="N10">
        <v>-2.4072642122489201E-2</v>
      </c>
      <c r="O10">
        <v>9</v>
      </c>
    </row>
    <row r="11" spans="1:16" x14ac:dyDescent="0.25">
      <c r="A11" t="s">
        <v>564</v>
      </c>
      <c r="B11" t="s">
        <v>76</v>
      </c>
      <c r="C11" t="s">
        <v>81</v>
      </c>
      <c r="D11" t="s">
        <v>585</v>
      </c>
      <c r="E11" t="s">
        <v>586</v>
      </c>
      <c r="F11">
        <v>56885</v>
      </c>
      <c r="G11">
        <v>12331</v>
      </c>
      <c r="H11">
        <v>5.0628460929946304E-3</v>
      </c>
      <c r="I11">
        <v>4.78468899521531E-3</v>
      </c>
      <c r="J11">
        <v>288</v>
      </c>
      <c r="K11">
        <v>59</v>
      </c>
      <c r="L11">
        <v>-0.79513888888888795</v>
      </c>
      <c r="M11">
        <v>-0.78322932231695497</v>
      </c>
      <c r="N11">
        <v>-2.7815709777932702E-4</v>
      </c>
      <c r="O11">
        <v>10</v>
      </c>
    </row>
    <row r="12" spans="1:16" x14ac:dyDescent="0.25">
      <c r="A12" t="s">
        <v>564</v>
      </c>
      <c r="B12" t="s">
        <v>76</v>
      </c>
      <c r="C12" t="s">
        <v>587</v>
      </c>
      <c r="D12" t="s">
        <v>78</v>
      </c>
      <c r="E12" t="s">
        <v>588</v>
      </c>
      <c r="F12">
        <v>23329</v>
      </c>
      <c r="G12">
        <v>10892</v>
      </c>
      <c r="M12">
        <v>-0.53311329246860095</v>
      </c>
      <c r="O12">
        <v>11</v>
      </c>
    </row>
    <row r="13" spans="1:16" x14ac:dyDescent="0.25">
      <c r="A13" t="s">
        <v>564</v>
      </c>
      <c r="B13" t="s">
        <v>76</v>
      </c>
      <c r="C13" t="s">
        <v>84</v>
      </c>
      <c r="D13" t="s">
        <v>78</v>
      </c>
      <c r="E13" t="s">
        <v>589</v>
      </c>
      <c r="F13">
        <v>14464</v>
      </c>
      <c r="G13">
        <v>10836</v>
      </c>
      <c r="H13">
        <v>0.122995022123893</v>
      </c>
      <c r="I13">
        <v>0.13713547434477599</v>
      </c>
      <c r="J13">
        <v>1779</v>
      </c>
      <c r="K13">
        <v>1486</v>
      </c>
      <c r="L13">
        <v>-0.16469926925238801</v>
      </c>
      <c r="M13">
        <v>-0.25082964601769903</v>
      </c>
      <c r="N13">
        <v>1.4140452220882799E-2</v>
      </c>
      <c r="O13">
        <v>12</v>
      </c>
    </row>
    <row r="14" spans="1:16" x14ac:dyDescent="0.25">
      <c r="A14" t="s">
        <v>564</v>
      </c>
      <c r="B14" t="s">
        <v>76</v>
      </c>
      <c r="C14" t="s">
        <v>81</v>
      </c>
      <c r="D14" t="s">
        <v>590</v>
      </c>
      <c r="E14" t="s">
        <v>591</v>
      </c>
      <c r="F14">
        <v>16244</v>
      </c>
      <c r="G14">
        <v>7241</v>
      </c>
      <c r="H14">
        <v>4.3215956660920901E-2</v>
      </c>
      <c r="I14">
        <v>5.2893246789117498E-2</v>
      </c>
      <c r="J14">
        <v>702</v>
      </c>
      <c r="K14">
        <v>383</v>
      </c>
      <c r="L14">
        <v>-0.454415954415954</v>
      </c>
      <c r="M14">
        <v>-0.55423540999753695</v>
      </c>
      <c r="N14">
        <v>9.6772901281965609E-3</v>
      </c>
      <c r="O14">
        <v>13</v>
      </c>
    </row>
    <row r="15" spans="1:16" x14ac:dyDescent="0.25">
      <c r="A15" t="s">
        <v>564</v>
      </c>
      <c r="B15" t="s">
        <v>76</v>
      </c>
      <c r="C15" t="s">
        <v>592</v>
      </c>
      <c r="D15" t="s">
        <v>78</v>
      </c>
      <c r="E15" t="s">
        <v>593</v>
      </c>
      <c r="F15">
        <v>10431</v>
      </c>
      <c r="G15">
        <v>6569</v>
      </c>
      <c r="H15">
        <v>4.4003451251078497E-2</v>
      </c>
      <c r="I15">
        <v>3.3795098188460902E-2</v>
      </c>
      <c r="J15">
        <v>459</v>
      </c>
      <c r="K15">
        <v>222</v>
      </c>
      <c r="L15">
        <v>-0.51633986928104503</v>
      </c>
      <c r="M15">
        <v>-0.370242546256351</v>
      </c>
      <c r="N15">
        <v>-1.02083530626175E-2</v>
      </c>
      <c r="O15">
        <v>14</v>
      </c>
    </row>
    <row r="16" spans="1:16" x14ac:dyDescent="0.25">
      <c r="A16" t="s">
        <v>564</v>
      </c>
      <c r="B16" t="s">
        <v>76</v>
      </c>
      <c r="C16" t="s">
        <v>594</v>
      </c>
      <c r="D16" t="s">
        <v>78</v>
      </c>
      <c r="E16" t="s">
        <v>595</v>
      </c>
      <c r="F16">
        <v>10291</v>
      </c>
      <c r="G16">
        <v>5480</v>
      </c>
      <c r="H16">
        <v>4.7225731221455597E-2</v>
      </c>
      <c r="I16">
        <v>3.5766423357664202E-2</v>
      </c>
      <c r="J16">
        <v>486</v>
      </c>
      <c r="K16">
        <v>196</v>
      </c>
      <c r="L16">
        <v>-0.59670781893004099</v>
      </c>
      <c r="M16">
        <v>-0.46749587017782501</v>
      </c>
      <c r="N16">
        <v>-1.14593078637914E-2</v>
      </c>
      <c r="O16">
        <v>15</v>
      </c>
    </row>
    <row r="17" spans="1:15" x14ac:dyDescent="0.25">
      <c r="A17" t="s">
        <v>564</v>
      </c>
      <c r="B17" t="s">
        <v>76</v>
      </c>
      <c r="C17" t="s">
        <v>596</v>
      </c>
      <c r="D17" t="s">
        <v>78</v>
      </c>
      <c r="E17" t="s">
        <v>597</v>
      </c>
      <c r="F17">
        <v>5</v>
      </c>
      <c r="G17">
        <v>4880</v>
      </c>
      <c r="I17">
        <v>5.6967213114754098E-2</v>
      </c>
      <c r="K17">
        <v>278</v>
      </c>
      <c r="M17">
        <v>975</v>
      </c>
      <c r="O17">
        <v>16</v>
      </c>
    </row>
    <row r="18" spans="1:15" x14ac:dyDescent="0.25">
      <c r="A18" t="s">
        <v>564</v>
      </c>
      <c r="B18" t="s">
        <v>76</v>
      </c>
      <c r="C18" t="s">
        <v>598</v>
      </c>
      <c r="D18" t="s">
        <v>78</v>
      </c>
      <c r="E18" t="s">
        <v>599</v>
      </c>
      <c r="F18">
        <v>2151</v>
      </c>
      <c r="G18">
        <v>4850</v>
      </c>
      <c r="H18">
        <v>1.95258019525801E-2</v>
      </c>
      <c r="I18">
        <v>1.4226804123711301E-2</v>
      </c>
      <c r="J18">
        <v>42</v>
      </c>
      <c r="K18">
        <v>69</v>
      </c>
      <c r="L18">
        <v>0.64285714285714202</v>
      </c>
      <c r="M18">
        <v>1.25476522547652</v>
      </c>
      <c r="N18">
        <v>-5.29899782886885E-3</v>
      </c>
      <c r="O18">
        <v>17</v>
      </c>
    </row>
    <row r="19" spans="1:15" x14ac:dyDescent="0.25">
      <c r="A19" t="s">
        <v>564</v>
      </c>
      <c r="B19" t="s">
        <v>76</v>
      </c>
      <c r="C19" t="s">
        <v>600</v>
      </c>
      <c r="D19" t="s">
        <v>78</v>
      </c>
      <c r="E19" t="s">
        <v>601</v>
      </c>
      <c r="F19">
        <v>11723</v>
      </c>
      <c r="G19">
        <v>4276</v>
      </c>
      <c r="H19">
        <v>3.6338821120873499E-2</v>
      </c>
      <c r="I19">
        <v>3.9055191768007397E-2</v>
      </c>
      <c r="J19">
        <v>426</v>
      </c>
      <c r="K19">
        <v>167</v>
      </c>
      <c r="L19">
        <v>-0.607981220657276</v>
      </c>
      <c r="M19">
        <v>-0.63524695043930701</v>
      </c>
      <c r="N19">
        <v>2.7163706471339901E-3</v>
      </c>
      <c r="O19">
        <v>18</v>
      </c>
    </row>
    <row r="20" spans="1:15" x14ac:dyDescent="0.25">
      <c r="A20" t="s">
        <v>564</v>
      </c>
      <c r="B20" t="s">
        <v>76</v>
      </c>
      <c r="C20" t="s">
        <v>602</v>
      </c>
      <c r="D20" t="s">
        <v>78</v>
      </c>
      <c r="E20" t="s">
        <v>603</v>
      </c>
      <c r="F20">
        <v>17897</v>
      </c>
      <c r="G20">
        <v>3574</v>
      </c>
      <c r="H20">
        <v>2.8999273621277299E-2</v>
      </c>
      <c r="I20">
        <v>8.6737548964745295E-2</v>
      </c>
      <c r="J20">
        <v>519</v>
      </c>
      <c r="K20">
        <v>310</v>
      </c>
      <c r="L20">
        <v>-0.40269749518304399</v>
      </c>
      <c r="M20">
        <v>-0.80030172654634801</v>
      </c>
      <c r="N20">
        <v>5.7738275343468003E-2</v>
      </c>
      <c r="O20">
        <v>19</v>
      </c>
    </row>
    <row r="21" spans="1:15" x14ac:dyDescent="0.25">
      <c r="A21" t="s">
        <v>564</v>
      </c>
      <c r="B21" t="s">
        <v>76</v>
      </c>
      <c r="C21" t="s">
        <v>81</v>
      </c>
      <c r="D21" t="s">
        <v>604</v>
      </c>
      <c r="E21" t="s">
        <v>605</v>
      </c>
      <c r="F21">
        <v>20</v>
      </c>
      <c r="G21">
        <v>3081</v>
      </c>
      <c r="M21">
        <v>153.05000000000001</v>
      </c>
      <c r="O21">
        <v>20</v>
      </c>
    </row>
    <row r="22" spans="1:15" x14ac:dyDescent="0.25">
      <c r="A22" t="s">
        <v>564</v>
      </c>
      <c r="B22" t="s">
        <v>76</v>
      </c>
      <c r="C22" t="s">
        <v>606</v>
      </c>
      <c r="D22" t="s">
        <v>78</v>
      </c>
      <c r="E22" t="s">
        <v>607</v>
      </c>
      <c r="F22">
        <v>4647</v>
      </c>
      <c r="G22">
        <v>2740</v>
      </c>
      <c r="H22">
        <v>7.4887023886378301E-2</v>
      </c>
      <c r="I22">
        <v>5.5839416058394098E-2</v>
      </c>
      <c r="J22">
        <v>348</v>
      </c>
      <c r="K22">
        <v>153</v>
      </c>
      <c r="L22">
        <v>-0.56034482758620596</v>
      </c>
      <c r="M22">
        <v>-0.41037228319345798</v>
      </c>
      <c r="N22">
        <v>-1.9047607827984099E-2</v>
      </c>
      <c r="O22">
        <v>21</v>
      </c>
    </row>
    <row r="23" spans="1:15" x14ac:dyDescent="0.25">
      <c r="A23" t="s">
        <v>564</v>
      </c>
      <c r="B23" t="s">
        <v>76</v>
      </c>
      <c r="C23" t="s">
        <v>608</v>
      </c>
      <c r="D23" t="s">
        <v>78</v>
      </c>
      <c r="E23" t="s">
        <v>609</v>
      </c>
      <c r="F23">
        <v>4178</v>
      </c>
      <c r="G23">
        <v>2407</v>
      </c>
      <c r="H23">
        <v>0.49545236955480998</v>
      </c>
      <c r="I23">
        <v>0.229331117573743</v>
      </c>
      <c r="J23">
        <v>2070</v>
      </c>
      <c r="K23">
        <v>552</v>
      </c>
      <c r="L23">
        <v>-0.73333333333333295</v>
      </c>
      <c r="M23">
        <v>-0.42388702728578198</v>
      </c>
      <c r="N23">
        <v>-0.26612125198106701</v>
      </c>
      <c r="O23">
        <v>22</v>
      </c>
    </row>
    <row r="24" spans="1:15" x14ac:dyDescent="0.25">
      <c r="A24" t="s">
        <v>564</v>
      </c>
      <c r="B24" t="s">
        <v>76</v>
      </c>
      <c r="C24" t="s">
        <v>610</v>
      </c>
      <c r="D24" t="s">
        <v>78</v>
      </c>
      <c r="E24" t="s">
        <v>611</v>
      </c>
      <c r="F24">
        <v>3422</v>
      </c>
      <c r="G24">
        <v>2390</v>
      </c>
      <c r="H24">
        <v>0.121566335476329</v>
      </c>
      <c r="I24">
        <v>0.13138075313807501</v>
      </c>
      <c r="J24">
        <v>416</v>
      </c>
      <c r="K24">
        <v>314</v>
      </c>
      <c r="L24">
        <v>-0.24519230769230699</v>
      </c>
      <c r="M24">
        <v>-0.30157802454704802</v>
      </c>
      <c r="N24">
        <v>9.8144176617456901E-3</v>
      </c>
      <c r="O24">
        <v>23</v>
      </c>
    </row>
    <row r="25" spans="1:15" x14ac:dyDescent="0.25">
      <c r="A25" t="s">
        <v>564</v>
      </c>
      <c r="B25" t="s">
        <v>76</v>
      </c>
      <c r="C25" t="s">
        <v>600</v>
      </c>
      <c r="D25" t="s">
        <v>612</v>
      </c>
      <c r="E25" t="s">
        <v>613</v>
      </c>
      <c r="F25">
        <v>3560</v>
      </c>
      <c r="G25">
        <v>2200</v>
      </c>
      <c r="H25">
        <v>6.6853932584269596E-2</v>
      </c>
      <c r="I25">
        <v>5.0454545454545398E-2</v>
      </c>
      <c r="J25">
        <v>238</v>
      </c>
      <c r="K25">
        <v>111</v>
      </c>
      <c r="L25">
        <v>-0.53361344537815103</v>
      </c>
      <c r="M25">
        <v>-0.38202247191011202</v>
      </c>
      <c r="N25">
        <v>-1.6399387129724202E-2</v>
      </c>
      <c r="O25">
        <v>24</v>
      </c>
    </row>
    <row r="26" spans="1:15" x14ac:dyDescent="0.25">
      <c r="A26" t="s">
        <v>564</v>
      </c>
      <c r="B26" t="s">
        <v>76</v>
      </c>
      <c r="C26" t="s">
        <v>600</v>
      </c>
      <c r="D26" t="s">
        <v>614</v>
      </c>
      <c r="E26" t="s">
        <v>615</v>
      </c>
      <c r="F26">
        <v>8451</v>
      </c>
      <c r="G26">
        <v>2164</v>
      </c>
      <c r="H26">
        <v>2.2364217252396099E-2</v>
      </c>
      <c r="I26">
        <v>2.58780036968576E-2</v>
      </c>
      <c r="J26">
        <v>189</v>
      </c>
      <c r="K26">
        <v>56</v>
      </c>
      <c r="L26">
        <v>-0.70370370370370305</v>
      </c>
      <c r="M26">
        <v>-0.74393562891965404</v>
      </c>
      <c r="N26">
        <v>3.5137864444614998E-3</v>
      </c>
      <c r="O26">
        <v>25</v>
      </c>
    </row>
    <row r="27" spans="1:15" x14ac:dyDescent="0.25">
      <c r="A27" t="s">
        <v>564</v>
      </c>
      <c r="B27" t="s">
        <v>76</v>
      </c>
      <c r="C27" t="s">
        <v>602</v>
      </c>
      <c r="D27" t="s">
        <v>616</v>
      </c>
      <c r="E27" t="s">
        <v>617</v>
      </c>
      <c r="F27">
        <v>3325</v>
      </c>
      <c r="G27">
        <v>2143</v>
      </c>
      <c r="H27">
        <v>7.0676691729323296E-2</v>
      </c>
      <c r="I27">
        <v>7.1861875874941597E-2</v>
      </c>
      <c r="J27">
        <v>235</v>
      </c>
      <c r="K27">
        <v>154</v>
      </c>
      <c r="L27">
        <v>-0.34468085106382901</v>
      </c>
      <c r="M27">
        <v>-0.35548872180451102</v>
      </c>
      <c r="N27">
        <v>1.18518414561836E-3</v>
      </c>
      <c r="O27">
        <v>26</v>
      </c>
    </row>
    <row r="28" spans="1:15" x14ac:dyDescent="0.25">
      <c r="A28" t="s">
        <v>564</v>
      </c>
      <c r="B28" t="s">
        <v>76</v>
      </c>
      <c r="C28" t="s">
        <v>618</v>
      </c>
      <c r="D28" t="s">
        <v>78</v>
      </c>
      <c r="E28" t="s">
        <v>619</v>
      </c>
      <c r="F28">
        <v>3889</v>
      </c>
      <c r="G28">
        <v>1742</v>
      </c>
      <c r="H28">
        <v>1.10568269478014E-2</v>
      </c>
      <c r="I28">
        <v>4.3628013777267501E-2</v>
      </c>
      <c r="J28">
        <v>43</v>
      </c>
      <c r="K28">
        <v>76</v>
      </c>
      <c r="L28">
        <v>0.76744186046511598</v>
      </c>
      <c r="M28">
        <v>-0.55206994085883199</v>
      </c>
      <c r="N28">
        <v>3.2571186829465998E-2</v>
      </c>
      <c r="O28">
        <v>27</v>
      </c>
    </row>
    <row r="29" spans="1:15" x14ac:dyDescent="0.25">
      <c r="A29" t="s">
        <v>564</v>
      </c>
      <c r="B29" t="s">
        <v>76</v>
      </c>
      <c r="C29" t="s">
        <v>620</v>
      </c>
      <c r="D29" t="s">
        <v>78</v>
      </c>
      <c r="E29" t="s">
        <v>621</v>
      </c>
      <c r="F29">
        <v>3085</v>
      </c>
      <c r="G29">
        <v>1512</v>
      </c>
      <c r="H29">
        <v>0.11701782820097199</v>
      </c>
      <c r="I29">
        <v>8.5978835978835905E-2</v>
      </c>
      <c r="J29">
        <v>361</v>
      </c>
      <c r="K29">
        <v>130</v>
      </c>
      <c r="L29">
        <v>-0.63988919667590005</v>
      </c>
      <c r="M29">
        <v>-0.50988654781199305</v>
      </c>
      <c r="N29">
        <v>-3.1038992222136401E-2</v>
      </c>
      <c r="O29">
        <v>28</v>
      </c>
    </row>
    <row r="30" spans="1:15" x14ac:dyDescent="0.25">
      <c r="A30" t="s">
        <v>564</v>
      </c>
      <c r="B30" t="s">
        <v>76</v>
      </c>
      <c r="C30" t="s">
        <v>81</v>
      </c>
      <c r="D30" t="s">
        <v>622</v>
      </c>
      <c r="E30" t="s">
        <v>623</v>
      </c>
      <c r="F30">
        <v>5187</v>
      </c>
      <c r="G30">
        <v>1505</v>
      </c>
      <c r="H30">
        <v>4.0485829959514101E-3</v>
      </c>
      <c r="I30">
        <v>1.9933554817275702E-3</v>
      </c>
      <c r="J30">
        <v>21</v>
      </c>
      <c r="K30">
        <v>3</v>
      </c>
      <c r="L30">
        <v>-0.85714285714285698</v>
      </c>
      <c r="M30">
        <v>-0.70985155195681504</v>
      </c>
      <c r="N30">
        <v>-2.0552275142238399E-3</v>
      </c>
      <c r="O30">
        <v>29</v>
      </c>
    </row>
    <row r="31" spans="1:15" x14ac:dyDescent="0.25">
      <c r="A31" t="s">
        <v>564</v>
      </c>
      <c r="B31" t="s">
        <v>76</v>
      </c>
      <c r="C31" t="s">
        <v>592</v>
      </c>
      <c r="D31" t="s">
        <v>624</v>
      </c>
      <c r="E31" t="s">
        <v>625</v>
      </c>
      <c r="F31">
        <v>10431</v>
      </c>
      <c r="G31">
        <v>1486</v>
      </c>
      <c r="H31">
        <v>4.4003451251078497E-2</v>
      </c>
      <c r="I31">
        <v>6.0565275908479096E-3</v>
      </c>
      <c r="J31">
        <v>459</v>
      </c>
      <c r="K31">
        <v>9</v>
      </c>
      <c r="L31">
        <v>-0.98039215686274495</v>
      </c>
      <c r="M31">
        <v>-0.85754002492570203</v>
      </c>
      <c r="N31">
        <v>-3.79469236602306E-2</v>
      </c>
      <c r="O31">
        <v>30</v>
      </c>
    </row>
    <row r="32" spans="1:15" x14ac:dyDescent="0.25">
      <c r="A32" t="s">
        <v>564</v>
      </c>
      <c r="B32" t="s">
        <v>76</v>
      </c>
      <c r="C32" t="s">
        <v>626</v>
      </c>
      <c r="D32" t="s">
        <v>78</v>
      </c>
      <c r="E32" t="s">
        <v>627</v>
      </c>
      <c r="F32">
        <v>10832</v>
      </c>
      <c r="G32">
        <v>1181</v>
      </c>
      <c r="H32">
        <v>5.0313884785819697E-2</v>
      </c>
      <c r="I32">
        <v>5.5884843353090602E-2</v>
      </c>
      <c r="J32">
        <v>545</v>
      </c>
      <c r="K32">
        <v>66</v>
      </c>
      <c r="L32">
        <v>-0.878899082568807</v>
      </c>
      <c r="M32">
        <v>-0.89097119645494804</v>
      </c>
      <c r="N32">
        <v>5.5709585672707998E-3</v>
      </c>
      <c r="O32">
        <v>31</v>
      </c>
    </row>
    <row r="33" spans="1:15" x14ac:dyDescent="0.25">
      <c r="A33" t="s">
        <v>564</v>
      </c>
      <c r="B33" t="s">
        <v>76</v>
      </c>
      <c r="C33" t="s">
        <v>602</v>
      </c>
      <c r="D33" t="s">
        <v>628</v>
      </c>
      <c r="E33" t="s">
        <v>629</v>
      </c>
      <c r="F33">
        <v>2192</v>
      </c>
      <c r="G33">
        <v>1050</v>
      </c>
      <c r="H33">
        <v>7.2536496350364896E-2</v>
      </c>
      <c r="I33">
        <v>0.12952380952380901</v>
      </c>
      <c r="J33">
        <v>159</v>
      </c>
      <c r="K33">
        <v>136</v>
      </c>
      <c r="L33">
        <v>-0.14465408805031399</v>
      </c>
      <c r="M33">
        <v>-0.52098540145985395</v>
      </c>
      <c r="N33">
        <v>5.69873131734445E-2</v>
      </c>
      <c r="O33">
        <v>32</v>
      </c>
    </row>
    <row r="34" spans="1:15" x14ac:dyDescent="0.25">
      <c r="A34" t="s">
        <v>564</v>
      </c>
      <c r="B34" t="s">
        <v>76</v>
      </c>
      <c r="C34" t="s">
        <v>630</v>
      </c>
      <c r="D34" t="s">
        <v>78</v>
      </c>
      <c r="E34" t="s">
        <v>631</v>
      </c>
      <c r="F34">
        <v>69459</v>
      </c>
      <c r="G34">
        <v>948</v>
      </c>
      <c r="H34">
        <v>4.3190947177471599E-4</v>
      </c>
      <c r="J34">
        <v>30</v>
      </c>
      <c r="M34">
        <v>-0.98635166069191804</v>
      </c>
      <c r="O34">
        <v>33</v>
      </c>
    </row>
    <row r="35" spans="1:15" x14ac:dyDescent="0.25">
      <c r="A35" t="s">
        <v>564</v>
      </c>
      <c r="B35" t="s">
        <v>76</v>
      </c>
      <c r="C35" t="s">
        <v>632</v>
      </c>
      <c r="D35" t="s">
        <v>78</v>
      </c>
      <c r="E35" t="s">
        <v>633</v>
      </c>
      <c r="F35">
        <v>2886</v>
      </c>
      <c r="G35">
        <v>909</v>
      </c>
      <c r="H35">
        <v>3.11850311850311E-3</v>
      </c>
      <c r="J35">
        <v>9</v>
      </c>
      <c r="M35">
        <v>-0.68503118503118499</v>
      </c>
      <c r="O35">
        <v>34</v>
      </c>
    </row>
    <row r="36" spans="1:15" x14ac:dyDescent="0.25">
      <c r="A36" t="s">
        <v>564</v>
      </c>
      <c r="B36" t="s">
        <v>76</v>
      </c>
      <c r="C36" t="s">
        <v>634</v>
      </c>
      <c r="D36" t="s">
        <v>78</v>
      </c>
      <c r="E36" t="s">
        <v>635</v>
      </c>
      <c r="F36">
        <v>7532</v>
      </c>
      <c r="G36">
        <v>775</v>
      </c>
      <c r="H36">
        <v>5.4168879447689798E-2</v>
      </c>
      <c r="I36">
        <v>6.8387096774193495E-2</v>
      </c>
      <c r="J36">
        <v>408</v>
      </c>
      <c r="K36">
        <v>53</v>
      </c>
      <c r="L36">
        <v>-0.87009803921568596</v>
      </c>
      <c r="M36">
        <v>-0.89710568242166699</v>
      </c>
      <c r="N36">
        <v>1.42182173265036E-2</v>
      </c>
      <c r="O36">
        <v>35</v>
      </c>
    </row>
    <row r="37" spans="1:15" x14ac:dyDescent="0.25">
      <c r="A37" t="s">
        <v>564</v>
      </c>
      <c r="B37" t="s">
        <v>76</v>
      </c>
      <c r="C37" t="s">
        <v>636</v>
      </c>
      <c r="D37" t="s">
        <v>78</v>
      </c>
      <c r="E37" t="s">
        <v>637</v>
      </c>
      <c r="F37">
        <v>90</v>
      </c>
      <c r="G37">
        <v>727</v>
      </c>
      <c r="H37">
        <v>1.1111111111111099E-2</v>
      </c>
      <c r="I37">
        <v>3.5763411279229697E-2</v>
      </c>
      <c r="J37">
        <v>1</v>
      </c>
      <c r="K37">
        <v>26</v>
      </c>
      <c r="L37">
        <v>25</v>
      </c>
      <c r="M37">
        <v>7.0777777777777704</v>
      </c>
      <c r="N37">
        <v>2.46523001681185E-2</v>
      </c>
      <c r="O37">
        <v>36</v>
      </c>
    </row>
    <row r="38" spans="1:15" x14ac:dyDescent="0.25">
      <c r="A38" t="s">
        <v>564</v>
      </c>
      <c r="B38" t="s">
        <v>76</v>
      </c>
      <c r="C38" t="s">
        <v>634</v>
      </c>
      <c r="D38" t="s">
        <v>638</v>
      </c>
      <c r="E38" t="s">
        <v>639</v>
      </c>
      <c r="F38">
        <v>351</v>
      </c>
      <c r="G38">
        <v>688</v>
      </c>
      <c r="H38">
        <v>3.1339031339031299E-2</v>
      </c>
      <c r="I38">
        <v>5.8139534883720902E-2</v>
      </c>
      <c r="J38">
        <v>11</v>
      </c>
      <c r="K38">
        <v>40</v>
      </c>
      <c r="L38">
        <v>2.63636363636363</v>
      </c>
      <c r="M38">
        <v>0.96011396011396</v>
      </c>
      <c r="N38">
        <v>2.6800503544689502E-2</v>
      </c>
      <c r="O38">
        <v>37</v>
      </c>
    </row>
    <row r="39" spans="1:15" x14ac:dyDescent="0.25">
      <c r="A39" t="s">
        <v>564</v>
      </c>
      <c r="B39" t="s">
        <v>76</v>
      </c>
      <c r="C39" t="s">
        <v>602</v>
      </c>
      <c r="D39" t="s">
        <v>640</v>
      </c>
      <c r="E39" t="s">
        <v>641</v>
      </c>
      <c r="F39">
        <v>848</v>
      </c>
      <c r="G39">
        <v>658</v>
      </c>
      <c r="H39">
        <v>8.2547169811320702E-3</v>
      </c>
      <c r="I39">
        <v>4.5592705167173198E-3</v>
      </c>
      <c r="J39">
        <v>7</v>
      </c>
      <c r="K39">
        <v>3</v>
      </c>
      <c r="L39">
        <v>-0.57142857142857095</v>
      </c>
      <c r="M39">
        <v>-0.224056603773584</v>
      </c>
      <c r="N39">
        <v>-3.6954464644147499E-3</v>
      </c>
      <c r="O39">
        <v>38</v>
      </c>
    </row>
    <row r="40" spans="1:15" x14ac:dyDescent="0.25">
      <c r="A40" t="s">
        <v>564</v>
      </c>
      <c r="B40" t="s">
        <v>76</v>
      </c>
      <c r="C40" t="s">
        <v>642</v>
      </c>
      <c r="D40" t="s">
        <v>78</v>
      </c>
      <c r="E40" t="s">
        <v>643</v>
      </c>
      <c r="F40">
        <v>3911</v>
      </c>
      <c r="G40">
        <v>584</v>
      </c>
      <c r="H40">
        <v>2.8125799028381401E-3</v>
      </c>
      <c r="J40">
        <v>11</v>
      </c>
      <c r="M40">
        <v>-0.85067757606750105</v>
      </c>
      <c r="O40">
        <v>39</v>
      </c>
    </row>
    <row r="41" spans="1:15" x14ac:dyDescent="0.25">
      <c r="A41" t="s">
        <v>564</v>
      </c>
      <c r="B41" t="s">
        <v>76</v>
      </c>
      <c r="C41" t="s">
        <v>644</v>
      </c>
      <c r="D41" t="s">
        <v>78</v>
      </c>
      <c r="E41" t="s">
        <v>645</v>
      </c>
      <c r="F41">
        <v>1502</v>
      </c>
      <c r="G41">
        <v>582</v>
      </c>
      <c r="H41">
        <v>1.39813581890812E-2</v>
      </c>
      <c r="I41">
        <v>3.0927835051546299E-2</v>
      </c>
      <c r="J41">
        <v>21</v>
      </c>
      <c r="K41">
        <v>18</v>
      </c>
      <c r="L41">
        <v>-0.14285714285714199</v>
      </c>
      <c r="M41">
        <v>-0.61251664447403398</v>
      </c>
      <c r="N41">
        <v>1.6946476862465101E-2</v>
      </c>
      <c r="O41">
        <v>40</v>
      </c>
    </row>
    <row r="42" spans="1:15" x14ac:dyDescent="0.25">
      <c r="A42" t="s">
        <v>564</v>
      </c>
      <c r="B42" t="s">
        <v>76</v>
      </c>
      <c r="C42" t="s">
        <v>81</v>
      </c>
      <c r="D42" t="s">
        <v>646</v>
      </c>
      <c r="E42" t="s">
        <v>647</v>
      </c>
      <c r="F42">
        <v>1030</v>
      </c>
      <c r="G42">
        <v>336</v>
      </c>
      <c r="H42">
        <v>3.5922330097087299E-2</v>
      </c>
      <c r="I42">
        <v>5.9523809523809503E-3</v>
      </c>
      <c r="J42">
        <v>37</v>
      </c>
      <c r="K42">
        <v>2</v>
      </c>
      <c r="L42">
        <v>-0.94594594594594505</v>
      </c>
      <c r="M42">
        <v>-0.67378640776698995</v>
      </c>
      <c r="N42">
        <v>-2.9969949144706399E-2</v>
      </c>
      <c r="O42">
        <v>41</v>
      </c>
    </row>
    <row r="43" spans="1:15" x14ac:dyDescent="0.25">
      <c r="A43" t="s">
        <v>564</v>
      </c>
      <c r="B43" t="s">
        <v>76</v>
      </c>
      <c r="C43" t="s">
        <v>602</v>
      </c>
      <c r="D43" t="s">
        <v>648</v>
      </c>
      <c r="E43" t="s">
        <v>649</v>
      </c>
      <c r="F43">
        <v>506</v>
      </c>
      <c r="G43">
        <v>253</v>
      </c>
      <c r="H43">
        <v>8.4980237154150096E-2</v>
      </c>
      <c r="I43">
        <v>6.3241106719367501E-2</v>
      </c>
      <c r="J43">
        <v>43</v>
      </c>
      <c r="K43">
        <v>16</v>
      </c>
      <c r="L43">
        <v>-0.62790697674418605</v>
      </c>
      <c r="M43">
        <v>-0.5</v>
      </c>
      <c r="N43">
        <v>-2.1739130434782601E-2</v>
      </c>
      <c r="O43">
        <v>42</v>
      </c>
    </row>
    <row r="44" spans="1:15" x14ac:dyDescent="0.25">
      <c r="A44" t="s">
        <v>564</v>
      </c>
      <c r="B44" t="s">
        <v>76</v>
      </c>
      <c r="C44" t="s">
        <v>602</v>
      </c>
      <c r="D44" t="s">
        <v>650</v>
      </c>
      <c r="E44" t="s">
        <v>651</v>
      </c>
      <c r="F44">
        <v>902</v>
      </c>
      <c r="G44">
        <v>190</v>
      </c>
      <c r="H44">
        <v>0.197339246119733</v>
      </c>
      <c r="I44">
        <v>0.19473684210526301</v>
      </c>
      <c r="J44">
        <v>178</v>
      </c>
      <c r="K44">
        <v>37</v>
      </c>
      <c r="L44">
        <v>-0.79213483146067398</v>
      </c>
      <c r="M44">
        <v>-0.78935698447893499</v>
      </c>
      <c r="N44">
        <v>-2.6024040144707501E-3</v>
      </c>
      <c r="O44">
        <v>43</v>
      </c>
    </row>
    <row r="45" spans="1:15" x14ac:dyDescent="0.25">
      <c r="A45" t="s">
        <v>564</v>
      </c>
      <c r="B45" t="s">
        <v>76</v>
      </c>
      <c r="C45" t="s">
        <v>602</v>
      </c>
      <c r="D45" t="s">
        <v>652</v>
      </c>
      <c r="E45" t="s">
        <v>653</v>
      </c>
      <c r="F45">
        <v>12045</v>
      </c>
      <c r="G45">
        <v>128</v>
      </c>
      <c r="H45">
        <v>1.6604400166044E-4</v>
      </c>
      <c r="I45">
        <v>1.5625E-2</v>
      </c>
      <c r="J45">
        <v>2</v>
      </c>
      <c r="K45">
        <v>2</v>
      </c>
      <c r="L45">
        <v>0</v>
      </c>
      <c r="M45">
        <v>-0.98937318389373097</v>
      </c>
      <c r="N45">
        <v>1.54589559983395E-2</v>
      </c>
      <c r="O45">
        <v>44</v>
      </c>
    </row>
    <row r="46" spans="1:15" x14ac:dyDescent="0.25">
      <c r="A46" t="s">
        <v>564</v>
      </c>
      <c r="B46" t="s">
        <v>76</v>
      </c>
      <c r="C46" t="s">
        <v>654</v>
      </c>
      <c r="D46" t="s">
        <v>78</v>
      </c>
      <c r="E46" t="s">
        <v>655</v>
      </c>
      <c r="F46">
        <v>276</v>
      </c>
      <c r="G46">
        <v>105</v>
      </c>
      <c r="H46">
        <v>1.4492753623188401E-2</v>
      </c>
      <c r="I46">
        <v>1.9047619047619001E-2</v>
      </c>
      <c r="J46">
        <v>4</v>
      </c>
      <c r="K46">
        <v>2</v>
      </c>
      <c r="L46">
        <v>-0.5</v>
      </c>
      <c r="M46">
        <v>-0.61956521739130399</v>
      </c>
      <c r="N46">
        <v>4.5548654244306399E-3</v>
      </c>
      <c r="O46">
        <v>45</v>
      </c>
    </row>
    <row r="47" spans="1:15" x14ac:dyDescent="0.25">
      <c r="A47" t="s">
        <v>564</v>
      </c>
      <c r="B47" t="s">
        <v>76</v>
      </c>
      <c r="C47" t="s">
        <v>656</v>
      </c>
      <c r="D47" t="s">
        <v>78</v>
      </c>
      <c r="E47" t="s">
        <v>657</v>
      </c>
      <c r="F47">
        <v>56</v>
      </c>
      <c r="G47">
        <v>91</v>
      </c>
      <c r="M47">
        <v>0.625</v>
      </c>
      <c r="O47">
        <v>46</v>
      </c>
    </row>
    <row r="48" spans="1:15" x14ac:dyDescent="0.25">
      <c r="A48" t="s">
        <v>564</v>
      </c>
      <c r="B48" t="s">
        <v>76</v>
      </c>
      <c r="C48" t="s">
        <v>634</v>
      </c>
      <c r="D48" t="s">
        <v>658</v>
      </c>
      <c r="E48" t="s">
        <v>659</v>
      </c>
      <c r="F48">
        <v>6802</v>
      </c>
      <c r="G48">
        <v>88</v>
      </c>
      <c r="H48">
        <v>5.6600999705968803E-2</v>
      </c>
      <c r="I48">
        <v>0.14772727272727201</v>
      </c>
      <c r="J48">
        <v>385</v>
      </c>
      <c r="K48">
        <v>13</v>
      </c>
      <c r="L48">
        <v>-0.966233766233766</v>
      </c>
      <c r="M48">
        <v>-0.98706262863863503</v>
      </c>
      <c r="N48">
        <v>9.1126273021303897E-2</v>
      </c>
      <c r="O48">
        <v>47</v>
      </c>
    </row>
    <row r="49" spans="1:15" x14ac:dyDescent="0.25">
      <c r="A49" t="s">
        <v>564</v>
      </c>
      <c r="B49" t="s">
        <v>76</v>
      </c>
      <c r="C49" t="s">
        <v>660</v>
      </c>
      <c r="D49" t="s">
        <v>78</v>
      </c>
      <c r="E49" t="s">
        <v>661</v>
      </c>
      <c r="F49">
        <v>566</v>
      </c>
      <c r="G49">
        <v>80</v>
      </c>
      <c r="H49">
        <v>4.5936395759717301E-2</v>
      </c>
      <c r="I49">
        <v>1.2500000000000001E-2</v>
      </c>
      <c r="J49">
        <v>26</v>
      </c>
      <c r="K49">
        <v>1</v>
      </c>
      <c r="L49">
        <v>-0.96153846153846101</v>
      </c>
      <c r="M49">
        <v>-0.85865724381625397</v>
      </c>
      <c r="N49">
        <v>-3.3436395759717297E-2</v>
      </c>
      <c r="O49">
        <v>48</v>
      </c>
    </row>
    <row r="50" spans="1:15" x14ac:dyDescent="0.25">
      <c r="A50" t="s">
        <v>564</v>
      </c>
      <c r="B50" t="s">
        <v>76</v>
      </c>
      <c r="C50" t="s">
        <v>662</v>
      </c>
      <c r="D50" t="s">
        <v>78</v>
      </c>
      <c r="E50" t="s">
        <v>663</v>
      </c>
      <c r="F50">
        <v>43</v>
      </c>
      <c r="G50">
        <v>72</v>
      </c>
      <c r="H50">
        <v>4.6511627906976702E-2</v>
      </c>
      <c r="J50">
        <v>2</v>
      </c>
      <c r="M50">
        <v>0.67441860465116199</v>
      </c>
      <c r="O50">
        <v>49</v>
      </c>
    </row>
    <row r="51" spans="1:15" x14ac:dyDescent="0.25">
      <c r="A51" t="s">
        <v>564</v>
      </c>
      <c r="B51" t="s">
        <v>76</v>
      </c>
      <c r="C51" t="s">
        <v>664</v>
      </c>
      <c r="D51" t="s">
        <v>78</v>
      </c>
      <c r="E51" t="s">
        <v>665</v>
      </c>
      <c r="F51">
        <v>568</v>
      </c>
      <c r="G51">
        <v>65</v>
      </c>
      <c r="H51">
        <v>5.2816901408450703E-3</v>
      </c>
      <c r="J51">
        <v>3</v>
      </c>
      <c r="M51">
        <v>-0.88556338028169002</v>
      </c>
      <c r="O51">
        <v>50</v>
      </c>
    </row>
    <row r="52" spans="1:15" x14ac:dyDescent="0.25">
      <c r="A52" t="s">
        <v>564</v>
      </c>
      <c r="B52" t="s">
        <v>76</v>
      </c>
      <c r="C52" t="s">
        <v>602</v>
      </c>
      <c r="D52" t="s">
        <v>666</v>
      </c>
      <c r="E52" t="s">
        <v>667</v>
      </c>
      <c r="F52">
        <v>1</v>
      </c>
      <c r="G52">
        <v>51</v>
      </c>
      <c r="M52">
        <v>50</v>
      </c>
      <c r="O52">
        <v>51</v>
      </c>
    </row>
    <row r="53" spans="1:15" x14ac:dyDescent="0.25">
      <c r="A53" t="s">
        <v>564</v>
      </c>
      <c r="B53" t="s">
        <v>76</v>
      </c>
      <c r="C53" t="s">
        <v>668</v>
      </c>
      <c r="D53" t="s">
        <v>78</v>
      </c>
      <c r="E53" t="s">
        <v>669</v>
      </c>
      <c r="F53">
        <v>97</v>
      </c>
      <c r="G53">
        <v>51</v>
      </c>
      <c r="H53">
        <v>1.03092783505154E-2</v>
      </c>
      <c r="J53">
        <v>1</v>
      </c>
      <c r="M53">
        <v>-0.47422680412371099</v>
      </c>
      <c r="O53">
        <v>52</v>
      </c>
    </row>
    <row r="54" spans="1:15" x14ac:dyDescent="0.25">
      <c r="A54" t="s">
        <v>564</v>
      </c>
      <c r="B54" t="s">
        <v>76</v>
      </c>
      <c r="C54" t="s">
        <v>602</v>
      </c>
      <c r="D54" t="s">
        <v>670</v>
      </c>
      <c r="E54" t="s">
        <v>671</v>
      </c>
      <c r="F54">
        <v>68</v>
      </c>
      <c r="G54">
        <v>48</v>
      </c>
      <c r="H54">
        <v>0.13235294117647001</v>
      </c>
      <c r="I54">
        <v>0.22916666666666599</v>
      </c>
      <c r="J54">
        <v>9</v>
      </c>
      <c r="K54">
        <v>11</v>
      </c>
      <c r="L54">
        <v>0.22222222222222199</v>
      </c>
      <c r="M54">
        <v>-0.29411764705882298</v>
      </c>
      <c r="N54">
        <v>9.6813725490195998E-2</v>
      </c>
      <c r="O54">
        <v>53</v>
      </c>
    </row>
    <row r="55" spans="1:15" x14ac:dyDescent="0.25">
      <c r="A55" t="s">
        <v>564</v>
      </c>
      <c r="B55" t="s">
        <v>76</v>
      </c>
      <c r="C55" t="s">
        <v>672</v>
      </c>
      <c r="D55" t="s">
        <v>78</v>
      </c>
      <c r="E55" t="s">
        <v>673</v>
      </c>
      <c r="F55">
        <v>213</v>
      </c>
      <c r="G55">
        <v>45</v>
      </c>
      <c r="H55">
        <v>4.6948356807511703E-3</v>
      </c>
      <c r="J55">
        <v>1</v>
      </c>
      <c r="M55">
        <v>-0.78873239436619702</v>
      </c>
      <c r="O55">
        <v>54</v>
      </c>
    </row>
    <row r="56" spans="1:15" x14ac:dyDescent="0.25">
      <c r="A56" t="s">
        <v>564</v>
      </c>
      <c r="B56" t="s">
        <v>76</v>
      </c>
      <c r="C56" t="s">
        <v>674</v>
      </c>
      <c r="D56" t="s">
        <v>78</v>
      </c>
      <c r="E56" t="s">
        <v>675</v>
      </c>
      <c r="F56">
        <v>39</v>
      </c>
      <c r="G56">
        <v>30</v>
      </c>
      <c r="H56">
        <v>7.69230769230769E-2</v>
      </c>
      <c r="I56">
        <v>6.6666666666666596E-2</v>
      </c>
      <c r="J56">
        <v>3</v>
      </c>
      <c r="K56">
        <v>2</v>
      </c>
      <c r="L56">
        <v>-0.33333333333333298</v>
      </c>
      <c r="M56">
        <v>-0.23076923076923</v>
      </c>
      <c r="N56">
        <v>-1.0256410256410199E-2</v>
      </c>
      <c r="O56">
        <v>55</v>
      </c>
    </row>
    <row r="57" spans="1:15" x14ac:dyDescent="0.25">
      <c r="A57" t="s">
        <v>564</v>
      </c>
      <c r="B57" t="s">
        <v>76</v>
      </c>
      <c r="C57" t="s">
        <v>676</v>
      </c>
      <c r="D57" t="s">
        <v>78</v>
      </c>
      <c r="E57" t="s">
        <v>677</v>
      </c>
      <c r="F57">
        <v>300</v>
      </c>
      <c r="G57">
        <v>22</v>
      </c>
      <c r="H57">
        <v>1.3333333333333299E-2</v>
      </c>
      <c r="I57">
        <v>9.0909090909090898E-2</v>
      </c>
      <c r="J57">
        <v>4</v>
      </c>
      <c r="K57">
        <v>2</v>
      </c>
      <c r="L57">
        <v>-0.5</v>
      </c>
      <c r="M57">
        <v>-0.92666666666666597</v>
      </c>
      <c r="N57">
        <v>7.7575757575757506E-2</v>
      </c>
      <c r="O57">
        <v>56</v>
      </c>
    </row>
    <row r="58" spans="1:15" x14ac:dyDescent="0.25">
      <c r="A58" t="s">
        <v>564</v>
      </c>
      <c r="B58" t="s">
        <v>76</v>
      </c>
      <c r="C58" t="s">
        <v>678</v>
      </c>
      <c r="D58" t="s">
        <v>78</v>
      </c>
      <c r="E58" t="s">
        <v>679</v>
      </c>
      <c r="F58">
        <v>1243</v>
      </c>
      <c r="G58">
        <v>21</v>
      </c>
      <c r="H58">
        <v>2.01126307320997E-2</v>
      </c>
      <c r="J58">
        <v>25</v>
      </c>
      <c r="M58">
        <v>-0.98310539018503595</v>
      </c>
      <c r="O58">
        <v>57</v>
      </c>
    </row>
    <row r="59" spans="1:15" x14ac:dyDescent="0.25">
      <c r="A59" t="s">
        <v>564</v>
      </c>
      <c r="B59" t="s">
        <v>76</v>
      </c>
      <c r="C59" t="s">
        <v>680</v>
      </c>
      <c r="D59" t="s">
        <v>78</v>
      </c>
      <c r="E59" t="s">
        <v>681</v>
      </c>
      <c r="F59">
        <v>2</v>
      </c>
      <c r="G59">
        <v>9</v>
      </c>
      <c r="M59">
        <v>3.5</v>
      </c>
      <c r="O59">
        <v>58</v>
      </c>
    </row>
    <row r="60" spans="1:15" x14ac:dyDescent="0.25">
      <c r="A60" t="s">
        <v>564</v>
      </c>
      <c r="B60" t="s">
        <v>76</v>
      </c>
      <c r="C60" t="s">
        <v>682</v>
      </c>
      <c r="D60" t="s">
        <v>78</v>
      </c>
      <c r="E60" t="s">
        <v>683</v>
      </c>
      <c r="F60">
        <v>2</v>
      </c>
      <c r="G60">
        <v>3</v>
      </c>
      <c r="H60">
        <v>0.5</v>
      </c>
      <c r="I60">
        <v>0.66666666666666596</v>
      </c>
      <c r="J60">
        <v>1</v>
      </c>
      <c r="K60">
        <v>2</v>
      </c>
      <c r="L60">
        <v>1</v>
      </c>
      <c r="M60">
        <v>0.5</v>
      </c>
      <c r="N60">
        <v>0.16666666666666599</v>
      </c>
      <c r="O60">
        <v>59</v>
      </c>
    </row>
    <row r="61" spans="1:15" x14ac:dyDescent="0.25">
      <c r="A61" t="s">
        <v>564</v>
      </c>
      <c r="B61" t="s">
        <v>76</v>
      </c>
      <c r="C61" t="s">
        <v>686</v>
      </c>
      <c r="D61" t="s">
        <v>78</v>
      </c>
      <c r="E61" t="s">
        <v>687</v>
      </c>
      <c r="F61">
        <v>2</v>
      </c>
      <c r="G61">
        <v>2</v>
      </c>
      <c r="M61">
        <v>0</v>
      </c>
      <c r="O61">
        <v>60</v>
      </c>
    </row>
    <row r="62" spans="1:15" x14ac:dyDescent="0.25">
      <c r="A62" t="s">
        <v>564</v>
      </c>
      <c r="B62" t="s">
        <v>76</v>
      </c>
      <c r="C62" t="s">
        <v>684</v>
      </c>
      <c r="D62" t="s">
        <v>78</v>
      </c>
      <c r="E62" t="s">
        <v>685</v>
      </c>
      <c r="F62">
        <v>1</v>
      </c>
      <c r="G62">
        <v>2</v>
      </c>
      <c r="M62">
        <v>1</v>
      </c>
      <c r="O62">
        <v>61</v>
      </c>
    </row>
    <row r="63" spans="1:15" x14ac:dyDescent="0.25">
      <c r="A63" t="s">
        <v>564</v>
      </c>
      <c r="B63" t="s">
        <v>76</v>
      </c>
      <c r="C63" t="s">
        <v>688</v>
      </c>
      <c r="D63" t="s">
        <v>78</v>
      </c>
      <c r="E63" t="s">
        <v>689</v>
      </c>
      <c r="F63">
        <v>1</v>
      </c>
      <c r="G63">
        <v>1</v>
      </c>
      <c r="M63">
        <v>0</v>
      </c>
      <c r="O63">
        <v>62</v>
      </c>
    </row>
    <row r="64" spans="1:15" x14ac:dyDescent="0.25">
      <c r="A64" t="s">
        <v>564</v>
      </c>
      <c r="B64" t="s">
        <v>76</v>
      </c>
      <c r="C64" t="s">
        <v>692</v>
      </c>
      <c r="D64" t="s">
        <v>78</v>
      </c>
      <c r="E64" t="s">
        <v>693</v>
      </c>
      <c r="F64">
        <v>387</v>
      </c>
      <c r="G64">
        <v>1</v>
      </c>
      <c r="H64">
        <v>1.29198966408268E-2</v>
      </c>
      <c r="J64">
        <v>5</v>
      </c>
      <c r="M64">
        <v>-0.99741602067183399</v>
      </c>
      <c r="O64">
        <v>63</v>
      </c>
    </row>
    <row r="65" spans="1:16" x14ac:dyDescent="0.25">
      <c r="A65" t="s">
        <v>564</v>
      </c>
      <c r="B65" t="s">
        <v>76</v>
      </c>
      <c r="C65" t="s">
        <v>694</v>
      </c>
      <c r="D65" t="s">
        <v>78</v>
      </c>
      <c r="E65" t="s">
        <v>695</v>
      </c>
      <c r="F65">
        <v>747</v>
      </c>
      <c r="G65">
        <v>1</v>
      </c>
      <c r="H65">
        <v>0.133868808567603</v>
      </c>
      <c r="J65">
        <v>100</v>
      </c>
      <c r="M65">
        <v>-0.99866131191432295</v>
      </c>
      <c r="O65">
        <v>64</v>
      </c>
    </row>
    <row r="66" spans="1:16" x14ac:dyDescent="0.25">
      <c r="A66" t="s">
        <v>564</v>
      </c>
      <c r="B66" t="s">
        <v>76</v>
      </c>
      <c r="C66" t="s">
        <v>690</v>
      </c>
      <c r="D66" t="s">
        <v>78</v>
      </c>
      <c r="E66" t="s">
        <v>691</v>
      </c>
      <c r="F66">
        <v>13</v>
      </c>
      <c r="G66">
        <v>1</v>
      </c>
      <c r="M66">
        <v>-0.92307692307692302</v>
      </c>
      <c r="O66">
        <v>65</v>
      </c>
    </row>
    <row r="67" spans="1:16" x14ac:dyDescent="0.25">
      <c r="A67" t="s">
        <v>564</v>
      </c>
      <c r="B67" t="s">
        <v>59</v>
      </c>
      <c r="C67" t="s">
        <v>78</v>
      </c>
      <c r="D67" t="s">
        <v>78</v>
      </c>
      <c r="E67" t="s">
        <v>696</v>
      </c>
      <c r="F67">
        <v>680174</v>
      </c>
      <c r="G67">
        <v>415768</v>
      </c>
      <c r="H67">
        <v>1.81115420465939E-2</v>
      </c>
      <c r="I67">
        <v>1.5234457678320599E-2</v>
      </c>
      <c r="J67">
        <v>12319</v>
      </c>
      <c r="K67">
        <v>6334</v>
      </c>
      <c r="L67">
        <v>-0.48583488919555101</v>
      </c>
      <c r="M67">
        <v>-0.38873288305639397</v>
      </c>
      <c r="N67">
        <v>-2.87708436827335E-3</v>
      </c>
      <c r="O67">
        <v>1</v>
      </c>
    </row>
    <row r="68" spans="1:16" x14ac:dyDescent="0.25">
      <c r="A68" t="s">
        <v>564</v>
      </c>
      <c r="B68" t="s">
        <v>59</v>
      </c>
      <c r="C68" t="s">
        <v>60</v>
      </c>
      <c r="D68" t="s">
        <v>78</v>
      </c>
      <c r="E68" t="s">
        <v>697</v>
      </c>
      <c r="F68">
        <v>641060</v>
      </c>
      <c r="G68">
        <v>315773</v>
      </c>
      <c r="H68">
        <v>1.3501076342308E-2</v>
      </c>
      <c r="I68">
        <v>1.4196907271996E-2</v>
      </c>
      <c r="J68">
        <v>8655</v>
      </c>
      <c r="K68">
        <v>4483</v>
      </c>
      <c r="L68">
        <v>-0.48203350664355799</v>
      </c>
      <c r="M68">
        <v>-0.507420522260006</v>
      </c>
      <c r="N68">
        <v>6.9583092968797096E-4</v>
      </c>
      <c r="O68">
        <v>2</v>
      </c>
    </row>
    <row r="69" spans="1:16" x14ac:dyDescent="0.25">
      <c r="A69" t="s">
        <v>564</v>
      </c>
      <c r="B69" t="s">
        <v>59</v>
      </c>
      <c r="C69" t="s">
        <v>60</v>
      </c>
      <c r="D69" t="s">
        <v>61</v>
      </c>
      <c r="E69" t="s">
        <v>698</v>
      </c>
      <c r="F69">
        <v>217068</v>
      </c>
      <c r="G69">
        <v>163291</v>
      </c>
      <c r="H69">
        <v>2.41905762249617E-2</v>
      </c>
      <c r="I69">
        <v>1.6400169023399899E-2</v>
      </c>
      <c r="J69">
        <v>5251</v>
      </c>
      <c r="K69">
        <v>2678</v>
      </c>
      <c r="L69">
        <v>-0.49000190439916202</v>
      </c>
      <c r="M69">
        <v>-0.24774264285845901</v>
      </c>
      <c r="N69">
        <v>-7.7904072015618202E-3</v>
      </c>
      <c r="O69">
        <v>3</v>
      </c>
      <c r="P69">
        <v>1</v>
      </c>
    </row>
    <row r="70" spans="1:16" x14ac:dyDescent="0.25">
      <c r="A70" t="s">
        <v>564</v>
      </c>
      <c r="B70" t="s">
        <v>59</v>
      </c>
      <c r="C70" t="s">
        <v>60</v>
      </c>
      <c r="D70" t="s">
        <v>62</v>
      </c>
      <c r="E70" t="s">
        <v>699</v>
      </c>
      <c r="F70">
        <v>377670</v>
      </c>
      <c r="G70">
        <v>105023</v>
      </c>
      <c r="H70">
        <v>2.2479942807212602E-3</v>
      </c>
      <c r="I70">
        <v>5.9034687639850298E-4</v>
      </c>
      <c r="J70">
        <v>849</v>
      </c>
      <c r="K70">
        <v>62</v>
      </c>
      <c r="L70">
        <v>-0.92697290930506404</v>
      </c>
      <c r="M70">
        <v>-0.72191860619058901</v>
      </c>
      <c r="N70">
        <v>-1.6576474043227601E-3</v>
      </c>
      <c r="O70">
        <v>4</v>
      </c>
      <c r="P70">
        <v>2</v>
      </c>
    </row>
    <row r="71" spans="1:16" x14ac:dyDescent="0.25">
      <c r="A71" t="s">
        <v>564</v>
      </c>
      <c r="B71" t="s">
        <v>59</v>
      </c>
      <c r="C71" t="s">
        <v>68</v>
      </c>
      <c r="D71" t="s">
        <v>78</v>
      </c>
      <c r="E71" t="s">
        <v>700</v>
      </c>
      <c r="F71">
        <v>11396</v>
      </c>
      <c r="G71">
        <v>97572</v>
      </c>
      <c r="M71">
        <v>7.5619515619515596</v>
      </c>
      <c r="O71">
        <v>5</v>
      </c>
    </row>
    <row r="72" spans="1:16" x14ac:dyDescent="0.25">
      <c r="A72" t="s">
        <v>564</v>
      </c>
      <c r="B72" t="s">
        <v>59</v>
      </c>
      <c r="C72" t="s">
        <v>68</v>
      </c>
      <c r="D72" t="s">
        <v>69</v>
      </c>
      <c r="E72" t="s">
        <v>701</v>
      </c>
      <c r="F72">
        <v>1</v>
      </c>
      <c r="G72">
        <v>88375</v>
      </c>
      <c r="M72">
        <v>88374</v>
      </c>
      <c r="O72">
        <v>6</v>
      </c>
      <c r="P72">
        <v>9</v>
      </c>
    </row>
    <row r="73" spans="1:16" x14ac:dyDescent="0.25">
      <c r="A73" t="s">
        <v>564</v>
      </c>
      <c r="B73" t="s">
        <v>59</v>
      </c>
      <c r="C73" t="s">
        <v>60</v>
      </c>
      <c r="D73" t="s">
        <v>63</v>
      </c>
      <c r="E73" t="s">
        <v>702</v>
      </c>
      <c r="F73">
        <v>102462</v>
      </c>
      <c r="G73">
        <v>84711</v>
      </c>
      <c r="H73">
        <v>2.84398118326794E-2</v>
      </c>
      <c r="I73">
        <v>2.2511834354452101E-2</v>
      </c>
      <c r="J73">
        <v>2914</v>
      </c>
      <c r="K73">
        <v>1907</v>
      </c>
      <c r="L73">
        <v>-0.34557309540150899</v>
      </c>
      <c r="M73">
        <v>-0.173244715113895</v>
      </c>
      <c r="N73">
        <v>-5.9279774782272296E-3</v>
      </c>
      <c r="O73">
        <v>7</v>
      </c>
      <c r="P73">
        <v>3</v>
      </c>
    </row>
    <row r="74" spans="1:16" x14ac:dyDescent="0.25">
      <c r="A74" t="s">
        <v>564</v>
      </c>
      <c r="B74" t="s">
        <v>59</v>
      </c>
      <c r="C74" t="s">
        <v>64</v>
      </c>
      <c r="D74" t="s">
        <v>78</v>
      </c>
      <c r="E74" t="s">
        <v>703</v>
      </c>
      <c r="F74">
        <v>28487</v>
      </c>
      <c r="G74">
        <v>18704</v>
      </c>
      <c r="H74">
        <v>8.8320988521079793E-2</v>
      </c>
      <c r="I74">
        <v>8.1533361847733105E-2</v>
      </c>
      <c r="J74">
        <v>2516</v>
      </c>
      <c r="K74">
        <v>1525</v>
      </c>
      <c r="L74">
        <v>-0.39387917329093702</v>
      </c>
      <c r="M74">
        <v>-0.34341980552532703</v>
      </c>
      <c r="N74">
        <v>-6.7876266733467002E-3</v>
      </c>
      <c r="O74">
        <v>8</v>
      </c>
    </row>
    <row r="75" spans="1:16" x14ac:dyDescent="0.25">
      <c r="A75" t="s">
        <v>564</v>
      </c>
      <c r="B75" t="s">
        <v>59</v>
      </c>
      <c r="C75" t="s">
        <v>64</v>
      </c>
      <c r="D75" t="s">
        <v>65</v>
      </c>
      <c r="E75" t="s">
        <v>704</v>
      </c>
      <c r="F75">
        <v>27951</v>
      </c>
      <c r="G75">
        <v>18293</v>
      </c>
      <c r="H75">
        <v>8.9048692354477404E-2</v>
      </c>
      <c r="I75">
        <v>8.27638987590881E-2</v>
      </c>
      <c r="J75">
        <v>2489</v>
      </c>
      <c r="K75">
        <v>1514</v>
      </c>
      <c r="L75">
        <v>-0.39172358376858102</v>
      </c>
      <c r="M75">
        <v>-0.34553325462416301</v>
      </c>
      <c r="N75">
        <v>-6.2847935953892998E-3</v>
      </c>
      <c r="O75">
        <v>9</v>
      </c>
      <c r="P75">
        <v>4</v>
      </c>
    </row>
    <row r="76" spans="1:16" x14ac:dyDescent="0.25">
      <c r="A76" t="s">
        <v>564</v>
      </c>
      <c r="B76" t="s">
        <v>59</v>
      </c>
      <c r="C76" t="s">
        <v>72</v>
      </c>
      <c r="D76" t="s">
        <v>78</v>
      </c>
      <c r="E76" t="s">
        <v>705</v>
      </c>
      <c r="F76">
        <v>26182</v>
      </c>
      <c r="G76">
        <v>16973</v>
      </c>
      <c r="H76">
        <v>7.16140860132915E-2</v>
      </c>
      <c r="I76">
        <v>3.5527013492016701E-2</v>
      </c>
      <c r="J76">
        <v>1875</v>
      </c>
      <c r="K76">
        <v>603</v>
      </c>
      <c r="L76">
        <v>-0.6784</v>
      </c>
      <c r="M76">
        <v>-0.351730196318081</v>
      </c>
      <c r="N76">
        <v>-3.6087072521274799E-2</v>
      </c>
      <c r="O76">
        <v>10</v>
      </c>
    </row>
    <row r="77" spans="1:16" x14ac:dyDescent="0.25">
      <c r="A77" t="s">
        <v>564</v>
      </c>
      <c r="B77" t="s">
        <v>59</v>
      </c>
      <c r="C77" t="s">
        <v>72</v>
      </c>
      <c r="D77" t="s">
        <v>73</v>
      </c>
      <c r="E77" t="s">
        <v>706</v>
      </c>
      <c r="F77">
        <v>17914</v>
      </c>
      <c r="G77">
        <v>13327</v>
      </c>
      <c r="H77">
        <v>0.10466674109634901</v>
      </c>
      <c r="I77">
        <v>4.5246492083739702E-2</v>
      </c>
      <c r="J77">
        <v>1875</v>
      </c>
      <c r="K77">
        <v>603</v>
      </c>
      <c r="L77">
        <v>-0.6784</v>
      </c>
      <c r="M77">
        <v>-0.25605671541810798</v>
      </c>
      <c r="N77">
        <v>-5.9420249012609401E-2</v>
      </c>
      <c r="O77">
        <v>11</v>
      </c>
      <c r="P77">
        <v>7</v>
      </c>
    </row>
    <row r="78" spans="1:16" x14ac:dyDescent="0.25">
      <c r="A78" t="s">
        <v>564</v>
      </c>
      <c r="B78" t="s">
        <v>59</v>
      </c>
      <c r="C78" t="s">
        <v>68</v>
      </c>
      <c r="D78" t="s">
        <v>70</v>
      </c>
      <c r="E78" t="s">
        <v>707</v>
      </c>
      <c r="F78">
        <v>11395</v>
      </c>
      <c r="G78">
        <v>9456</v>
      </c>
      <c r="M78">
        <v>-0.170162351908731</v>
      </c>
      <c r="O78">
        <v>12</v>
      </c>
      <c r="P78">
        <v>10</v>
      </c>
    </row>
    <row r="79" spans="1:16" x14ac:dyDescent="0.25">
      <c r="A79" t="s">
        <v>564</v>
      </c>
      <c r="B79" t="s">
        <v>59</v>
      </c>
      <c r="C79" t="s">
        <v>72</v>
      </c>
      <c r="D79" t="s">
        <v>74</v>
      </c>
      <c r="E79" t="s">
        <v>708</v>
      </c>
      <c r="F79">
        <v>8042</v>
      </c>
      <c r="G79">
        <v>3551</v>
      </c>
      <c r="M79">
        <v>-0.55844317333996496</v>
      </c>
      <c r="O79">
        <v>13</v>
      </c>
      <c r="P79">
        <v>6</v>
      </c>
    </row>
    <row r="80" spans="1:16" x14ac:dyDescent="0.25">
      <c r="A80" t="s">
        <v>564</v>
      </c>
      <c r="B80" t="s">
        <v>59</v>
      </c>
      <c r="C80" t="s">
        <v>64</v>
      </c>
      <c r="D80" t="s">
        <v>67</v>
      </c>
      <c r="E80" t="s">
        <v>709</v>
      </c>
      <c r="F80">
        <v>733</v>
      </c>
      <c r="G80">
        <v>256</v>
      </c>
      <c r="H80">
        <v>3.8199181446111799E-2</v>
      </c>
      <c r="I80">
        <v>4.296875E-2</v>
      </c>
      <c r="J80">
        <v>28</v>
      </c>
      <c r="K80">
        <v>11</v>
      </c>
      <c r="L80">
        <v>-0.60714285714285698</v>
      </c>
      <c r="M80">
        <v>-0.65075034106412</v>
      </c>
      <c r="N80">
        <v>4.7695685538881299E-3</v>
      </c>
      <c r="O80">
        <v>14</v>
      </c>
      <c r="P80">
        <v>5</v>
      </c>
    </row>
    <row r="81" spans="1:16" x14ac:dyDescent="0.25">
      <c r="A81" t="s">
        <v>564</v>
      </c>
      <c r="B81" t="s">
        <v>59</v>
      </c>
      <c r="C81" t="s">
        <v>72</v>
      </c>
      <c r="D81" t="s">
        <v>75</v>
      </c>
      <c r="E81" t="s">
        <v>710</v>
      </c>
      <c r="F81">
        <v>210</v>
      </c>
      <c r="G81">
        <v>164</v>
      </c>
      <c r="M81">
        <v>-0.21904761904761899</v>
      </c>
      <c r="O81">
        <v>15</v>
      </c>
      <c r="P81">
        <v>8</v>
      </c>
    </row>
  </sheetData>
  <autoFilter ref="A1:P87" xr:uid="{00000000-0009-0000-0000-000004000000}">
    <sortState ref="A2:P87">
      <sortCondition descending="1" ref="G1:G87"/>
    </sortState>
  </autoFilter>
  <phoneticPr fontId="22" type="noConversion"/>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3"/>
  <sheetViews>
    <sheetView topLeftCell="D1" workbookViewId="0">
      <selection activeCell="S1" sqref="S1"/>
    </sheetView>
  </sheetViews>
  <sheetFormatPr defaultColWidth="8.81640625" defaultRowHeight="14" x14ac:dyDescent="0.25"/>
  <cols>
    <col min="3" max="3" width="15.453125" customWidth="1"/>
  </cols>
  <sheetData>
    <row r="1" spans="1:18" x14ac:dyDescent="0.25">
      <c r="A1" t="s">
        <v>482</v>
      </c>
      <c r="B1" t="s">
        <v>711</v>
      </c>
      <c r="C1" t="s">
        <v>712</v>
      </c>
      <c r="D1" t="s">
        <v>17</v>
      </c>
      <c r="E1" t="s">
        <v>18</v>
      </c>
      <c r="F1" t="s">
        <v>713</v>
      </c>
      <c r="G1" t="s">
        <v>21</v>
      </c>
      <c r="H1" t="s">
        <v>22</v>
      </c>
      <c r="I1" t="s">
        <v>483</v>
      </c>
      <c r="J1" t="s">
        <v>484</v>
      </c>
      <c r="K1" t="s">
        <v>714</v>
      </c>
      <c r="L1" t="s">
        <v>487</v>
      </c>
      <c r="M1" t="s">
        <v>488</v>
      </c>
      <c r="N1" t="s">
        <v>490</v>
      </c>
      <c r="O1" t="s">
        <v>491</v>
      </c>
      <c r="P1" t="s">
        <v>715</v>
      </c>
      <c r="Q1" t="s">
        <v>494</v>
      </c>
      <c r="R1" t="s">
        <v>495</v>
      </c>
    </row>
    <row r="2" spans="1:18" x14ac:dyDescent="0.25">
      <c r="A2" t="s">
        <v>541</v>
      </c>
      <c r="B2" t="s">
        <v>29</v>
      </c>
      <c r="C2" t="s">
        <v>716</v>
      </c>
      <c r="D2">
        <v>10624022</v>
      </c>
      <c r="E2">
        <v>27656</v>
      </c>
      <c r="F2">
        <v>217181</v>
      </c>
      <c r="G2">
        <v>0.1273</v>
      </c>
      <c r="H2">
        <v>384</v>
      </c>
    </row>
    <row r="3" spans="1:18" x14ac:dyDescent="0.25">
      <c r="A3" t="s">
        <v>542</v>
      </c>
      <c r="B3" t="s">
        <v>29</v>
      </c>
      <c r="C3" t="s">
        <v>717</v>
      </c>
      <c r="D3">
        <v>8444137</v>
      </c>
      <c r="E3">
        <v>23426</v>
      </c>
      <c r="F3">
        <v>187772</v>
      </c>
      <c r="G3">
        <v>0.12479999999999999</v>
      </c>
      <c r="H3">
        <v>360</v>
      </c>
    </row>
    <row r="4" spans="1:18" x14ac:dyDescent="0.25">
      <c r="A4" t="s">
        <v>543</v>
      </c>
      <c r="B4" t="s">
        <v>29</v>
      </c>
      <c r="C4" t="s">
        <v>718</v>
      </c>
      <c r="D4">
        <v>20044319</v>
      </c>
      <c r="E4">
        <v>49826</v>
      </c>
      <c r="F4">
        <v>237466</v>
      </c>
      <c r="G4">
        <v>0.20979999999999999</v>
      </c>
      <c r="H4">
        <v>402</v>
      </c>
    </row>
    <row r="5" spans="1:18" x14ac:dyDescent="0.25">
      <c r="A5" t="s">
        <v>544</v>
      </c>
      <c r="B5" t="s">
        <v>29</v>
      </c>
      <c r="C5" t="s">
        <v>719</v>
      </c>
      <c r="D5">
        <v>8956198</v>
      </c>
      <c r="E5">
        <v>24746</v>
      </c>
      <c r="F5">
        <v>203219</v>
      </c>
      <c r="G5">
        <v>0.12180000000000001</v>
      </c>
      <c r="H5">
        <v>362</v>
      </c>
    </row>
    <row r="6" spans="1:18" x14ac:dyDescent="0.25">
      <c r="A6" t="s">
        <v>545</v>
      </c>
      <c r="B6" t="s">
        <v>29</v>
      </c>
      <c r="C6" t="s">
        <v>720</v>
      </c>
      <c r="D6">
        <v>27414019</v>
      </c>
      <c r="E6">
        <v>57958</v>
      </c>
      <c r="F6">
        <v>324464</v>
      </c>
      <c r="G6">
        <v>0.17860000000000001</v>
      </c>
      <c r="H6">
        <v>473</v>
      </c>
    </row>
    <row r="7" spans="1:18" x14ac:dyDescent="0.25">
      <c r="A7" t="s">
        <v>546</v>
      </c>
      <c r="B7" t="s">
        <v>29</v>
      </c>
      <c r="C7" t="s">
        <v>721</v>
      </c>
      <c r="D7">
        <v>27935889</v>
      </c>
      <c r="E7">
        <v>59632</v>
      </c>
      <c r="F7">
        <v>324032</v>
      </c>
      <c r="G7">
        <v>0.184</v>
      </c>
      <c r="H7">
        <v>468</v>
      </c>
    </row>
    <row r="8" spans="1:18" x14ac:dyDescent="0.25">
      <c r="A8" t="s">
        <v>547</v>
      </c>
      <c r="B8" t="s">
        <v>29</v>
      </c>
      <c r="C8" t="s">
        <v>722</v>
      </c>
      <c r="D8">
        <v>7666699</v>
      </c>
      <c r="E8">
        <v>20692</v>
      </c>
      <c r="F8">
        <v>139339</v>
      </c>
      <c r="G8">
        <v>0.14849999999999999</v>
      </c>
      <c r="H8">
        <v>371</v>
      </c>
    </row>
    <row r="9" spans="1:18" x14ac:dyDescent="0.25">
      <c r="A9" t="s">
        <v>548</v>
      </c>
      <c r="B9" t="s">
        <v>29</v>
      </c>
      <c r="C9" t="s">
        <v>723</v>
      </c>
      <c r="D9">
        <v>8554139</v>
      </c>
      <c r="E9">
        <v>22726</v>
      </c>
      <c r="F9">
        <v>173220</v>
      </c>
      <c r="G9">
        <v>0.13120000000000001</v>
      </c>
      <c r="H9">
        <v>376</v>
      </c>
    </row>
    <row r="10" spans="1:18" x14ac:dyDescent="0.25">
      <c r="A10" t="s">
        <v>549</v>
      </c>
      <c r="B10" t="s">
        <v>29</v>
      </c>
      <c r="C10" t="s">
        <v>724</v>
      </c>
      <c r="D10">
        <v>14259822</v>
      </c>
      <c r="E10">
        <v>34949</v>
      </c>
      <c r="F10">
        <v>303787</v>
      </c>
      <c r="G10">
        <v>0.115</v>
      </c>
      <c r="H10">
        <v>408</v>
      </c>
    </row>
    <row r="11" spans="1:18" x14ac:dyDescent="0.25">
      <c r="A11" t="s">
        <v>550</v>
      </c>
      <c r="B11" t="s">
        <v>29</v>
      </c>
      <c r="C11" t="s">
        <v>725</v>
      </c>
      <c r="D11">
        <v>35535312</v>
      </c>
      <c r="E11">
        <v>70735</v>
      </c>
      <c r="F11">
        <v>624955</v>
      </c>
      <c r="G11">
        <v>0.1132</v>
      </c>
      <c r="H11">
        <v>502</v>
      </c>
    </row>
    <row r="12" spans="1:18" x14ac:dyDescent="0.25">
      <c r="A12" t="s">
        <v>551</v>
      </c>
      <c r="B12" t="s">
        <v>29</v>
      </c>
      <c r="C12" t="s">
        <v>726</v>
      </c>
      <c r="D12">
        <v>32754383</v>
      </c>
      <c r="E12">
        <v>67891</v>
      </c>
      <c r="F12">
        <v>603546</v>
      </c>
      <c r="G12">
        <v>0.1125</v>
      </c>
      <c r="H12">
        <v>482</v>
      </c>
    </row>
    <row r="13" spans="1:18" x14ac:dyDescent="0.25">
      <c r="A13" t="s">
        <v>552</v>
      </c>
      <c r="B13" t="s">
        <v>29</v>
      </c>
      <c r="C13" t="s">
        <v>727</v>
      </c>
      <c r="D13">
        <v>14300480</v>
      </c>
      <c r="E13">
        <v>32102</v>
      </c>
      <c r="F13">
        <v>445167</v>
      </c>
      <c r="G13">
        <v>7.2099999999999997E-2</v>
      </c>
      <c r="H13">
        <v>445</v>
      </c>
    </row>
    <row r="14" spans="1:18" x14ac:dyDescent="0.25">
      <c r="A14" t="s">
        <v>553</v>
      </c>
      <c r="B14" t="s">
        <v>29</v>
      </c>
      <c r="C14" t="s">
        <v>728</v>
      </c>
      <c r="D14">
        <v>5583971</v>
      </c>
      <c r="E14">
        <v>13967</v>
      </c>
      <c r="F14">
        <v>330688</v>
      </c>
      <c r="G14">
        <v>4.2200000000000001E-2</v>
      </c>
      <c r="H14">
        <v>400</v>
      </c>
      <c r="I14">
        <v>10624022</v>
      </c>
      <c r="J14">
        <v>27656</v>
      </c>
      <c r="K14">
        <v>217181</v>
      </c>
      <c r="L14">
        <v>0.1273</v>
      </c>
      <c r="M14">
        <v>384</v>
      </c>
      <c r="N14">
        <v>-0.47439999999999999</v>
      </c>
      <c r="O14">
        <v>-0.495</v>
      </c>
      <c r="P14">
        <v>0.52259999999999995</v>
      </c>
      <c r="Q14">
        <v>-8.5099999999999995E-2</v>
      </c>
      <c r="R14">
        <v>4.1099999999999998E-2</v>
      </c>
    </row>
    <row r="15" spans="1:18" x14ac:dyDescent="0.25">
      <c r="A15" t="s">
        <v>554</v>
      </c>
      <c r="B15" t="s">
        <v>29</v>
      </c>
      <c r="C15" t="s">
        <v>729</v>
      </c>
      <c r="D15">
        <v>6996637</v>
      </c>
      <c r="E15">
        <v>18068</v>
      </c>
      <c r="F15">
        <v>158885</v>
      </c>
      <c r="G15">
        <v>0.1137</v>
      </c>
      <c r="H15">
        <v>387</v>
      </c>
      <c r="I15">
        <v>8444137</v>
      </c>
      <c r="J15">
        <v>23426</v>
      </c>
      <c r="K15">
        <v>187772</v>
      </c>
      <c r="L15">
        <v>0.12479999999999999</v>
      </c>
      <c r="M15">
        <v>360</v>
      </c>
      <c r="N15">
        <v>-0.1714</v>
      </c>
      <c r="O15">
        <v>-0.22869999999999999</v>
      </c>
      <c r="P15">
        <v>-0.15379999999999999</v>
      </c>
      <c r="Q15">
        <v>-1.0999999999999999E-2</v>
      </c>
      <c r="R15">
        <v>7.5700000000000003E-2</v>
      </c>
    </row>
    <row r="16" spans="1:18" x14ac:dyDescent="0.25">
      <c r="A16" t="s">
        <v>555</v>
      </c>
      <c r="B16" t="s">
        <v>29</v>
      </c>
      <c r="C16" t="s">
        <v>730</v>
      </c>
      <c r="D16">
        <v>15765774</v>
      </c>
      <c r="E16">
        <v>35243</v>
      </c>
      <c r="F16">
        <v>230234</v>
      </c>
      <c r="G16">
        <v>0.15310000000000001</v>
      </c>
      <c r="H16">
        <v>447</v>
      </c>
      <c r="I16">
        <v>20044319</v>
      </c>
      <c r="J16">
        <v>49826</v>
      </c>
      <c r="K16">
        <v>237466</v>
      </c>
      <c r="L16">
        <v>0.20979999999999999</v>
      </c>
      <c r="M16">
        <v>402</v>
      </c>
      <c r="N16">
        <v>-0.2135</v>
      </c>
      <c r="O16">
        <v>-0.29270000000000002</v>
      </c>
      <c r="P16">
        <v>-3.0499999999999999E-2</v>
      </c>
      <c r="Q16">
        <v>-5.67E-2</v>
      </c>
      <c r="R16">
        <v>0.1128</v>
      </c>
    </row>
    <row r="17" spans="1:18" x14ac:dyDescent="0.25">
      <c r="A17" t="s">
        <v>556</v>
      </c>
      <c r="B17" t="s">
        <v>29</v>
      </c>
      <c r="C17" t="s">
        <v>731</v>
      </c>
      <c r="D17">
        <v>7662239</v>
      </c>
      <c r="E17">
        <v>19990</v>
      </c>
      <c r="F17">
        <v>257987</v>
      </c>
      <c r="G17">
        <v>7.7499999999999999E-2</v>
      </c>
      <c r="H17">
        <v>383</v>
      </c>
      <c r="I17">
        <v>8956198</v>
      </c>
      <c r="J17">
        <v>24746</v>
      </c>
      <c r="K17">
        <v>203219</v>
      </c>
      <c r="L17">
        <v>0.12180000000000001</v>
      </c>
      <c r="M17">
        <v>362</v>
      </c>
      <c r="N17">
        <v>-0.14449999999999999</v>
      </c>
      <c r="O17">
        <v>-0.19220000000000001</v>
      </c>
      <c r="P17">
        <v>0.26950000000000002</v>
      </c>
      <c r="Q17">
        <v>-4.4299999999999999E-2</v>
      </c>
      <c r="R17">
        <v>5.8799999999999998E-2</v>
      </c>
    </row>
    <row r="18" spans="1:18" x14ac:dyDescent="0.25">
      <c r="A18" t="s">
        <v>557</v>
      </c>
      <c r="B18" t="s">
        <v>29</v>
      </c>
      <c r="C18" t="s">
        <v>732</v>
      </c>
      <c r="D18">
        <v>19219594</v>
      </c>
      <c r="E18">
        <v>46966</v>
      </c>
      <c r="F18">
        <v>476226</v>
      </c>
      <c r="G18">
        <v>9.8599999999999993E-2</v>
      </c>
      <c r="H18">
        <v>409</v>
      </c>
      <c r="I18">
        <v>27414019</v>
      </c>
      <c r="J18">
        <v>57958</v>
      </c>
      <c r="K18">
        <v>324464</v>
      </c>
      <c r="L18">
        <v>0.17860000000000001</v>
      </c>
      <c r="M18">
        <v>473</v>
      </c>
      <c r="N18">
        <v>-0.2989</v>
      </c>
      <c r="O18">
        <v>-0.18970000000000001</v>
      </c>
      <c r="P18">
        <v>0.4677</v>
      </c>
      <c r="Q18">
        <v>-0.08</v>
      </c>
      <c r="R18">
        <v>-0.1348</v>
      </c>
    </row>
    <row r="19" spans="1:18" x14ac:dyDescent="0.25">
      <c r="A19" t="s">
        <v>558</v>
      </c>
      <c r="B19" t="s">
        <v>29</v>
      </c>
      <c r="C19" t="s">
        <v>733</v>
      </c>
      <c r="D19">
        <v>23620254</v>
      </c>
      <c r="E19">
        <v>50717</v>
      </c>
      <c r="F19">
        <v>669471</v>
      </c>
      <c r="G19">
        <v>7.5800000000000006E-2</v>
      </c>
      <c r="H19">
        <v>466</v>
      </c>
      <c r="I19">
        <v>27935889</v>
      </c>
      <c r="J19">
        <v>59632</v>
      </c>
      <c r="K19">
        <v>324032</v>
      </c>
      <c r="L19">
        <v>0.184</v>
      </c>
      <c r="M19">
        <v>468</v>
      </c>
      <c r="N19">
        <v>-0.1545</v>
      </c>
      <c r="O19">
        <v>-0.14949999999999999</v>
      </c>
      <c r="P19">
        <v>1.0661</v>
      </c>
      <c r="Q19">
        <v>-0.10829999999999999</v>
      </c>
      <c r="R19">
        <v>-5.8999999999999999E-3</v>
      </c>
    </row>
    <row r="20" spans="1:18" x14ac:dyDescent="0.25">
      <c r="A20" t="s">
        <v>559</v>
      </c>
      <c r="B20" t="s">
        <v>29</v>
      </c>
      <c r="C20" t="s">
        <v>734</v>
      </c>
      <c r="D20">
        <v>5249466</v>
      </c>
      <c r="E20">
        <v>14732</v>
      </c>
      <c r="F20">
        <v>127800</v>
      </c>
      <c r="G20">
        <v>0.1153</v>
      </c>
      <c r="H20">
        <v>356</v>
      </c>
      <c r="I20">
        <v>7666699</v>
      </c>
      <c r="J20">
        <v>20692</v>
      </c>
      <c r="K20">
        <v>139339</v>
      </c>
      <c r="L20">
        <v>0.14849999999999999</v>
      </c>
      <c r="M20">
        <v>371</v>
      </c>
      <c r="N20">
        <v>-0.31530000000000002</v>
      </c>
      <c r="O20">
        <v>-0.28799999999999998</v>
      </c>
      <c r="P20">
        <v>-8.2799999999999999E-2</v>
      </c>
      <c r="Q20">
        <v>-3.32E-2</v>
      </c>
      <c r="R20">
        <v>-3.8300000000000001E-2</v>
      </c>
    </row>
    <row r="21" spans="1:18" x14ac:dyDescent="0.25">
      <c r="A21" t="s">
        <v>560</v>
      </c>
      <c r="B21" t="s">
        <v>29</v>
      </c>
      <c r="C21" t="s">
        <v>735</v>
      </c>
      <c r="D21">
        <v>8240139</v>
      </c>
      <c r="E21">
        <v>21569</v>
      </c>
      <c r="F21">
        <v>181951</v>
      </c>
      <c r="G21">
        <v>0.11849999999999999</v>
      </c>
      <c r="H21">
        <v>382</v>
      </c>
      <c r="I21">
        <v>8554139</v>
      </c>
      <c r="J21">
        <v>22726</v>
      </c>
      <c r="K21">
        <v>173220</v>
      </c>
      <c r="L21">
        <v>0.13120000000000001</v>
      </c>
      <c r="M21">
        <v>376</v>
      </c>
      <c r="N21">
        <v>-3.6700000000000003E-2</v>
      </c>
      <c r="O21">
        <v>-5.0900000000000001E-2</v>
      </c>
      <c r="P21">
        <v>5.04E-2</v>
      </c>
      <c r="Q21">
        <v>-1.2699999999999999E-2</v>
      </c>
      <c r="R21">
        <v>1.4999999999999999E-2</v>
      </c>
    </row>
    <row r="22" spans="1:18" x14ac:dyDescent="0.25">
      <c r="A22" t="s">
        <v>561</v>
      </c>
      <c r="B22" t="s">
        <v>29</v>
      </c>
      <c r="C22" t="s">
        <v>736</v>
      </c>
      <c r="D22">
        <v>8922708</v>
      </c>
      <c r="E22">
        <v>22475</v>
      </c>
      <c r="F22">
        <v>207173</v>
      </c>
      <c r="G22">
        <v>0.1085</v>
      </c>
      <c r="H22">
        <v>397</v>
      </c>
      <c r="I22">
        <v>14259822</v>
      </c>
      <c r="J22">
        <v>34949</v>
      </c>
      <c r="K22">
        <v>303787</v>
      </c>
      <c r="L22">
        <v>0.115</v>
      </c>
      <c r="M22">
        <v>408</v>
      </c>
      <c r="N22">
        <v>-0.37430000000000002</v>
      </c>
      <c r="O22">
        <v>-0.3569</v>
      </c>
      <c r="P22">
        <v>-0.318</v>
      </c>
      <c r="Q22">
        <v>-6.6E-3</v>
      </c>
      <c r="R22">
        <v>-2.7E-2</v>
      </c>
    </row>
    <row r="23" spans="1:18" x14ac:dyDescent="0.25">
      <c r="A23" t="s">
        <v>562</v>
      </c>
      <c r="B23" t="s">
        <v>29</v>
      </c>
      <c r="C23" t="s">
        <v>737</v>
      </c>
      <c r="D23">
        <v>24708346</v>
      </c>
      <c r="E23">
        <v>52710</v>
      </c>
      <c r="F23">
        <v>626836</v>
      </c>
      <c r="G23">
        <v>8.4099999999999994E-2</v>
      </c>
      <c r="H23">
        <v>469</v>
      </c>
      <c r="I23">
        <v>35535312</v>
      </c>
      <c r="J23">
        <v>70735</v>
      </c>
      <c r="K23">
        <v>624955</v>
      </c>
      <c r="L23">
        <v>0.1132</v>
      </c>
      <c r="M23">
        <v>502</v>
      </c>
      <c r="N23">
        <v>-0.30470000000000003</v>
      </c>
      <c r="O23">
        <v>-0.25480000000000003</v>
      </c>
      <c r="P23">
        <v>3.0000000000000001E-3</v>
      </c>
      <c r="Q23">
        <v>-2.9100000000000001E-2</v>
      </c>
      <c r="R23">
        <v>-6.6900000000000001E-2</v>
      </c>
    </row>
    <row r="24" spans="1:18" x14ac:dyDescent="0.25">
      <c r="A24" t="s">
        <v>563</v>
      </c>
      <c r="B24" t="s">
        <v>29</v>
      </c>
      <c r="C24" t="s">
        <v>738</v>
      </c>
      <c r="D24">
        <v>24729727</v>
      </c>
      <c r="E24">
        <v>51123</v>
      </c>
      <c r="F24">
        <v>536192</v>
      </c>
      <c r="G24">
        <v>9.5299999999999996E-2</v>
      </c>
      <c r="H24">
        <v>484</v>
      </c>
      <c r="I24">
        <v>32754383</v>
      </c>
      <c r="J24">
        <v>67891</v>
      </c>
      <c r="K24">
        <v>603546</v>
      </c>
      <c r="L24">
        <v>0.1125</v>
      </c>
      <c r="M24">
        <v>482</v>
      </c>
      <c r="N24">
        <v>-0.245</v>
      </c>
      <c r="O24">
        <v>-0.247</v>
      </c>
      <c r="P24">
        <v>-0.1116</v>
      </c>
      <c r="Q24">
        <v>-1.7100000000000001E-2</v>
      </c>
      <c r="R24">
        <v>2.5999999999999999E-3</v>
      </c>
    </row>
    <row r="25" spans="1:18" x14ac:dyDescent="0.25">
      <c r="A25" t="s">
        <v>564</v>
      </c>
      <c r="B25" t="s">
        <v>29</v>
      </c>
      <c r="C25" t="s">
        <v>739</v>
      </c>
      <c r="D25">
        <v>6243181</v>
      </c>
      <c r="E25">
        <v>17826</v>
      </c>
      <c r="F25">
        <v>229306</v>
      </c>
      <c r="G25">
        <v>7.7700000000000005E-2</v>
      </c>
      <c r="H25">
        <v>350</v>
      </c>
      <c r="I25">
        <v>14300480</v>
      </c>
      <c r="J25">
        <v>32102</v>
      </c>
      <c r="K25">
        <v>445167</v>
      </c>
      <c r="L25">
        <v>7.2099999999999997E-2</v>
      </c>
      <c r="M25">
        <v>445</v>
      </c>
      <c r="N25">
        <v>-0.56340000000000001</v>
      </c>
      <c r="O25">
        <v>-0.44469999999999998</v>
      </c>
      <c r="P25">
        <v>-0.4849</v>
      </c>
      <c r="Q25">
        <v>5.5999999999999999E-3</v>
      </c>
      <c r="R25">
        <v>-0.21379999999999999</v>
      </c>
    </row>
    <row r="26" spans="1:18" x14ac:dyDescent="0.25">
      <c r="A26" t="s">
        <v>541</v>
      </c>
      <c r="B26" t="s">
        <v>28</v>
      </c>
      <c r="C26" t="s">
        <v>740</v>
      </c>
      <c r="D26">
        <v>7573774</v>
      </c>
      <c r="E26">
        <v>5056</v>
      </c>
      <c r="F26">
        <v>343930</v>
      </c>
      <c r="G26">
        <v>1.47E-2</v>
      </c>
      <c r="H26">
        <v>1498</v>
      </c>
    </row>
    <row r="27" spans="1:18" x14ac:dyDescent="0.25">
      <c r="A27" t="s">
        <v>542</v>
      </c>
      <c r="B27" t="s">
        <v>28</v>
      </c>
      <c r="C27" t="s">
        <v>741</v>
      </c>
      <c r="D27">
        <v>4987263</v>
      </c>
      <c r="E27">
        <v>3396</v>
      </c>
      <c r="F27">
        <v>197318</v>
      </c>
      <c r="G27">
        <v>1.72E-2</v>
      </c>
      <c r="H27">
        <v>1469</v>
      </c>
    </row>
    <row r="28" spans="1:18" x14ac:dyDescent="0.25">
      <c r="A28" t="s">
        <v>543</v>
      </c>
      <c r="B28" t="s">
        <v>28</v>
      </c>
      <c r="C28" t="s">
        <v>742</v>
      </c>
      <c r="D28">
        <v>8118179</v>
      </c>
      <c r="E28">
        <v>6729</v>
      </c>
      <c r="F28">
        <v>228984</v>
      </c>
      <c r="G28">
        <v>2.9399999999999999E-2</v>
      </c>
      <c r="H28">
        <v>1206</v>
      </c>
    </row>
    <row r="29" spans="1:18" x14ac:dyDescent="0.25">
      <c r="A29" t="s">
        <v>544</v>
      </c>
      <c r="B29" t="s">
        <v>28</v>
      </c>
      <c r="C29" t="s">
        <v>743</v>
      </c>
      <c r="D29">
        <v>3837444</v>
      </c>
      <c r="E29">
        <v>2751</v>
      </c>
      <c r="F29">
        <v>177048</v>
      </c>
      <c r="G29">
        <v>1.55E-2</v>
      </c>
      <c r="H29">
        <v>1395</v>
      </c>
    </row>
    <row r="30" spans="1:18" x14ac:dyDescent="0.25">
      <c r="A30" t="s">
        <v>545</v>
      </c>
      <c r="B30" t="s">
        <v>28</v>
      </c>
      <c r="C30" t="s">
        <v>744</v>
      </c>
      <c r="D30">
        <v>12286956</v>
      </c>
      <c r="E30">
        <v>10629</v>
      </c>
      <c r="F30">
        <v>384204</v>
      </c>
      <c r="G30">
        <v>2.7699999999999999E-2</v>
      </c>
      <c r="H30">
        <v>1156</v>
      </c>
    </row>
    <row r="31" spans="1:18" x14ac:dyDescent="0.25">
      <c r="A31" t="s">
        <v>546</v>
      </c>
      <c r="B31" t="s">
        <v>28</v>
      </c>
      <c r="C31" t="s">
        <v>745</v>
      </c>
      <c r="D31">
        <v>19112656</v>
      </c>
      <c r="E31">
        <v>14417</v>
      </c>
      <c r="F31">
        <v>564367</v>
      </c>
      <c r="G31">
        <v>2.5499999999999998E-2</v>
      </c>
      <c r="H31">
        <v>1326</v>
      </c>
    </row>
    <row r="32" spans="1:18" x14ac:dyDescent="0.25">
      <c r="A32" t="s">
        <v>547</v>
      </c>
      <c r="B32" t="s">
        <v>28</v>
      </c>
      <c r="C32" t="s">
        <v>746</v>
      </c>
      <c r="D32">
        <v>3617627</v>
      </c>
      <c r="E32">
        <v>2632</v>
      </c>
      <c r="F32">
        <v>138343</v>
      </c>
      <c r="G32">
        <v>1.9E-2</v>
      </c>
      <c r="H32">
        <v>1374</v>
      </c>
    </row>
    <row r="33" spans="1:18" x14ac:dyDescent="0.25">
      <c r="A33" t="s">
        <v>548</v>
      </c>
      <c r="B33" t="s">
        <v>28</v>
      </c>
      <c r="C33" t="s">
        <v>747</v>
      </c>
      <c r="D33">
        <v>5237200</v>
      </c>
      <c r="E33">
        <v>4254</v>
      </c>
      <c r="F33">
        <v>293437</v>
      </c>
      <c r="G33">
        <v>1.4500000000000001E-2</v>
      </c>
      <c r="H33">
        <v>1231</v>
      </c>
    </row>
    <row r="34" spans="1:18" x14ac:dyDescent="0.25">
      <c r="A34" t="s">
        <v>549</v>
      </c>
      <c r="B34" t="s">
        <v>28</v>
      </c>
      <c r="C34" t="s">
        <v>748</v>
      </c>
      <c r="D34">
        <v>8825401</v>
      </c>
      <c r="E34">
        <v>7585</v>
      </c>
      <c r="F34">
        <v>377817</v>
      </c>
      <c r="G34">
        <v>2.01E-2</v>
      </c>
      <c r="H34">
        <v>1164</v>
      </c>
    </row>
    <row r="35" spans="1:18" x14ac:dyDescent="0.25">
      <c r="A35" t="s">
        <v>550</v>
      </c>
      <c r="B35" t="s">
        <v>28</v>
      </c>
      <c r="C35" t="s">
        <v>749</v>
      </c>
      <c r="D35">
        <v>16268726</v>
      </c>
      <c r="E35">
        <v>13923</v>
      </c>
      <c r="F35">
        <v>1237108</v>
      </c>
      <c r="G35">
        <v>1.1299999999999999E-2</v>
      </c>
      <c r="H35">
        <v>1168</v>
      </c>
    </row>
    <row r="36" spans="1:18" x14ac:dyDescent="0.25">
      <c r="A36" t="s">
        <v>551</v>
      </c>
      <c r="B36" t="s">
        <v>28</v>
      </c>
      <c r="C36" t="s">
        <v>750</v>
      </c>
      <c r="D36">
        <v>20131609</v>
      </c>
      <c r="E36">
        <v>15603</v>
      </c>
      <c r="F36">
        <v>1014950</v>
      </c>
      <c r="G36">
        <v>1.54E-2</v>
      </c>
      <c r="H36">
        <v>1290</v>
      </c>
    </row>
    <row r="37" spans="1:18" x14ac:dyDescent="0.25">
      <c r="A37" t="s">
        <v>552</v>
      </c>
      <c r="B37" t="s">
        <v>28</v>
      </c>
      <c r="C37" t="s">
        <v>751</v>
      </c>
      <c r="D37">
        <v>8411848</v>
      </c>
      <c r="E37">
        <v>6954</v>
      </c>
      <c r="F37">
        <v>476228</v>
      </c>
      <c r="G37">
        <v>1.46E-2</v>
      </c>
      <c r="H37">
        <v>1210</v>
      </c>
    </row>
    <row r="38" spans="1:18" x14ac:dyDescent="0.25">
      <c r="A38" t="s">
        <v>553</v>
      </c>
      <c r="B38" t="s">
        <v>28</v>
      </c>
      <c r="C38" t="s">
        <v>752</v>
      </c>
      <c r="D38">
        <v>4342139</v>
      </c>
      <c r="E38">
        <v>2985</v>
      </c>
      <c r="F38">
        <v>315945</v>
      </c>
      <c r="G38">
        <v>9.4000000000000004E-3</v>
      </c>
      <c r="H38">
        <v>1455</v>
      </c>
      <c r="I38">
        <v>7573774</v>
      </c>
      <c r="J38">
        <v>5056</v>
      </c>
      <c r="K38">
        <v>343930</v>
      </c>
      <c r="L38">
        <v>1.47E-2</v>
      </c>
      <c r="M38">
        <v>1498</v>
      </c>
      <c r="N38">
        <v>-0.42670000000000002</v>
      </c>
      <c r="O38">
        <v>-0.40960000000000002</v>
      </c>
      <c r="P38">
        <v>-8.14E-2</v>
      </c>
      <c r="Q38">
        <v>-5.3E-3</v>
      </c>
      <c r="R38">
        <v>-2.8899999999999999E-2</v>
      </c>
    </row>
    <row r="39" spans="1:18" x14ac:dyDescent="0.25">
      <c r="A39" t="s">
        <v>554</v>
      </c>
      <c r="B39" t="s">
        <v>28</v>
      </c>
      <c r="C39" t="s">
        <v>753</v>
      </c>
      <c r="D39">
        <v>4698419</v>
      </c>
      <c r="E39">
        <v>3201</v>
      </c>
      <c r="F39">
        <v>202961</v>
      </c>
      <c r="G39">
        <v>1.5800000000000002E-2</v>
      </c>
      <c r="H39">
        <v>1468</v>
      </c>
      <c r="I39">
        <v>4987263</v>
      </c>
      <c r="J39">
        <v>3396</v>
      </c>
      <c r="K39">
        <v>197318</v>
      </c>
      <c r="L39">
        <v>1.72E-2</v>
      </c>
      <c r="M39">
        <v>1469</v>
      </c>
      <c r="N39">
        <v>-5.79E-2</v>
      </c>
      <c r="O39">
        <v>-5.74E-2</v>
      </c>
      <c r="P39">
        <v>2.86E-2</v>
      </c>
      <c r="Q39">
        <v>-1.4E-3</v>
      </c>
      <c r="R39">
        <v>-8.0000000000000004E-4</v>
      </c>
    </row>
    <row r="40" spans="1:18" x14ac:dyDescent="0.25">
      <c r="A40" t="s">
        <v>555</v>
      </c>
      <c r="B40" t="s">
        <v>28</v>
      </c>
      <c r="C40" t="s">
        <v>754</v>
      </c>
      <c r="D40">
        <v>6979963</v>
      </c>
      <c r="E40">
        <v>5117</v>
      </c>
      <c r="F40">
        <v>261856</v>
      </c>
      <c r="G40">
        <v>1.95E-2</v>
      </c>
      <c r="H40">
        <v>1364</v>
      </c>
      <c r="I40">
        <v>8118179</v>
      </c>
      <c r="J40">
        <v>6729</v>
      </c>
      <c r="K40">
        <v>228984</v>
      </c>
      <c r="L40">
        <v>2.9399999999999999E-2</v>
      </c>
      <c r="M40">
        <v>1206</v>
      </c>
      <c r="N40">
        <v>-0.14019999999999999</v>
      </c>
      <c r="O40">
        <v>-0.23960000000000001</v>
      </c>
      <c r="P40">
        <v>0.14360000000000001</v>
      </c>
      <c r="Q40">
        <v>-9.7999999999999997E-3</v>
      </c>
      <c r="R40">
        <v>0.13109999999999999</v>
      </c>
    </row>
    <row r="41" spans="1:18" x14ac:dyDescent="0.25">
      <c r="A41" t="s">
        <v>556</v>
      </c>
      <c r="B41" t="s">
        <v>28</v>
      </c>
      <c r="C41" t="s">
        <v>755</v>
      </c>
      <c r="D41">
        <v>5519409</v>
      </c>
      <c r="E41">
        <v>3994</v>
      </c>
      <c r="F41">
        <v>5271802</v>
      </c>
      <c r="G41">
        <v>8.0000000000000004E-4</v>
      </c>
      <c r="H41">
        <v>1382</v>
      </c>
      <c r="I41">
        <v>3837444</v>
      </c>
      <c r="J41">
        <v>2751</v>
      </c>
      <c r="K41">
        <v>177048</v>
      </c>
      <c r="L41">
        <v>1.55E-2</v>
      </c>
      <c r="M41">
        <v>1395</v>
      </c>
      <c r="N41">
        <v>0.43830000000000002</v>
      </c>
      <c r="O41">
        <v>0.45179999999999998</v>
      </c>
      <c r="P41">
        <v>28.7761</v>
      </c>
      <c r="Q41">
        <v>-1.4800000000000001E-2</v>
      </c>
      <c r="R41">
        <v>-9.4000000000000004E-3</v>
      </c>
    </row>
    <row r="42" spans="1:18" x14ac:dyDescent="0.25">
      <c r="A42" t="s">
        <v>557</v>
      </c>
      <c r="B42" t="s">
        <v>28</v>
      </c>
      <c r="C42" t="s">
        <v>756</v>
      </c>
      <c r="D42">
        <v>9669213</v>
      </c>
      <c r="E42">
        <v>8969</v>
      </c>
      <c r="F42">
        <v>572396</v>
      </c>
      <c r="G42">
        <v>1.5699999999999999E-2</v>
      </c>
      <c r="H42">
        <v>1078</v>
      </c>
      <c r="I42">
        <v>12286956</v>
      </c>
      <c r="J42">
        <v>10629</v>
      </c>
      <c r="K42">
        <v>384204</v>
      </c>
      <c r="L42">
        <v>2.7699999999999999E-2</v>
      </c>
      <c r="M42">
        <v>1156</v>
      </c>
      <c r="N42">
        <v>-0.21310000000000001</v>
      </c>
      <c r="O42">
        <v>-0.15620000000000001</v>
      </c>
      <c r="P42">
        <v>0.48980000000000001</v>
      </c>
      <c r="Q42">
        <v>-1.2E-2</v>
      </c>
      <c r="R42">
        <v>-6.7400000000000002E-2</v>
      </c>
    </row>
    <row r="43" spans="1:18" x14ac:dyDescent="0.25">
      <c r="A43" t="s">
        <v>558</v>
      </c>
      <c r="B43" t="s">
        <v>28</v>
      </c>
      <c r="C43" t="s">
        <v>757</v>
      </c>
      <c r="D43">
        <v>13463656</v>
      </c>
      <c r="E43">
        <v>11085</v>
      </c>
      <c r="F43">
        <v>747179</v>
      </c>
      <c r="G43">
        <v>1.4800000000000001E-2</v>
      </c>
      <c r="H43">
        <v>1215</v>
      </c>
      <c r="I43">
        <v>19112656</v>
      </c>
      <c r="J43">
        <v>14417</v>
      </c>
      <c r="K43">
        <v>564367</v>
      </c>
      <c r="L43">
        <v>2.5499999999999998E-2</v>
      </c>
      <c r="M43">
        <v>1326</v>
      </c>
      <c r="N43">
        <v>-0.29559999999999997</v>
      </c>
      <c r="O43">
        <v>-0.2311</v>
      </c>
      <c r="P43">
        <v>0.32390000000000002</v>
      </c>
      <c r="Q43">
        <v>-1.0699999999999999E-2</v>
      </c>
      <c r="R43">
        <v>-8.3799999999999999E-2</v>
      </c>
    </row>
    <row r="44" spans="1:18" x14ac:dyDescent="0.25">
      <c r="A44" t="s">
        <v>559</v>
      </c>
      <c r="B44" t="s">
        <v>28</v>
      </c>
      <c r="C44" t="s">
        <v>758</v>
      </c>
      <c r="D44">
        <v>2919505</v>
      </c>
      <c r="E44">
        <v>2215</v>
      </c>
      <c r="F44">
        <v>169417</v>
      </c>
      <c r="G44">
        <v>1.3100000000000001E-2</v>
      </c>
      <c r="H44">
        <v>1318</v>
      </c>
      <c r="I44">
        <v>3617627</v>
      </c>
      <c r="J44">
        <v>2632</v>
      </c>
      <c r="K44">
        <v>138343</v>
      </c>
      <c r="L44">
        <v>1.9E-2</v>
      </c>
      <c r="M44">
        <v>1374</v>
      </c>
      <c r="N44">
        <v>-0.193</v>
      </c>
      <c r="O44">
        <v>-0.15840000000000001</v>
      </c>
      <c r="P44">
        <v>0.22459999999999999</v>
      </c>
      <c r="Q44">
        <v>-6.0000000000000001E-3</v>
      </c>
      <c r="R44">
        <v>-4.1000000000000002E-2</v>
      </c>
    </row>
    <row r="45" spans="1:18" x14ac:dyDescent="0.25">
      <c r="A45" t="s">
        <v>560</v>
      </c>
      <c r="B45" t="s">
        <v>28</v>
      </c>
      <c r="C45" t="s">
        <v>759</v>
      </c>
      <c r="D45">
        <v>4150051</v>
      </c>
      <c r="E45">
        <v>3079</v>
      </c>
      <c r="F45">
        <v>222775</v>
      </c>
      <c r="G45">
        <v>1.38E-2</v>
      </c>
      <c r="H45">
        <v>1348</v>
      </c>
      <c r="I45">
        <v>5237200</v>
      </c>
      <c r="J45">
        <v>4254</v>
      </c>
      <c r="K45">
        <v>293437</v>
      </c>
      <c r="L45">
        <v>1.4500000000000001E-2</v>
      </c>
      <c r="M45">
        <v>1231</v>
      </c>
      <c r="N45">
        <v>-0.20760000000000001</v>
      </c>
      <c r="O45">
        <v>-0.2762</v>
      </c>
      <c r="P45">
        <v>-0.24079999999999999</v>
      </c>
      <c r="Q45">
        <v>-6.9999999999999999E-4</v>
      </c>
      <c r="R45">
        <v>9.4799999999999995E-2</v>
      </c>
    </row>
    <row r="46" spans="1:18" x14ac:dyDescent="0.25">
      <c r="A46" t="s">
        <v>561</v>
      </c>
      <c r="B46" t="s">
        <v>28</v>
      </c>
      <c r="C46" t="s">
        <v>760</v>
      </c>
      <c r="D46">
        <v>3853764</v>
      </c>
      <c r="E46">
        <v>3075</v>
      </c>
      <c r="F46">
        <v>220275</v>
      </c>
      <c r="G46">
        <v>1.4E-2</v>
      </c>
      <c r="H46">
        <v>1253</v>
      </c>
      <c r="I46">
        <v>8825401</v>
      </c>
      <c r="J46">
        <v>7585</v>
      </c>
      <c r="K46">
        <v>377817</v>
      </c>
      <c r="L46">
        <v>2.01E-2</v>
      </c>
      <c r="M46">
        <v>1164</v>
      </c>
      <c r="N46">
        <v>-0.56330000000000002</v>
      </c>
      <c r="O46">
        <v>-0.59460000000000002</v>
      </c>
      <c r="P46">
        <v>-0.41699999999999998</v>
      </c>
      <c r="Q46">
        <v>-6.1000000000000004E-3</v>
      </c>
      <c r="R46">
        <v>7.7100000000000002E-2</v>
      </c>
    </row>
    <row r="47" spans="1:18" x14ac:dyDescent="0.25">
      <c r="A47" t="s">
        <v>562</v>
      </c>
      <c r="B47" t="s">
        <v>28</v>
      </c>
      <c r="C47" t="s">
        <v>761</v>
      </c>
      <c r="D47">
        <v>11672199</v>
      </c>
      <c r="E47">
        <v>10240</v>
      </c>
      <c r="F47">
        <v>674470</v>
      </c>
      <c r="G47">
        <v>1.52E-2</v>
      </c>
      <c r="H47">
        <v>1140</v>
      </c>
      <c r="I47">
        <v>16268726</v>
      </c>
      <c r="J47">
        <v>13923</v>
      </c>
      <c r="K47">
        <v>1237108</v>
      </c>
      <c r="L47">
        <v>1.1299999999999999E-2</v>
      </c>
      <c r="M47">
        <v>1168</v>
      </c>
      <c r="N47">
        <v>-0.28249999999999997</v>
      </c>
      <c r="O47">
        <v>-0.26450000000000001</v>
      </c>
      <c r="P47">
        <v>-0.45479999999999998</v>
      </c>
      <c r="Q47">
        <v>3.8999999999999998E-3</v>
      </c>
      <c r="R47">
        <v>-2.4500000000000001E-2</v>
      </c>
    </row>
    <row r="48" spans="1:18" x14ac:dyDescent="0.25">
      <c r="A48" t="s">
        <v>563</v>
      </c>
      <c r="B48" t="s">
        <v>28</v>
      </c>
      <c r="C48" t="s">
        <v>762</v>
      </c>
      <c r="D48">
        <v>15245726</v>
      </c>
      <c r="E48">
        <v>11636</v>
      </c>
      <c r="F48">
        <v>746175</v>
      </c>
      <c r="G48">
        <v>1.5599999999999999E-2</v>
      </c>
      <c r="H48">
        <v>1310</v>
      </c>
      <c r="I48">
        <v>20131609</v>
      </c>
      <c r="J48">
        <v>15603</v>
      </c>
      <c r="K48">
        <v>1014950</v>
      </c>
      <c r="L48">
        <v>1.54E-2</v>
      </c>
      <c r="M48">
        <v>1290</v>
      </c>
      <c r="N48">
        <v>-0.2427</v>
      </c>
      <c r="O48">
        <v>-0.25419999999999998</v>
      </c>
      <c r="P48">
        <v>-0.26479999999999998</v>
      </c>
      <c r="Q48">
        <v>2.0000000000000001E-4</v>
      </c>
      <c r="R48">
        <v>1.55E-2</v>
      </c>
    </row>
    <row r="49" spans="1:18" x14ac:dyDescent="0.25">
      <c r="A49" t="s">
        <v>564</v>
      </c>
      <c r="B49" t="s">
        <v>28</v>
      </c>
      <c r="C49" t="s">
        <v>763</v>
      </c>
      <c r="D49">
        <v>4406802</v>
      </c>
      <c r="E49">
        <v>3003</v>
      </c>
      <c r="F49">
        <v>286638</v>
      </c>
      <c r="G49">
        <v>1.0500000000000001E-2</v>
      </c>
      <c r="H49">
        <v>1467</v>
      </c>
      <c r="I49">
        <v>8411848</v>
      </c>
      <c r="J49">
        <v>6954</v>
      </c>
      <c r="K49">
        <v>476228</v>
      </c>
      <c r="L49">
        <v>1.46E-2</v>
      </c>
      <c r="M49">
        <v>1210</v>
      </c>
      <c r="N49">
        <v>-0.47610000000000002</v>
      </c>
      <c r="O49">
        <v>-0.56820000000000004</v>
      </c>
      <c r="P49">
        <v>-0.39810000000000001</v>
      </c>
      <c r="Q49">
        <v>-4.1000000000000003E-3</v>
      </c>
      <c r="R49">
        <v>0.21310000000000001</v>
      </c>
    </row>
    <row r="50" spans="1:18" x14ac:dyDescent="0.25">
      <c r="A50" t="s">
        <v>541</v>
      </c>
      <c r="B50" t="s">
        <v>30</v>
      </c>
      <c r="C50" t="s">
        <v>764</v>
      </c>
      <c r="D50">
        <v>10327850</v>
      </c>
      <c r="E50">
        <v>26951</v>
      </c>
      <c r="F50">
        <v>215898</v>
      </c>
      <c r="G50">
        <v>0.12479999999999999</v>
      </c>
      <c r="H50">
        <v>383</v>
      </c>
    </row>
    <row r="51" spans="1:18" x14ac:dyDescent="0.25">
      <c r="A51" t="s">
        <v>542</v>
      </c>
      <c r="B51" t="s">
        <v>30</v>
      </c>
      <c r="C51" t="s">
        <v>765</v>
      </c>
      <c r="D51">
        <v>8387276</v>
      </c>
      <c r="E51">
        <v>23326</v>
      </c>
      <c r="F51">
        <v>187323</v>
      </c>
      <c r="G51">
        <v>0.1245</v>
      </c>
      <c r="H51">
        <v>360</v>
      </c>
    </row>
    <row r="52" spans="1:18" x14ac:dyDescent="0.25">
      <c r="A52" t="s">
        <v>543</v>
      </c>
      <c r="B52" t="s">
        <v>30</v>
      </c>
      <c r="C52" t="s">
        <v>766</v>
      </c>
      <c r="D52">
        <v>19940036</v>
      </c>
      <c r="E52">
        <v>49661</v>
      </c>
      <c r="F52">
        <v>236897</v>
      </c>
      <c r="G52">
        <v>0.20960000000000001</v>
      </c>
      <c r="H52">
        <v>402</v>
      </c>
    </row>
    <row r="53" spans="1:18" x14ac:dyDescent="0.25">
      <c r="A53" t="s">
        <v>544</v>
      </c>
      <c r="B53" t="s">
        <v>30</v>
      </c>
      <c r="C53" t="s">
        <v>767</v>
      </c>
      <c r="D53">
        <v>8907352</v>
      </c>
      <c r="E53">
        <v>24669</v>
      </c>
      <c r="F53">
        <v>202766</v>
      </c>
      <c r="G53">
        <v>0.1217</v>
      </c>
      <c r="H53">
        <v>361</v>
      </c>
    </row>
    <row r="54" spans="1:18" x14ac:dyDescent="0.25">
      <c r="A54" t="s">
        <v>545</v>
      </c>
      <c r="B54" t="s">
        <v>30</v>
      </c>
      <c r="C54" t="s">
        <v>768</v>
      </c>
      <c r="D54">
        <v>27342923</v>
      </c>
      <c r="E54">
        <v>57852</v>
      </c>
      <c r="F54">
        <v>323946</v>
      </c>
      <c r="G54">
        <v>0.17860000000000001</v>
      </c>
      <c r="H54">
        <v>473</v>
      </c>
    </row>
    <row r="55" spans="1:18" x14ac:dyDescent="0.25">
      <c r="A55" t="s">
        <v>546</v>
      </c>
      <c r="B55" t="s">
        <v>30</v>
      </c>
      <c r="C55" t="s">
        <v>769</v>
      </c>
      <c r="D55">
        <v>27889768</v>
      </c>
      <c r="E55">
        <v>59479</v>
      </c>
      <c r="F55">
        <v>323527</v>
      </c>
      <c r="G55">
        <v>0.18379999999999999</v>
      </c>
      <c r="H55">
        <v>469</v>
      </c>
    </row>
    <row r="56" spans="1:18" x14ac:dyDescent="0.25">
      <c r="A56" t="s">
        <v>547</v>
      </c>
      <c r="B56" t="s">
        <v>30</v>
      </c>
      <c r="C56" t="s">
        <v>770</v>
      </c>
      <c r="D56">
        <v>7616214</v>
      </c>
      <c r="E56">
        <v>20602</v>
      </c>
      <c r="F56">
        <v>138940</v>
      </c>
      <c r="G56">
        <v>0.14829999999999999</v>
      </c>
      <c r="H56">
        <v>370</v>
      </c>
    </row>
    <row r="57" spans="1:18" x14ac:dyDescent="0.25">
      <c r="A57" t="s">
        <v>548</v>
      </c>
      <c r="B57" t="s">
        <v>30</v>
      </c>
      <c r="C57" t="s">
        <v>771</v>
      </c>
      <c r="D57">
        <v>8476618</v>
      </c>
      <c r="E57">
        <v>22648</v>
      </c>
      <c r="F57">
        <v>172874</v>
      </c>
      <c r="G57">
        <v>0.13100000000000001</v>
      </c>
      <c r="H57">
        <v>374</v>
      </c>
    </row>
    <row r="58" spans="1:18" x14ac:dyDescent="0.25">
      <c r="A58" t="s">
        <v>549</v>
      </c>
      <c r="B58" t="s">
        <v>30</v>
      </c>
      <c r="C58" t="s">
        <v>772</v>
      </c>
      <c r="D58">
        <v>14232303</v>
      </c>
      <c r="E58">
        <v>34845</v>
      </c>
      <c r="F58">
        <v>303401</v>
      </c>
      <c r="G58">
        <v>0.1148</v>
      </c>
      <c r="H58">
        <v>408</v>
      </c>
    </row>
    <row r="59" spans="1:18" x14ac:dyDescent="0.25">
      <c r="A59" t="s">
        <v>550</v>
      </c>
      <c r="B59" t="s">
        <v>30</v>
      </c>
      <c r="C59" t="s">
        <v>773</v>
      </c>
      <c r="D59">
        <v>35445955</v>
      </c>
      <c r="E59">
        <v>70650</v>
      </c>
      <c r="F59">
        <v>624118</v>
      </c>
      <c r="G59">
        <v>0.1132</v>
      </c>
      <c r="H59">
        <v>502</v>
      </c>
    </row>
    <row r="60" spans="1:18" x14ac:dyDescent="0.25">
      <c r="A60" t="s">
        <v>551</v>
      </c>
      <c r="B60" t="s">
        <v>30</v>
      </c>
      <c r="C60" t="s">
        <v>774</v>
      </c>
      <c r="D60">
        <v>32675858</v>
      </c>
      <c r="E60">
        <v>67739</v>
      </c>
      <c r="F60">
        <v>603087</v>
      </c>
      <c r="G60">
        <v>0.1123</v>
      </c>
      <c r="H60">
        <v>482</v>
      </c>
    </row>
    <row r="61" spans="1:18" x14ac:dyDescent="0.25">
      <c r="A61" t="s">
        <v>552</v>
      </c>
      <c r="B61" t="s">
        <v>30</v>
      </c>
      <c r="C61" t="s">
        <v>775</v>
      </c>
      <c r="D61">
        <v>14210983</v>
      </c>
      <c r="E61">
        <v>32010</v>
      </c>
      <c r="F61">
        <v>444811</v>
      </c>
      <c r="G61">
        <v>7.1999999999999995E-2</v>
      </c>
      <c r="H61">
        <v>444</v>
      </c>
    </row>
    <row r="62" spans="1:18" x14ac:dyDescent="0.25">
      <c r="A62" t="s">
        <v>553</v>
      </c>
      <c r="B62" t="s">
        <v>30</v>
      </c>
      <c r="C62" t="s">
        <v>776</v>
      </c>
      <c r="D62">
        <v>5568862</v>
      </c>
      <c r="E62">
        <v>13886</v>
      </c>
      <c r="F62">
        <v>330385</v>
      </c>
      <c r="G62">
        <v>4.2000000000000003E-2</v>
      </c>
      <c r="H62">
        <v>401</v>
      </c>
      <c r="I62">
        <v>10327850</v>
      </c>
      <c r="J62">
        <v>26951</v>
      </c>
      <c r="K62">
        <v>215898</v>
      </c>
      <c r="L62">
        <v>0.12479999999999999</v>
      </c>
      <c r="M62">
        <v>383</v>
      </c>
      <c r="N62">
        <v>-0.46079999999999999</v>
      </c>
      <c r="O62">
        <v>-0.48480000000000001</v>
      </c>
      <c r="P62">
        <v>0.53029999999999999</v>
      </c>
      <c r="Q62">
        <v>-8.2799999999999999E-2</v>
      </c>
      <c r="R62">
        <v>4.7100000000000003E-2</v>
      </c>
    </row>
    <row r="63" spans="1:18" x14ac:dyDescent="0.25">
      <c r="A63" t="s">
        <v>554</v>
      </c>
      <c r="B63" t="s">
        <v>30</v>
      </c>
      <c r="C63" t="s">
        <v>777</v>
      </c>
      <c r="D63">
        <v>6946247</v>
      </c>
      <c r="E63">
        <v>17985</v>
      </c>
      <c r="F63">
        <v>158451</v>
      </c>
      <c r="G63">
        <v>0.1135</v>
      </c>
      <c r="H63">
        <v>386</v>
      </c>
      <c r="I63">
        <v>8387276</v>
      </c>
      <c r="J63">
        <v>23326</v>
      </c>
      <c r="K63">
        <v>187323</v>
      </c>
      <c r="L63">
        <v>0.1245</v>
      </c>
      <c r="M63">
        <v>360</v>
      </c>
      <c r="N63">
        <v>-0.17180000000000001</v>
      </c>
      <c r="O63">
        <v>-0.22900000000000001</v>
      </c>
      <c r="P63">
        <v>-0.15409999999999999</v>
      </c>
      <c r="Q63">
        <v>-1.0999999999999999E-2</v>
      </c>
      <c r="R63">
        <v>7.2800000000000004E-2</v>
      </c>
    </row>
    <row r="64" spans="1:18" x14ac:dyDescent="0.25">
      <c r="A64" t="s">
        <v>555</v>
      </c>
      <c r="B64" t="s">
        <v>30</v>
      </c>
      <c r="C64" t="s">
        <v>778</v>
      </c>
      <c r="D64">
        <v>15667759</v>
      </c>
      <c r="E64">
        <v>35164</v>
      </c>
      <c r="F64">
        <v>229882</v>
      </c>
      <c r="G64">
        <v>0.153</v>
      </c>
      <c r="H64">
        <v>446</v>
      </c>
      <c r="I64">
        <v>19940036</v>
      </c>
      <c r="J64">
        <v>49661</v>
      </c>
      <c r="K64">
        <v>236897</v>
      </c>
      <c r="L64">
        <v>0.20960000000000001</v>
      </c>
      <c r="M64">
        <v>402</v>
      </c>
      <c r="N64">
        <v>-0.21429999999999999</v>
      </c>
      <c r="O64">
        <v>-0.29189999999999999</v>
      </c>
      <c r="P64">
        <v>-2.9600000000000001E-2</v>
      </c>
      <c r="Q64">
        <v>-5.67E-2</v>
      </c>
      <c r="R64">
        <v>0.1084</v>
      </c>
    </row>
    <row r="65" spans="1:18" x14ac:dyDescent="0.25">
      <c r="A65" t="s">
        <v>556</v>
      </c>
      <c r="B65" t="s">
        <v>30</v>
      </c>
      <c r="C65" t="s">
        <v>779</v>
      </c>
      <c r="D65">
        <v>7457399</v>
      </c>
      <c r="E65">
        <v>19896</v>
      </c>
      <c r="F65">
        <v>257627</v>
      </c>
      <c r="G65">
        <v>7.7200000000000005E-2</v>
      </c>
      <c r="H65">
        <v>375</v>
      </c>
      <c r="I65">
        <v>8907352</v>
      </c>
      <c r="J65">
        <v>24669</v>
      </c>
      <c r="K65">
        <v>202766</v>
      </c>
      <c r="L65">
        <v>0.1217</v>
      </c>
      <c r="M65">
        <v>361</v>
      </c>
      <c r="N65">
        <v>-0.1628</v>
      </c>
      <c r="O65">
        <v>-0.19350000000000001</v>
      </c>
      <c r="P65">
        <v>0.27060000000000001</v>
      </c>
      <c r="Q65">
        <v>-4.4400000000000002E-2</v>
      </c>
      <c r="R65">
        <v>3.8300000000000001E-2</v>
      </c>
    </row>
    <row r="66" spans="1:18" x14ac:dyDescent="0.25">
      <c r="A66" t="s">
        <v>557</v>
      </c>
      <c r="B66" t="s">
        <v>30</v>
      </c>
      <c r="C66" t="s">
        <v>780</v>
      </c>
      <c r="D66">
        <v>19120752</v>
      </c>
      <c r="E66">
        <v>46884</v>
      </c>
      <c r="F66">
        <v>475893</v>
      </c>
      <c r="G66">
        <v>9.8500000000000004E-2</v>
      </c>
      <c r="H66">
        <v>408</v>
      </c>
      <c r="I66">
        <v>27342923</v>
      </c>
      <c r="J66">
        <v>57852</v>
      </c>
      <c r="K66">
        <v>323946</v>
      </c>
      <c r="L66">
        <v>0.17860000000000001</v>
      </c>
      <c r="M66">
        <v>473</v>
      </c>
      <c r="N66">
        <v>-0.30070000000000002</v>
      </c>
      <c r="O66">
        <v>-0.18959999999999999</v>
      </c>
      <c r="P66">
        <v>0.46910000000000002</v>
      </c>
      <c r="Q66">
        <v>-8.0100000000000005E-2</v>
      </c>
      <c r="R66">
        <v>-0.1371</v>
      </c>
    </row>
    <row r="67" spans="1:18" x14ac:dyDescent="0.25">
      <c r="A67" t="s">
        <v>558</v>
      </c>
      <c r="B67" t="s">
        <v>30</v>
      </c>
      <c r="C67" t="s">
        <v>781</v>
      </c>
      <c r="D67">
        <v>23595400</v>
      </c>
      <c r="E67">
        <v>50630</v>
      </c>
      <c r="F67">
        <v>669156</v>
      </c>
      <c r="G67">
        <v>7.5700000000000003E-2</v>
      </c>
      <c r="H67">
        <v>466</v>
      </c>
      <c r="I67">
        <v>27889768</v>
      </c>
      <c r="J67">
        <v>59479</v>
      </c>
      <c r="K67">
        <v>323527</v>
      </c>
      <c r="L67">
        <v>0.18379999999999999</v>
      </c>
      <c r="M67">
        <v>469</v>
      </c>
      <c r="N67">
        <v>-0.154</v>
      </c>
      <c r="O67">
        <v>-0.14879999999999999</v>
      </c>
      <c r="P67">
        <v>1.0683</v>
      </c>
      <c r="Q67">
        <v>-0.1082</v>
      </c>
      <c r="R67">
        <v>-6.1000000000000004E-3</v>
      </c>
    </row>
    <row r="68" spans="1:18" x14ac:dyDescent="0.25">
      <c r="A68" t="s">
        <v>559</v>
      </c>
      <c r="B68" t="s">
        <v>30</v>
      </c>
      <c r="C68" t="s">
        <v>782</v>
      </c>
      <c r="D68">
        <v>5236569</v>
      </c>
      <c r="E68">
        <v>14681</v>
      </c>
      <c r="F68">
        <v>127590</v>
      </c>
      <c r="G68">
        <v>0.11509999999999999</v>
      </c>
      <c r="H68">
        <v>357</v>
      </c>
      <c r="I68">
        <v>7616214</v>
      </c>
      <c r="J68">
        <v>20602</v>
      </c>
      <c r="K68">
        <v>138940</v>
      </c>
      <c r="L68">
        <v>0.14829999999999999</v>
      </c>
      <c r="M68">
        <v>370</v>
      </c>
      <c r="N68">
        <v>-0.31240000000000001</v>
      </c>
      <c r="O68">
        <v>-0.28739999999999999</v>
      </c>
      <c r="P68">
        <v>-8.1699999999999995E-2</v>
      </c>
      <c r="Q68">
        <v>-3.32E-2</v>
      </c>
      <c r="R68">
        <v>-3.5099999999999999E-2</v>
      </c>
    </row>
    <row r="69" spans="1:18" x14ac:dyDescent="0.25">
      <c r="A69" t="s">
        <v>560</v>
      </c>
      <c r="B69" t="s">
        <v>30</v>
      </c>
      <c r="C69" t="s">
        <v>783</v>
      </c>
      <c r="D69">
        <v>8220867</v>
      </c>
      <c r="E69">
        <v>21487</v>
      </c>
      <c r="F69">
        <v>181690</v>
      </c>
      <c r="G69">
        <v>0.1183</v>
      </c>
      <c r="H69">
        <v>383</v>
      </c>
      <c r="I69">
        <v>8476618</v>
      </c>
      <c r="J69">
        <v>22648</v>
      </c>
      <c r="K69">
        <v>172874</v>
      </c>
      <c r="L69">
        <v>0.13100000000000001</v>
      </c>
      <c r="M69">
        <v>374</v>
      </c>
      <c r="N69">
        <v>-3.0200000000000001E-2</v>
      </c>
      <c r="O69">
        <v>-5.1299999999999998E-2</v>
      </c>
      <c r="P69">
        <v>5.0999999999999997E-2</v>
      </c>
      <c r="Q69">
        <v>-1.2699999999999999E-2</v>
      </c>
      <c r="R69">
        <v>2.2200000000000001E-2</v>
      </c>
    </row>
    <row r="70" spans="1:18" x14ac:dyDescent="0.25">
      <c r="A70" t="s">
        <v>561</v>
      </c>
      <c r="B70" t="s">
        <v>30</v>
      </c>
      <c r="C70" t="s">
        <v>784</v>
      </c>
      <c r="D70">
        <v>8907012</v>
      </c>
      <c r="E70">
        <v>22401</v>
      </c>
      <c r="F70">
        <v>206925</v>
      </c>
      <c r="G70">
        <v>0.10829999999999999</v>
      </c>
      <c r="H70">
        <v>398</v>
      </c>
      <c r="I70">
        <v>14232303</v>
      </c>
      <c r="J70">
        <v>34845</v>
      </c>
      <c r="K70">
        <v>303401</v>
      </c>
      <c r="L70">
        <v>0.1148</v>
      </c>
      <c r="M70">
        <v>408</v>
      </c>
      <c r="N70">
        <v>-0.37419999999999998</v>
      </c>
      <c r="O70">
        <v>-0.35709999999999997</v>
      </c>
      <c r="P70">
        <v>-0.318</v>
      </c>
      <c r="Q70">
        <v>-6.6E-3</v>
      </c>
      <c r="R70">
        <v>-2.6499999999999999E-2</v>
      </c>
    </row>
    <row r="71" spans="1:18" x14ac:dyDescent="0.25">
      <c r="A71" t="s">
        <v>562</v>
      </c>
      <c r="B71" t="s">
        <v>30</v>
      </c>
      <c r="C71" t="s">
        <v>785</v>
      </c>
      <c r="D71">
        <v>24687108</v>
      </c>
      <c r="E71">
        <v>52621</v>
      </c>
      <c r="F71">
        <v>626227</v>
      </c>
      <c r="G71">
        <v>8.4000000000000005E-2</v>
      </c>
      <c r="H71">
        <v>469</v>
      </c>
      <c r="I71">
        <v>35445955</v>
      </c>
      <c r="J71">
        <v>70650</v>
      </c>
      <c r="K71">
        <v>624118</v>
      </c>
      <c r="L71">
        <v>0.1132</v>
      </c>
      <c r="M71">
        <v>502</v>
      </c>
      <c r="N71">
        <v>-0.30349999999999999</v>
      </c>
      <c r="O71">
        <v>-0.25519999999999998</v>
      </c>
      <c r="P71">
        <v>3.3999999999999998E-3</v>
      </c>
      <c r="Q71">
        <v>-2.92E-2</v>
      </c>
      <c r="R71">
        <v>-6.4899999999999999E-2</v>
      </c>
    </row>
    <row r="72" spans="1:18" x14ac:dyDescent="0.25">
      <c r="A72" t="s">
        <v>563</v>
      </c>
      <c r="B72" t="s">
        <v>30</v>
      </c>
      <c r="C72" t="s">
        <v>786</v>
      </c>
      <c r="D72">
        <v>24702175</v>
      </c>
      <c r="E72">
        <v>51009</v>
      </c>
      <c r="F72">
        <v>535829</v>
      </c>
      <c r="G72">
        <v>9.5200000000000007E-2</v>
      </c>
      <c r="H72">
        <v>484</v>
      </c>
      <c r="I72">
        <v>32675858</v>
      </c>
      <c r="J72">
        <v>67739</v>
      </c>
      <c r="K72">
        <v>603087</v>
      </c>
      <c r="L72">
        <v>0.1123</v>
      </c>
      <c r="M72">
        <v>482</v>
      </c>
      <c r="N72">
        <v>-0.24399999999999999</v>
      </c>
      <c r="O72">
        <v>-0.247</v>
      </c>
      <c r="P72">
        <v>-0.1115</v>
      </c>
      <c r="Q72">
        <v>-1.7100000000000001E-2</v>
      </c>
      <c r="R72">
        <v>3.8999999999999998E-3</v>
      </c>
    </row>
    <row r="73" spans="1:18" x14ac:dyDescent="0.25">
      <c r="A73" t="s">
        <v>564</v>
      </c>
      <c r="B73" t="s">
        <v>30</v>
      </c>
      <c r="C73" t="s">
        <v>787</v>
      </c>
      <c r="D73">
        <v>6229678</v>
      </c>
      <c r="E73">
        <v>17756</v>
      </c>
      <c r="F73">
        <v>229011</v>
      </c>
      <c r="G73">
        <v>7.7499999999999999E-2</v>
      </c>
      <c r="H73">
        <v>351</v>
      </c>
      <c r="I73">
        <v>14210983</v>
      </c>
      <c r="J73">
        <v>32010</v>
      </c>
      <c r="K73">
        <v>444811</v>
      </c>
      <c r="L73">
        <v>7.1999999999999995E-2</v>
      </c>
      <c r="M73">
        <v>444</v>
      </c>
      <c r="N73">
        <v>-0.56159999999999999</v>
      </c>
      <c r="O73">
        <v>-0.44529999999999997</v>
      </c>
      <c r="P73">
        <v>-0.48509999999999998</v>
      </c>
      <c r="Q73">
        <v>5.5999999999999999E-3</v>
      </c>
      <c r="R73">
        <v>-0.2097</v>
      </c>
    </row>
  </sheetData>
  <phoneticPr fontId="2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23"/>
  <sheetViews>
    <sheetView workbookViewId="0">
      <selection activeCell="D164" sqref="D164"/>
    </sheetView>
  </sheetViews>
  <sheetFormatPr defaultColWidth="8.81640625" defaultRowHeight="14" x14ac:dyDescent="0.25"/>
  <cols>
    <col min="7" max="7" width="16.36328125" customWidth="1"/>
  </cols>
  <sheetData>
    <row r="1" spans="1:18" x14ac:dyDescent="0.25">
      <c r="A1" t="s">
        <v>482</v>
      </c>
      <c r="B1" t="s">
        <v>711</v>
      </c>
      <c r="C1" t="s">
        <v>47</v>
      </c>
      <c r="D1" t="s">
        <v>48</v>
      </c>
      <c r="E1" t="s">
        <v>49</v>
      </c>
      <c r="F1" t="s">
        <v>565</v>
      </c>
      <c r="G1" t="s">
        <v>788</v>
      </c>
      <c r="H1" t="s">
        <v>566</v>
      </c>
      <c r="I1" t="s">
        <v>567</v>
      </c>
      <c r="J1" t="s">
        <v>568</v>
      </c>
      <c r="K1" t="s">
        <v>569</v>
      </c>
      <c r="L1" t="s">
        <v>570</v>
      </c>
      <c r="M1" t="s">
        <v>571</v>
      </c>
      <c r="N1" t="s">
        <v>572</v>
      </c>
      <c r="O1" t="s">
        <v>492</v>
      </c>
      <c r="P1" t="s">
        <v>494</v>
      </c>
      <c r="Q1" t="s">
        <v>573</v>
      </c>
      <c r="R1" t="s">
        <v>574</v>
      </c>
    </row>
    <row r="2" spans="1:18" x14ac:dyDescent="0.25">
      <c r="A2" t="s">
        <v>564</v>
      </c>
      <c r="B2" t="s">
        <v>28</v>
      </c>
      <c r="C2" t="s">
        <v>76</v>
      </c>
      <c r="D2" t="s">
        <v>78</v>
      </c>
      <c r="E2" t="s">
        <v>78</v>
      </c>
      <c r="F2" t="s">
        <v>575</v>
      </c>
      <c r="G2" t="s">
        <v>789</v>
      </c>
      <c r="H2">
        <v>173784</v>
      </c>
      <c r="I2">
        <v>120383</v>
      </c>
      <c r="J2">
        <v>3.2643971827095712E-2</v>
      </c>
      <c r="K2">
        <v>2.0625835873836009E-2</v>
      </c>
      <c r="L2">
        <v>5673</v>
      </c>
      <c r="M2">
        <v>2483</v>
      </c>
      <c r="N2">
        <v>-0.56231270932487221</v>
      </c>
      <c r="O2">
        <v>-0.30728375454587298</v>
      </c>
      <c r="P2">
        <v>-1.20181359532597E-2</v>
      </c>
      <c r="Q2">
        <v>1</v>
      </c>
    </row>
    <row r="3" spans="1:18" x14ac:dyDescent="0.25">
      <c r="A3" t="s">
        <v>564</v>
      </c>
      <c r="B3" t="s">
        <v>28</v>
      </c>
      <c r="C3" t="s">
        <v>76</v>
      </c>
      <c r="D3" t="s">
        <v>80</v>
      </c>
      <c r="E3" t="s">
        <v>78</v>
      </c>
      <c r="F3" t="s">
        <v>576</v>
      </c>
      <c r="G3" t="s">
        <v>790</v>
      </c>
      <c r="H3">
        <v>51757</v>
      </c>
      <c r="I3">
        <v>54185</v>
      </c>
      <c r="J3">
        <v>2.131112699731437E-2</v>
      </c>
      <c r="K3">
        <v>1.546553474208729E-2</v>
      </c>
      <c r="L3">
        <v>1103</v>
      </c>
      <c r="M3">
        <v>838</v>
      </c>
      <c r="N3">
        <v>-0.24025385312783321</v>
      </c>
      <c r="O3">
        <v>4.6911528875321212E-2</v>
      </c>
      <c r="P3">
        <v>-5.8455922552270792E-3</v>
      </c>
      <c r="Q3">
        <v>2</v>
      </c>
    </row>
    <row r="4" spans="1:18" x14ac:dyDescent="0.25">
      <c r="A4" t="s">
        <v>564</v>
      </c>
      <c r="B4" t="s">
        <v>28</v>
      </c>
      <c r="C4" t="s">
        <v>76</v>
      </c>
      <c r="D4" t="s">
        <v>79</v>
      </c>
      <c r="E4" t="s">
        <v>78</v>
      </c>
      <c r="F4" t="s">
        <v>577</v>
      </c>
      <c r="G4" t="s">
        <v>791</v>
      </c>
      <c r="H4">
        <v>22587</v>
      </c>
      <c r="I4">
        <v>23289</v>
      </c>
      <c r="J4">
        <v>1.8594766901314921E-2</v>
      </c>
      <c r="K4">
        <v>5.1955858989222378E-3</v>
      </c>
      <c r="L4">
        <v>420</v>
      </c>
      <c r="M4">
        <v>121</v>
      </c>
      <c r="N4">
        <v>-0.71190476190476193</v>
      </c>
      <c r="O4">
        <v>3.1079824677912069E-2</v>
      </c>
      <c r="P4">
        <v>-1.3399181002392679E-2</v>
      </c>
      <c r="Q4">
        <v>3</v>
      </c>
    </row>
    <row r="5" spans="1:18" x14ac:dyDescent="0.25">
      <c r="A5" t="s">
        <v>564</v>
      </c>
      <c r="B5" t="s">
        <v>28</v>
      </c>
      <c r="C5" t="s">
        <v>76</v>
      </c>
      <c r="D5" t="s">
        <v>82</v>
      </c>
      <c r="E5" t="s">
        <v>78</v>
      </c>
      <c r="F5" t="s">
        <v>579</v>
      </c>
      <c r="G5" t="s">
        <v>792</v>
      </c>
      <c r="H5">
        <v>21894</v>
      </c>
      <c r="I5">
        <v>13489</v>
      </c>
      <c r="J5">
        <v>5.1018543893304097E-2</v>
      </c>
      <c r="K5">
        <v>3.0098598858329009E-2</v>
      </c>
      <c r="L5">
        <v>1117</v>
      </c>
      <c r="M5">
        <v>406</v>
      </c>
      <c r="N5">
        <v>-0.63652641002685761</v>
      </c>
      <c r="O5">
        <v>-0.38389513108614232</v>
      </c>
      <c r="P5">
        <v>-2.0919945034975091E-2</v>
      </c>
      <c r="Q5">
        <v>4</v>
      </c>
    </row>
    <row r="6" spans="1:18" x14ac:dyDescent="0.25">
      <c r="A6" t="s">
        <v>564</v>
      </c>
      <c r="B6" t="s">
        <v>28</v>
      </c>
      <c r="C6" t="s">
        <v>76</v>
      </c>
      <c r="D6" t="s">
        <v>83</v>
      </c>
      <c r="E6" t="s">
        <v>78</v>
      </c>
      <c r="F6" t="s">
        <v>580</v>
      </c>
      <c r="G6" t="s">
        <v>793</v>
      </c>
      <c r="H6">
        <v>20390</v>
      </c>
      <c r="I6">
        <v>11406</v>
      </c>
      <c r="J6">
        <v>0.20426679744973031</v>
      </c>
      <c r="K6">
        <v>0.11923549009293349</v>
      </c>
      <c r="L6">
        <v>4165</v>
      </c>
      <c r="M6">
        <v>1360</v>
      </c>
      <c r="N6">
        <v>-0.67346938775510201</v>
      </c>
      <c r="O6">
        <v>-0.44060814124570868</v>
      </c>
      <c r="P6">
        <v>-8.5031307356796704E-2</v>
      </c>
      <c r="Q6">
        <v>5</v>
      </c>
    </row>
    <row r="7" spans="1:18" x14ac:dyDescent="0.25">
      <c r="A7" t="s">
        <v>564</v>
      </c>
      <c r="B7" t="s">
        <v>28</v>
      </c>
      <c r="C7" t="s">
        <v>76</v>
      </c>
      <c r="D7" t="s">
        <v>346</v>
      </c>
      <c r="E7" t="s">
        <v>78</v>
      </c>
      <c r="F7" t="s">
        <v>584</v>
      </c>
      <c r="G7" t="s">
        <v>794</v>
      </c>
      <c r="H7">
        <v>5214</v>
      </c>
      <c r="I7">
        <v>9600</v>
      </c>
      <c r="J7">
        <v>1.6494054468738011E-2</v>
      </c>
      <c r="K7">
        <v>8.2291666666666659E-3</v>
      </c>
      <c r="L7">
        <v>86</v>
      </c>
      <c r="M7">
        <v>79</v>
      </c>
      <c r="N7">
        <v>-8.1395348837209489E-2</v>
      </c>
      <c r="O7">
        <v>0.84119677790563874</v>
      </c>
      <c r="P7">
        <v>-8.2648878020713488E-3</v>
      </c>
      <c r="Q7">
        <v>6</v>
      </c>
    </row>
    <row r="8" spans="1:18" x14ac:dyDescent="0.25">
      <c r="A8" t="s">
        <v>564</v>
      </c>
      <c r="B8" t="s">
        <v>28</v>
      </c>
      <c r="C8" t="s">
        <v>76</v>
      </c>
      <c r="D8" t="s">
        <v>77</v>
      </c>
      <c r="E8" t="s">
        <v>78</v>
      </c>
      <c r="F8" t="s">
        <v>581</v>
      </c>
      <c r="G8" t="s">
        <v>795</v>
      </c>
      <c r="H8">
        <v>12900</v>
      </c>
      <c r="I8">
        <v>6460</v>
      </c>
      <c r="J8">
        <v>4.046511627906977E-2</v>
      </c>
      <c r="K8">
        <v>5.4643962848297208E-2</v>
      </c>
      <c r="L8">
        <v>522</v>
      </c>
      <c r="M8">
        <v>353</v>
      </c>
      <c r="N8">
        <v>-0.32375478927203072</v>
      </c>
      <c r="O8">
        <v>-0.49922480620155041</v>
      </c>
      <c r="P8">
        <v>1.417884656922744E-2</v>
      </c>
      <c r="Q8">
        <v>7</v>
      </c>
    </row>
    <row r="9" spans="1:18" x14ac:dyDescent="0.25">
      <c r="A9" t="s">
        <v>564</v>
      </c>
      <c r="B9" t="s">
        <v>28</v>
      </c>
      <c r="C9" t="s">
        <v>76</v>
      </c>
      <c r="D9" t="s">
        <v>84</v>
      </c>
      <c r="E9" t="s">
        <v>78</v>
      </c>
      <c r="F9" t="s">
        <v>589</v>
      </c>
      <c r="G9" t="s">
        <v>796</v>
      </c>
      <c r="H9">
        <v>7159</v>
      </c>
      <c r="I9">
        <v>5847</v>
      </c>
      <c r="J9">
        <v>7.5848582204218473E-2</v>
      </c>
      <c r="K9">
        <v>6.7898067384983746E-2</v>
      </c>
      <c r="L9">
        <v>543</v>
      </c>
      <c r="M9">
        <v>397</v>
      </c>
      <c r="N9">
        <v>-0.26887661141804792</v>
      </c>
      <c r="O9">
        <v>-0.18326581924849841</v>
      </c>
      <c r="P9">
        <v>-7.9505148192347205E-3</v>
      </c>
      <c r="Q9">
        <v>8</v>
      </c>
    </row>
    <row r="10" spans="1:18" x14ac:dyDescent="0.25">
      <c r="A10" t="s">
        <v>564</v>
      </c>
      <c r="B10" t="s">
        <v>28</v>
      </c>
      <c r="C10" t="s">
        <v>76</v>
      </c>
      <c r="D10" t="s">
        <v>81</v>
      </c>
      <c r="E10" t="s">
        <v>78</v>
      </c>
      <c r="F10" t="s">
        <v>578</v>
      </c>
      <c r="G10" t="s">
        <v>797</v>
      </c>
      <c r="H10">
        <v>39603</v>
      </c>
      <c r="I10">
        <v>5394</v>
      </c>
      <c r="J10">
        <v>9.9992424816301804E-3</v>
      </c>
      <c r="K10">
        <v>2.9477196885428249E-2</v>
      </c>
      <c r="L10">
        <v>396</v>
      </c>
      <c r="M10">
        <v>159</v>
      </c>
      <c r="N10">
        <v>-0.59848484848484851</v>
      </c>
      <c r="O10">
        <v>-0.86379819710627981</v>
      </c>
      <c r="P10">
        <v>1.947795440379807E-2</v>
      </c>
      <c r="Q10">
        <v>9</v>
      </c>
    </row>
    <row r="11" spans="1:18" x14ac:dyDescent="0.25">
      <c r="A11" t="s">
        <v>564</v>
      </c>
      <c r="B11" t="s">
        <v>28</v>
      </c>
      <c r="C11" t="s">
        <v>76</v>
      </c>
      <c r="D11" t="s">
        <v>587</v>
      </c>
      <c r="E11" t="s">
        <v>78</v>
      </c>
      <c r="F11" t="s">
        <v>588</v>
      </c>
      <c r="G11" t="s">
        <v>798</v>
      </c>
      <c r="H11">
        <v>16055</v>
      </c>
      <c r="I11">
        <v>4973</v>
      </c>
      <c r="O11">
        <v>-0.6902522578635939</v>
      </c>
      <c r="Q11">
        <v>10</v>
      </c>
    </row>
    <row r="12" spans="1:18" x14ac:dyDescent="0.25">
      <c r="A12" t="s">
        <v>564</v>
      </c>
      <c r="B12" t="s">
        <v>28</v>
      </c>
      <c r="C12" t="s">
        <v>76</v>
      </c>
      <c r="D12" t="s">
        <v>592</v>
      </c>
      <c r="E12" t="s">
        <v>78</v>
      </c>
      <c r="F12" t="s">
        <v>593</v>
      </c>
      <c r="G12" t="s">
        <v>799</v>
      </c>
      <c r="H12">
        <v>7204</v>
      </c>
      <c r="I12">
        <v>3440</v>
      </c>
      <c r="J12">
        <v>2.1793448084397558E-2</v>
      </c>
      <c r="K12">
        <v>1.424418604651163E-2</v>
      </c>
      <c r="L12">
        <v>157</v>
      </c>
      <c r="M12">
        <v>49</v>
      </c>
      <c r="N12">
        <v>-0.68789808917197459</v>
      </c>
      <c r="O12">
        <v>-0.52248750694058854</v>
      </c>
      <c r="P12">
        <v>-7.5492620378859307E-3</v>
      </c>
      <c r="Q12">
        <v>11</v>
      </c>
    </row>
    <row r="13" spans="1:18" x14ac:dyDescent="0.25">
      <c r="A13" t="s">
        <v>564</v>
      </c>
      <c r="B13" t="s">
        <v>28</v>
      </c>
      <c r="C13" t="s">
        <v>76</v>
      </c>
      <c r="D13" t="s">
        <v>81</v>
      </c>
      <c r="E13" t="s">
        <v>590</v>
      </c>
      <c r="F13" t="s">
        <v>591</v>
      </c>
      <c r="G13" t="s">
        <v>800</v>
      </c>
      <c r="H13">
        <v>7602</v>
      </c>
      <c r="I13">
        <v>3211</v>
      </c>
      <c r="J13">
        <v>3.656932386214154E-2</v>
      </c>
      <c r="K13">
        <v>4.3911554033011523E-2</v>
      </c>
      <c r="L13">
        <v>278</v>
      </c>
      <c r="M13">
        <v>141</v>
      </c>
      <c r="N13">
        <v>-0.49280575539568339</v>
      </c>
      <c r="O13">
        <v>-0.57761115495922122</v>
      </c>
      <c r="P13">
        <v>7.3422301708699804E-3</v>
      </c>
      <c r="Q13">
        <v>12</v>
      </c>
    </row>
    <row r="14" spans="1:18" x14ac:dyDescent="0.25">
      <c r="A14" t="s">
        <v>564</v>
      </c>
      <c r="B14" t="s">
        <v>28</v>
      </c>
      <c r="C14" t="s">
        <v>76</v>
      </c>
      <c r="D14" t="s">
        <v>598</v>
      </c>
      <c r="E14" t="s">
        <v>78</v>
      </c>
      <c r="F14" t="s">
        <v>599</v>
      </c>
      <c r="G14" t="s">
        <v>801</v>
      </c>
      <c r="H14">
        <v>920</v>
      </c>
      <c r="I14">
        <v>2064</v>
      </c>
      <c r="J14">
        <v>9.7826086956521747E-3</v>
      </c>
      <c r="K14">
        <v>6.7829457364341084E-3</v>
      </c>
      <c r="L14">
        <v>9</v>
      </c>
      <c r="M14">
        <v>14</v>
      </c>
      <c r="N14">
        <v>0.55555555555555525</v>
      </c>
      <c r="O14">
        <v>1.2434782608695649</v>
      </c>
      <c r="P14">
        <v>-2.9996629592180671E-3</v>
      </c>
      <c r="Q14">
        <v>13</v>
      </c>
    </row>
    <row r="15" spans="1:18" x14ac:dyDescent="0.25">
      <c r="A15" t="s">
        <v>564</v>
      </c>
      <c r="B15" t="s">
        <v>28</v>
      </c>
      <c r="C15" t="s">
        <v>76</v>
      </c>
      <c r="D15" t="s">
        <v>81</v>
      </c>
      <c r="E15" t="s">
        <v>585</v>
      </c>
      <c r="F15" t="s">
        <v>586</v>
      </c>
      <c r="G15" t="s">
        <v>802</v>
      </c>
      <c r="H15">
        <v>30939</v>
      </c>
      <c r="I15">
        <v>1759</v>
      </c>
      <c r="J15">
        <v>3.5553831733410911E-3</v>
      </c>
      <c r="K15">
        <v>5.1165434906196702E-3</v>
      </c>
      <c r="L15">
        <v>110</v>
      </c>
      <c r="M15">
        <v>9</v>
      </c>
      <c r="N15">
        <v>-0.91818181818181821</v>
      </c>
      <c r="O15">
        <v>-0.94314619089175478</v>
      </c>
      <c r="P15">
        <v>1.5611603172785791E-3</v>
      </c>
      <c r="Q15">
        <v>14</v>
      </c>
    </row>
    <row r="16" spans="1:18" x14ac:dyDescent="0.25">
      <c r="A16" t="s">
        <v>564</v>
      </c>
      <c r="B16" t="s">
        <v>28</v>
      </c>
      <c r="C16" t="s">
        <v>76</v>
      </c>
      <c r="D16" t="s">
        <v>592</v>
      </c>
      <c r="E16" t="s">
        <v>803</v>
      </c>
      <c r="F16" t="s">
        <v>804</v>
      </c>
      <c r="G16" t="s">
        <v>805</v>
      </c>
      <c r="I16">
        <v>1711</v>
      </c>
      <c r="K16">
        <v>1.344243132670953E-2</v>
      </c>
      <c r="M16">
        <v>23</v>
      </c>
      <c r="Q16">
        <v>15</v>
      </c>
    </row>
    <row r="17" spans="1:17" x14ac:dyDescent="0.25">
      <c r="A17" t="s">
        <v>564</v>
      </c>
      <c r="B17" t="s">
        <v>28</v>
      </c>
      <c r="C17" t="s">
        <v>76</v>
      </c>
      <c r="D17" t="s">
        <v>610</v>
      </c>
      <c r="E17" t="s">
        <v>78</v>
      </c>
      <c r="F17" t="s">
        <v>611</v>
      </c>
      <c r="G17" t="s">
        <v>806</v>
      </c>
      <c r="H17">
        <v>2039</v>
      </c>
      <c r="I17">
        <v>1632</v>
      </c>
      <c r="J17">
        <v>8.1902893575282007E-2</v>
      </c>
      <c r="K17">
        <v>7.7818627450980393E-2</v>
      </c>
      <c r="L17">
        <v>167</v>
      </c>
      <c r="M17">
        <v>127</v>
      </c>
      <c r="N17">
        <v>-0.23952095808383231</v>
      </c>
      <c r="O17">
        <v>-0.19960765080922019</v>
      </c>
      <c r="P17">
        <v>-4.0842661243016103E-3</v>
      </c>
      <c r="Q17">
        <v>16</v>
      </c>
    </row>
    <row r="18" spans="1:17" x14ac:dyDescent="0.25">
      <c r="A18" t="s">
        <v>564</v>
      </c>
      <c r="B18" t="s">
        <v>28</v>
      </c>
      <c r="C18" t="s">
        <v>76</v>
      </c>
      <c r="D18" t="s">
        <v>600</v>
      </c>
      <c r="E18" t="s">
        <v>78</v>
      </c>
      <c r="F18" t="s">
        <v>601</v>
      </c>
      <c r="G18" t="s">
        <v>807</v>
      </c>
      <c r="H18">
        <v>5802</v>
      </c>
      <c r="I18">
        <v>1488</v>
      </c>
      <c r="J18">
        <v>1.4994829369183039E-2</v>
      </c>
      <c r="K18">
        <v>2.3521505376344089E-2</v>
      </c>
      <c r="L18">
        <v>87</v>
      </c>
      <c r="M18">
        <v>35</v>
      </c>
      <c r="N18">
        <v>-0.59770114942528729</v>
      </c>
      <c r="O18">
        <v>-0.74353671147880041</v>
      </c>
      <c r="P18">
        <v>8.5266760071610465E-3</v>
      </c>
      <c r="Q18">
        <v>17</v>
      </c>
    </row>
    <row r="19" spans="1:17" x14ac:dyDescent="0.25">
      <c r="A19" t="s">
        <v>564</v>
      </c>
      <c r="B19" t="s">
        <v>28</v>
      </c>
      <c r="C19" t="s">
        <v>76</v>
      </c>
      <c r="D19" t="s">
        <v>602</v>
      </c>
      <c r="E19" t="s">
        <v>78</v>
      </c>
      <c r="F19" t="s">
        <v>603</v>
      </c>
      <c r="G19" t="s">
        <v>808</v>
      </c>
      <c r="H19">
        <v>2504</v>
      </c>
      <c r="I19">
        <v>1483</v>
      </c>
      <c r="J19">
        <v>2.9952076677316291E-2</v>
      </c>
      <c r="K19">
        <v>2.7646662171274441E-2</v>
      </c>
      <c r="L19">
        <v>75</v>
      </c>
      <c r="M19">
        <v>41</v>
      </c>
      <c r="N19">
        <v>-0.45333333333333331</v>
      </c>
      <c r="O19">
        <v>-0.40774760383386582</v>
      </c>
      <c r="P19">
        <v>-2.305414506041849E-3</v>
      </c>
      <c r="Q19">
        <v>18</v>
      </c>
    </row>
    <row r="20" spans="1:17" x14ac:dyDescent="0.25">
      <c r="A20" t="s">
        <v>564</v>
      </c>
      <c r="B20" t="s">
        <v>28</v>
      </c>
      <c r="C20" t="s">
        <v>76</v>
      </c>
      <c r="D20" t="s">
        <v>618</v>
      </c>
      <c r="E20" t="s">
        <v>78</v>
      </c>
      <c r="F20" t="s">
        <v>619</v>
      </c>
      <c r="G20" t="s">
        <v>809</v>
      </c>
      <c r="H20">
        <v>1229</v>
      </c>
      <c r="I20">
        <v>1183</v>
      </c>
      <c r="J20">
        <v>1.383238405207486E-2</v>
      </c>
      <c r="K20">
        <v>2.6204564666103131E-2</v>
      </c>
      <c r="L20">
        <v>17</v>
      </c>
      <c r="M20">
        <v>31</v>
      </c>
      <c r="N20">
        <v>0.82352941176470573</v>
      </c>
      <c r="O20">
        <v>-3.7428803905614323E-2</v>
      </c>
      <c r="P20">
        <v>1.2372180614028269E-2</v>
      </c>
      <c r="Q20">
        <v>19</v>
      </c>
    </row>
    <row r="21" spans="1:17" x14ac:dyDescent="0.25">
      <c r="A21" t="s">
        <v>564</v>
      </c>
      <c r="B21" t="s">
        <v>28</v>
      </c>
      <c r="C21" t="s">
        <v>76</v>
      </c>
      <c r="D21" t="s">
        <v>606</v>
      </c>
      <c r="E21" t="s">
        <v>78</v>
      </c>
      <c r="F21" t="s">
        <v>607</v>
      </c>
      <c r="G21" t="s">
        <v>810</v>
      </c>
      <c r="H21">
        <v>1294</v>
      </c>
      <c r="I21">
        <v>1072</v>
      </c>
      <c r="J21">
        <v>1.7774343122102011E-2</v>
      </c>
      <c r="K21">
        <v>1.7723880597014921E-2</v>
      </c>
      <c r="L21">
        <v>23</v>
      </c>
      <c r="M21">
        <v>19</v>
      </c>
      <c r="N21">
        <v>-0.173913043478261</v>
      </c>
      <c r="O21">
        <v>-0.17156105100463681</v>
      </c>
      <c r="P21">
        <v>-5.0462525087086E-5</v>
      </c>
      <c r="Q21">
        <v>20</v>
      </c>
    </row>
    <row r="22" spans="1:17" x14ac:dyDescent="0.25">
      <c r="A22" t="s">
        <v>564</v>
      </c>
      <c r="B22" t="s">
        <v>28</v>
      </c>
      <c r="C22" t="s">
        <v>76</v>
      </c>
      <c r="D22" t="s">
        <v>592</v>
      </c>
      <c r="E22" t="s">
        <v>811</v>
      </c>
      <c r="F22" t="s">
        <v>812</v>
      </c>
      <c r="G22" t="s">
        <v>813</v>
      </c>
      <c r="I22">
        <v>1050</v>
      </c>
      <c r="K22">
        <v>2.3809523809523812E-2</v>
      </c>
      <c r="M22">
        <v>25</v>
      </c>
      <c r="Q22">
        <v>21</v>
      </c>
    </row>
    <row r="23" spans="1:17" x14ac:dyDescent="0.25">
      <c r="A23" t="s">
        <v>564</v>
      </c>
      <c r="B23" t="s">
        <v>28</v>
      </c>
      <c r="C23" t="s">
        <v>76</v>
      </c>
      <c r="D23" t="s">
        <v>602</v>
      </c>
      <c r="E23" t="s">
        <v>616</v>
      </c>
      <c r="F23" t="s">
        <v>617</v>
      </c>
      <c r="G23" t="s">
        <v>814</v>
      </c>
      <c r="H23">
        <v>1730</v>
      </c>
      <c r="I23">
        <v>1043</v>
      </c>
      <c r="J23">
        <v>2.7167630057803469E-2</v>
      </c>
      <c r="K23">
        <v>2.684563758389262E-2</v>
      </c>
      <c r="L23">
        <v>47</v>
      </c>
      <c r="M23">
        <v>28</v>
      </c>
      <c r="N23">
        <v>-0.4042553191489362</v>
      </c>
      <c r="O23">
        <v>-0.39710982658959543</v>
      </c>
      <c r="P23">
        <v>-3.21992473910853E-4</v>
      </c>
      <c r="Q23">
        <v>22</v>
      </c>
    </row>
    <row r="24" spans="1:17" x14ac:dyDescent="0.25">
      <c r="A24" t="s">
        <v>564</v>
      </c>
      <c r="B24" t="s">
        <v>28</v>
      </c>
      <c r="C24" t="s">
        <v>76</v>
      </c>
      <c r="D24" t="s">
        <v>600</v>
      </c>
      <c r="E24" t="s">
        <v>614</v>
      </c>
      <c r="F24" t="s">
        <v>615</v>
      </c>
      <c r="G24" t="s">
        <v>815</v>
      </c>
      <c r="H24">
        <v>4823</v>
      </c>
      <c r="I24">
        <v>992</v>
      </c>
      <c r="J24">
        <v>1.057433132904831E-2</v>
      </c>
      <c r="K24">
        <v>1.4112903225806449E-2</v>
      </c>
      <c r="L24">
        <v>51</v>
      </c>
      <c r="M24">
        <v>14</v>
      </c>
      <c r="N24">
        <v>-0.72549019607843135</v>
      </c>
      <c r="O24">
        <v>-0.7943188886585113</v>
      </c>
      <c r="P24">
        <v>3.5385718967581412E-3</v>
      </c>
      <c r="Q24">
        <v>23</v>
      </c>
    </row>
    <row r="25" spans="1:17" x14ac:dyDescent="0.25">
      <c r="A25" t="s">
        <v>564</v>
      </c>
      <c r="B25" t="s">
        <v>28</v>
      </c>
      <c r="C25" t="s">
        <v>76</v>
      </c>
      <c r="D25" t="s">
        <v>608</v>
      </c>
      <c r="E25" t="s">
        <v>78</v>
      </c>
      <c r="F25" t="s">
        <v>609</v>
      </c>
      <c r="G25" t="s">
        <v>816</v>
      </c>
      <c r="H25">
        <v>1601</v>
      </c>
      <c r="I25">
        <v>977</v>
      </c>
      <c r="J25">
        <v>0.36352279825109313</v>
      </c>
      <c r="K25">
        <v>0.1238485158648925</v>
      </c>
      <c r="L25">
        <v>582</v>
      </c>
      <c r="M25">
        <v>121</v>
      </c>
      <c r="N25">
        <v>-0.79209621993127144</v>
      </c>
      <c r="O25">
        <v>-0.38975640224859459</v>
      </c>
      <c r="P25">
        <v>-0.23967428238620059</v>
      </c>
      <c r="Q25">
        <v>24</v>
      </c>
    </row>
    <row r="26" spans="1:17" x14ac:dyDescent="0.25">
      <c r="A26" t="s">
        <v>564</v>
      </c>
      <c r="B26" t="s">
        <v>28</v>
      </c>
      <c r="C26" t="s">
        <v>76</v>
      </c>
      <c r="D26" t="s">
        <v>592</v>
      </c>
      <c r="E26" t="s">
        <v>624</v>
      </c>
      <c r="F26" t="s">
        <v>625</v>
      </c>
      <c r="G26" t="s">
        <v>817</v>
      </c>
      <c r="H26">
        <v>7204</v>
      </c>
      <c r="I26">
        <v>754</v>
      </c>
      <c r="J26">
        <v>2.1793448084397558E-2</v>
      </c>
      <c r="K26">
        <v>3.9787798408488064E-3</v>
      </c>
      <c r="L26">
        <v>157</v>
      </c>
      <c r="M26">
        <v>3</v>
      </c>
      <c r="N26">
        <v>-0.98089171974522293</v>
      </c>
      <c r="O26">
        <v>-0.89533592448639643</v>
      </c>
      <c r="P26">
        <v>-1.7814668243548749E-2</v>
      </c>
      <c r="Q26">
        <v>25</v>
      </c>
    </row>
    <row r="27" spans="1:17" x14ac:dyDescent="0.25">
      <c r="A27" t="s">
        <v>564</v>
      </c>
      <c r="B27" t="s">
        <v>28</v>
      </c>
      <c r="C27" t="s">
        <v>76</v>
      </c>
      <c r="D27" t="s">
        <v>620</v>
      </c>
      <c r="E27" t="s">
        <v>78</v>
      </c>
      <c r="F27" t="s">
        <v>621</v>
      </c>
      <c r="G27" t="s">
        <v>818</v>
      </c>
      <c r="H27">
        <v>1249</v>
      </c>
      <c r="I27">
        <v>734</v>
      </c>
      <c r="J27">
        <v>7.7662129703763016E-2</v>
      </c>
      <c r="K27">
        <v>5.9945504087193457E-2</v>
      </c>
      <c r="L27">
        <v>97</v>
      </c>
      <c r="M27">
        <v>44</v>
      </c>
      <c r="N27">
        <v>-0.54639175257731964</v>
      </c>
      <c r="O27">
        <v>-0.41232986389111292</v>
      </c>
      <c r="P27">
        <v>-1.7716625616569559E-2</v>
      </c>
      <c r="Q27">
        <v>26</v>
      </c>
    </row>
    <row r="28" spans="1:17" x14ac:dyDescent="0.25">
      <c r="A28" t="s">
        <v>564</v>
      </c>
      <c r="B28" t="s">
        <v>28</v>
      </c>
      <c r="C28" t="s">
        <v>76</v>
      </c>
      <c r="D28" t="s">
        <v>626</v>
      </c>
      <c r="E28" t="s">
        <v>78</v>
      </c>
      <c r="F28" t="s">
        <v>627</v>
      </c>
      <c r="G28" t="s">
        <v>819</v>
      </c>
      <c r="H28">
        <v>7140</v>
      </c>
      <c r="I28">
        <v>668</v>
      </c>
      <c r="J28">
        <v>3.081232492997199E-2</v>
      </c>
      <c r="K28">
        <v>2.2455089820359281E-2</v>
      </c>
      <c r="L28">
        <v>220</v>
      </c>
      <c r="M28">
        <v>15</v>
      </c>
      <c r="N28">
        <v>-0.93181818181818188</v>
      </c>
      <c r="O28">
        <v>-0.90644257703081232</v>
      </c>
      <c r="P28">
        <v>-8.3572351096127106E-3</v>
      </c>
      <c r="Q28">
        <v>27</v>
      </c>
    </row>
    <row r="29" spans="1:17" x14ac:dyDescent="0.25">
      <c r="A29" t="s">
        <v>564</v>
      </c>
      <c r="B29" t="s">
        <v>28</v>
      </c>
      <c r="C29" t="s">
        <v>76</v>
      </c>
      <c r="D29" t="s">
        <v>630</v>
      </c>
      <c r="E29" t="s">
        <v>78</v>
      </c>
      <c r="F29" t="s">
        <v>631</v>
      </c>
      <c r="G29" t="s">
        <v>820</v>
      </c>
      <c r="H29">
        <v>879</v>
      </c>
      <c r="I29">
        <v>606</v>
      </c>
      <c r="J29">
        <v>5.6882821387940841E-3</v>
      </c>
      <c r="L29">
        <v>5</v>
      </c>
      <c r="O29">
        <v>-0.31058020477815701</v>
      </c>
      <c r="Q29">
        <v>28</v>
      </c>
    </row>
    <row r="30" spans="1:17" x14ac:dyDescent="0.25">
      <c r="A30" t="s">
        <v>564</v>
      </c>
      <c r="B30" t="s">
        <v>28</v>
      </c>
      <c r="C30" t="s">
        <v>76</v>
      </c>
      <c r="D30" t="s">
        <v>600</v>
      </c>
      <c r="E30" t="s">
        <v>612</v>
      </c>
      <c r="F30" t="s">
        <v>613</v>
      </c>
      <c r="G30" t="s">
        <v>821</v>
      </c>
      <c r="H30">
        <v>1044</v>
      </c>
      <c r="I30">
        <v>518</v>
      </c>
      <c r="J30">
        <v>3.4482758620689648E-2</v>
      </c>
      <c r="K30">
        <v>4.0540540540540543E-2</v>
      </c>
      <c r="L30">
        <v>36</v>
      </c>
      <c r="M30">
        <v>21</v>
      </c>
      <c r="N30">
        <v>-0.41666666666666669</v>
      </c>
      <c r="O30">
        <v>-0.50383141762452111</v>
      </c>
      <c r="P30">
        <v>6.0577819198508846E-3</v>
      </c>
      <c r="Q30">
        <v>29</v>
      </c>
    </row>
    <row r="31" spans="1:17" x14ac:dyDescent="0.25">
      <c r="A31" t="s">
        <v>564</v>
      </c>
      <c r="B31" t="s">
        <v>28</v>
      </c>
      <c r="C31" t="s">
        <v>76</v>
      </c>
      <c r="D31" t="s">
        <v>642</v>
      </c>
      <c r="E31" t="s">
        <v>78</v>
      </c>
      <c r="F31" t="s">
        <v>643</v>
      </c>
      <c r="G31" t="s">
        <v>822</v>
      </c>
      <c r="H31">
        <v>1291</v>
      </c>
      <c r="I31">
        <v>505</v>
      </c>
      <c r="J31">
        <v>3.0983733539891559E-3</v>
      </c>
      <c r="L31">
        <v>4</v>
      </c>
      <c r="O31">
        <v>-0.60883036405886914</v>
      </c>
      <c r="Q31">
        <v>30</v>
      </c>
    </row>
    <row r="32" spans="1:17" x14ac:dyDescent="0.25">
      <c r="A32" t="s">
        <v>564</v>
      </c>
      <c r="B32" t="s">
        <v>28</v>
      </c>
      <c r="C32" t="s">
        <v>76</v>
      </c>
      <c r="D32" t="s">
        <v>81</v>
      </c>
      <c r="E32" t="s">
        <v>582</v>
      </c>
      <c r="F32" t="s">
        <v>583</v>
      </c>
      <c r="G32" t="s">
        <v>823</v>
      </c>
      <c r="H32">
        <v>553</v>
      </c>
      <c r="I32">
        <v>406</v>
      </c>
      <c r="J32">
        <v>1.446654611211573E-2</v>
      </c>
      <c r="K32">
        <v>1.970443349753695E-2</v>
      </c>
      <c r="L32">
        <v>8</v>
      </c>
      <c r="M32">
        <v>8</v>
      </c>
      <c r="N32">
        <v>3.525E-17</v>
      </c>
      <c r="O32">
        <v>-0.26582278481012661</v>
      </c>
      <c r="P32">
        <v>5.2378873854212141E-3</v>
      </c>
      <c r="Q32">
        <v>31</v>
      </c>
    </row>
    <row r="33" spans="1:17" x14ac:dyDescent="0.25">
      <c r="A33" t="s">
        <v>564</v>
      </c>
      <c r="B33" t="s">
        <v>28</v>
      </c>
      <c r="C33" t="s">
        <v>76</v>
      </c>
      <c r="D33" t="s">
        <v>632</v>
      </c>
      <c r="E33" t="s">
        <v>78</v>
      </c>
      <c r="F33" t="s">
        <v>633</v>
      </c>
      <c r="G33" t="s">
        <v>824</v>
      </c>
      <c r="H33">
        <v>531</v>
      </c>
      <c r="I33">
        <v>317</v>
      </c>
      <c r="J33">
        <v>3.766478342749529E-3</v>
      </c>
      <c r="L33">
        <v>2</v>
      </c>
      <c r="O33">
        <v>-0.40301318267419961</v>
      </c>
      <c r="Q33">
        <v>32</v>
      </c>
    </row>
    <row r="34" spans="1:17" x14ac:dyDescent="0.25">
      <c r="A34" t="s">
        <v>564</v>
      </c>
      <c r="B34" t="s">
        <v>28</v>
      </c>
      <c r="C34" t="s">
        <v>76</v>
      </c>
      <c r="D34" t="s">
        <v>602</v>
      </c>
      <c r="E34" t="s">
        <v>628</v>
      </c>
      <c r="F34" t="s">
        <v>629</v>
      </c>
      <c r="G34" t="s">
        <v>825</v>
      </c>
      <c r="H34">
        <v>612</v>
      </c>
      <c r="I34">
        <v>265</v>
      </c>
      <c r="J34">
        <v>1.7973856209150329E-2</v>
      </c>
      <c r="K34">
        <v>5.6603773584905662E-2</v>
      </c>
      <c r="L34">
        <v>11</v>
      </c>
      <c r="M34">
        <v>15</v>
      </c>
      <c r="N34">
        <v>0.36363636363636381</v>
      </c>
      <c r="O34">
        <v>-0.56699346405228757</v>
      </c>
      <c r="P34">
        <v>3.8629917375755343E-2</v>
      </c>
      <c r="Q34">
        <v>33</v>
      </c>
    </row>
    <row r="35" spans="1:17" x14ac:dyDescent="0.25">
      <c r="A35" t="s">
        <v>564</v>
      </c>
      <c r="B35" t="s">
        <v>28</v>
      </c>
      <c r="C35" t="s">
        <v>76</v>
      </c>
      <c r="D35" t="s">
        <v>644</v>
      </c>
      <c r="E35" t="s">
        <v>78</v>
      </c>
      <c r="F35" t="s">
        <v>645</v>
      </c>
      <c r="G35" t="s">
        <v>826</v>
      </c>
      <c r="H35">
        <v>77</v>
      </c>
      <c r="I35">
        <v>250</v>
      </c>
      <c r="J35">
        <v>6.4935064935064929E-2</v>
      </c>
      <c r="K35">
        <v>2.8000000000000001E-2</v>
      </c>
      <c r="L35">
        <v>5</v>
      </c>
      <c r="M35">
        <v>7</v>
      </c>
      <c r="N35">
        <v>0.40000000000000008</v>
      </c>
      <c r="O35">
        <v>2.2467532467532472</v>
      </c>
      <c r="P35">
        <v>-3.6935064935064932E-2</v>
      </c>
      <c r="Q35">
        <v>34</v>
      </c>
    </row>
    <row r="36" spans="1:17" x14ac:dyDescent="0.25">
      <c r="A36" t="s">
        <v>564</v>
      </c>
      <c r="B36" t="s">
        <v>28</v>
      </c>
      <c r="C36" t="s">
        <v>76</v>
      </c>
      <c r="D36" t="s">
        <v>602</v>
      </c>
      <c r="E36" t="s">
        <v>640</v>
      </c>
      <c r="F36" t="s">
        <v>641</v>
      </c>
      <c r="G36" t="s">
        <v>827</v>
      </c>
      <c r="H36">
        <v>87</v>
      </c>
      <c r="I36">
        <v>224</v>
      </c>
      <c r="O36">
        <v>1.5747126436781611</v>
      </c>
      <c r="Q36">
        <v>35</v>
      </c>
    </row>
    <row r="37" spans="1:17" x14ac:dyDescent="0.25">
      <c r="A37" t="s">
        <v>564</v>
      </c>
      <c r="B37" t="s">
        <v>28</v>
      </c>
      <c r="C37" t="s">
        <v>76</v>
      </c>
      <c r="D37" t="s">
        <v>634</v>
      </c>
      <c r="E37" t="s">
        <v>78</v>
      </c>
      <c r="F37" t="s">
        <v>635</v>
      </c>
      <c r="G37" t="s">
        <v>828</v>
      </c>
      <c r="H37">
        <v>2134</v>
      </c>
      <c r="I37">
        <v>184</v>
      </c>
      <c r="J37">
        <v>6.2324273664479853E-2</v>
      </c>
      <c r="K37">
        <v>4.3478260869565223E-2</v>
      </c>
      <c r="L37">
        <v>133</v>
      </c>
      <c r="M37">
        <v>8</v>
      </c>
      <c r="N37">
        <v>-0.93984962406015038</v>
      </c>
      <c r="O37">
        <v>-0.91377694470477977</v>
      </c>
      <c r="P37">
        <v>-1.8846012794914629E-2</v>
      </c>
      <c r="Q37">
        <v>36</v>
      </c>
    </row>
    <row r="38" spans="1:17" x14ac:dyDescent="0.25">
      <c r="A38" t="s">
        <v>564</v>
      </c>
      <c r="B38" t="s">
        <v>28</v>
      </c>
      <c r="C38" t="s">
        <v>76</v>
      </c>
      <c r="D38" t="s">
        <v>81</v>
      </c>
      <c r="E38" t="s">
        <v>622</v>
      </c>
      <c r="F38" t="s">
        <v>623</v>
      </c>
      <c r="G38" t="s">
        <v>829</v>
      </c>
      <c r="H38">
        <v>2554</v>
      </c>
      <c r="I38">
        <v>163</v>
      </c>
      <c r="J38">
        <v>2.7407987470634298E-3</v>
      </c>
      <c r="K38">
        <v>6.1349693251533744E-3</v>
      </c>
      <c r="L38">
        <v>7</v>
      </c>
      <c r="M38">
        <v>1</v>
      </c>
      <c r="N38">
        <v>-0.85714285714285721</v>
      </c>
      <c r="O38">
        <v>-0.9361785434612373</v>
      </c>
      <c r="P38">
        <v>3.3941705780899441E-3</v>
      </c>
      <c r="Q38">
        <v>37</v>
      </c>
    </row>
    <row r="39" spans="1:17" x14ac:dyDescent="0.25">
      <c r="A39" t="s">
        <v>564</v>
      </c>
      <c r="B39" t="s">
        <v>28</v>
      </c>
      <c r="C39" t="s">
        <v>76</v>
      </c>
      <c r="D39" t="s">
        <v>602</v>
      </c>
      <c r="E39" t="s">
        <v>648</v>
      </c>
      <c r="F39" t="s">
        <v>649</v>
      </c>
      <c r="G39" t="s">
        <v>830</v>
      </c>
      <c r="H39">
        <v>197</v>
      </c>
      <c r="I39">
        <v>105</v>
      </c>
      <c r="J39">
        <v>5.5837563451776651E-2</v>
      </c>
      <c r="K39">
        <v>3.8095238095238099E-2</v>
      </c>
      <c r="L39">
        <v>11</v>
      </c>
      <c r="M39">
        <v>4</v>
      </c>
      <c r="N39">
        <v>-0.63636363636363635</v>
      </c>
      <c r="O39">
        <v>-0.46700507614213199</v>
      </c>
      <c r="P39">
        <v>-1.7742325356538548E-2</v>
      </c>
      <c r="Q39">
        <v>38</v>
      </c>
    </row>
    <row r="40" spans="1:17" x14ac:dyDescent="0.25">
      <c r="A40" t="s">
        <v>564</v>
      </c>
      <c r="B40" t="s">
        <v>28</v>
      </c>
      <c r="C40" t="s">
        <v>76</v>
      </c>
      <c r="D40" t="s">
        <v>602</v>
      </c>
      <c r="E40" t="s">
        <v>650</v>
      </c>
      <c r="F40" t="s">
        <v>651</v>
      </c>
      <c r="G40" t="s">
        <v>831</v>
      </c>
      <c r="H40">
        <v>361</v>
      </c>
      <c r="I40">
        <v>56</v>
      </c>
      <c r="J40">
        <v>5.5401662049861487E-2</v>
      </c>
      <c r="K40">
        <v>8.9285714285714288E-2</v>
      </c>
      <c r="L40">
        <v>20</v>
      </c>
      <c r="M40">
        <v>5</v>
      </c>
      <c r="N40">
        <v>-0.75</v>
      </c>
      <c r="O40">
        <v>-0.84487534626038785</v>
      </c>
      <c r="P40">
        <v>3.3884052235852793E-2</v>
      </c>
      <c r="Q40">
        <v>39</v>
      </c>
    </row>
    <row r="41" spans="1:17" x14ac:dyDescent="0.25">
      <c r="A41" t="s">
        <v>564</v>
      </c>
      <c r="B41" t="s">
        <v>28</v>
      </c>
      <c r="C41" t="s">
        <v>76</v>
      </c>
      <c r="D41" t="s">
        <v>602</v>
      </c>
      <c r="E41" t="s">
        <v>652</v>
      </c>
      <c r="F41" t="s">
        <v>653</v>
      </c>
      <c r="G41" t="s">
        <v>832</v>
      </c>
      <c r="H41">
        <v>89</v>
      </c>
      <c r="I41">
        <v>45</v>
      </c>
      <c r="J41">
        <v>1.123595505617977E-2</v>
      </c>
      <c r="L41">
        <v>1</v>
      </c>
      <c r="O41">
        <v>-0.4943820224719101</v>
      </c>
      <c r="Q41">
        <v>40</v>
      </c>
    </row>
    <row r="42" spans="1:17" x14ac:dyDescent="0.25">
      <c r="A42" t="s">
        <v>564</v>
      </c>
      <c r="B42" t="s">
        <v>28</v>
      </c>
      <c r="C42" t="s">
        <v>76</v>
      </c>
      <c r="D42" t="s">
        <v>654</v>
      </c>
      <c r="E42" t="s">
        <v>78</v>
      </c>
      <c r="F42" t="s">
        <v>655</v>
      </c>
      <c r="G42" t="s">
        <v>833</v>
      </c>
      <c r="H42">
        <v>81</v>
      </c>
      <c r="I42">
        <v>42</v>
      </c>
      <c r="O42">
        <v>-0.48148148148148151</v>
      </c>
      <c r="Q42">
        <v>41</v>
      </c>
    </row>
    <row r="43" spans="1:17" x14ac:dyDescent="0.25">
      <c r="A43" t="s">
        <v>564</v>
      </c>
      <c r="B43" t="s">
        <v>28</v>
      </c>
      <c r="C43" t="s">
        <v>76</v>
      </c>
      <c r="D43" t="s">
        <v>660</v>
      </c>
      <c r="E43" t="s">
        <v>78</v>
      </c>
      <c r="F43" t="s">
        <v>661</v>
      </c>
      <c r="G43" t="s">
        <v>834</v>
      </c>
      <c r="H43">
        <v>324</v>
      </c>
      <c r="I43">
        <v>31</v>
      </c>
      <c r="J43">
        <v>5.2469135802469133E-2</v>
      </c>
      <c r="L43">
        <v>17</v>
      </c>
      <c r="O43">
        <v>-0.90432098765432101</v>
      </c>
      <c r="Q43">
        <v>42</v>
      </c>
    </row>
    <row r="44" spans="1:17" x14ac:dyDescent="0.25">
      <c r="A44" t="s">
        <v>564</v>
      </c>
      <c r="B44" t="s">
        <v>28</v>
      </c>
      <c r="C44" t="s">
        <v>76</v>
      </c>
      <c r="D44" t="s">
        <v>668</v>
      </c>
      <c r="E44" t="s">
        <v>78</v>
      </c>
      <c r="F44" t="s">
        <v>669</v>
      </c>
      <c r="G44" t="s">
        <v>835</v>
      </c>
      <c r="H44">
        <v>38</v>
      </c>
      <c r="I44">
        <v>25</v>
      </c>
      <c r="O44">
        <v>-0.34210526315789469</v>
      </c>
      <c r="Q44">
        <v>43</v>
      </c>
    </row>
    <row r="45" spans="1:17" x14ac:dyDescent="0.25">
      <c r="A45" t="s">
        <v>564</v>
      </c>
      <c r="B45" t="s">
        <v>28</v>
      </c>
      <c r="C45" t="s">
        <v>76</v>
      </c>
      <c r="D45" t="s">
        <v>664</v>
      </c>
      <c r="E45" t="s">
        <v>78</v>
      </c>
      <c r="F45" t="s">
        <v>665</v>
      </c>
      <c r="G45" t="s">
        <v>836</v>
      </c>
      <c r="H45">
        <v>37</v>
      </c>
      <c r="I45">
        <v>21</v>
      </c>
      <c r="J45">
        <v>2.7027027027027029E-2</v>
      </c>
      <c r="L45">
        <v>1</v>
      </c>
      <c r="O45">
        <v>-0.43243243243243251</v>
      </c>
      <c r="Q45">
        <v>44</v>
      </c>
    </row>
    <row r="46" spans="1:17" x14ac:dyDescent="0.25">
      <c r="A46" t="s">
        <v>564</v>
      </c>
      <c r="B46" t="s">
        <v>28</v>
      </c>
      <c r="C46" t="s">
        <v>76</v>
      </c>
      <c r="D46" t="s">
        <v>602</v>
      </c>
      <c r="E46" t="s">
        <v>670</v>
      </c>
      <c r="F46" t="s">
        <v>671</v>
      </c>
      <c r="G46" t="s">
        <v>837</v>
      </c>
      <c r="H46">
        <v>20</v>
      </c>
      <c r="I46">
        <v>19</v>
      </c>
      <c r="J46">
        <v>0.05</v>
      </c>
      <c r="K46">
        <v>0.15789473684210531</v>
      </c>
      <c r="L46">
        <v>1</v>
      </c>
      <c r="M46">
        <v>3</v>
      </c>
      <c r="N46">
        <v>2</v>
      </c>
      <c r="O46">
        <v>-0.05</v>
      </c>
      <c r="P46">
        <v>0.10789473684210529</v>
      </c>
      <c r="Q46">
        <v>45</v>
      </c>
    </row>
    <row r="47" spans="1:17" x14ac:dyDescent="0.25">
      <c r="A47" t="s">
        <v>564</v>
      </c>
      <c r="B47" t="s">
        <v>28</v>
      </c>
      <c r="C47" t="s">
        <v>76</v>
      </c>
      <c r="D47" t="s">
        <v>81</v>
      </c>
      <c r="E47" t="s">
        <v>646</v>
      </c>
      <c r="F47" t="s">
        <v>647</v>
      </c>
      <c r="G47" t="s">
        <v>838</v>
      </c>
      <c r="H47">
        <v>289</v>
      </c>
      <c r="I47">
        <v>14</v>
      </c>
      <c r="J47">
        <v>3.4602076124567479E-3</v>
      </c>
      <c r="L47">
        <v>1</v>
      </c>
      <c r="O47">
        <v>-0.95155709342560557</v>
      </c>
      <c r="Q47">
        <v>46</v>
      </c>
    </row>
    <row r="48" spans="1:17" x14ac:dyDescent="0.25">
      <c r="A48" t="s">
        <v>564</v>
      </c>
      <c r="B48" t="s">
        <v>28</v>
      </c>
      <c r="C48" t="s">
        <v>76</v>
      </c>
      <c r="D48" t="s">
        <v>602</v>
      </c>
      <c r="E48" t="s">
        <v>666</v>
      </c>
      <c r="F48" t="s">
        <v>667</v>
      </c>
      <c r="G48" t="s">
        <v>839</v>
      </c>
      <c r="I48">
        <v>12</v>
      </c>
      <c r="Q48">
        <v>47</v>
      </c>
    </row>
    <row r="49" spans="1:17" x14ac:dyDescent="0.25">
      <c r="A49" t="s">
        <v>564</v>
      </c>
      <c r="B49" t="s">
        <v>28</v>
      </c>
      <c r="C49" t="s">
        <v>76</v>
      </c>
      <c r="D49" t="s">
        <v>674</v>
      </c>
      <c r="E49" t="s">
        <v>78</v>
      </c>
      <c r="F49" t="s">
        <v>675</v>
      </c>
      <c r="G49" t="s">
        <v>840</v>
      </c>
      <c r="H49">
        <v>4</v>
      </c>
      <c r="I49">
        <v>11</v>
      </c>
      <c r="J49">
        <v>0.25</v>
      </c>
      <c r="L49">
        <v>1</v>
      </c>
      <c r="O49">
        <v>1.75</v>
      </c>
      <c r="Q49">
        <v>48</v>
      </c>
    </row>
    <row r="50" spans="1:17" x14ac:dyDescent="0.25">
      <c r="A50" t="s">
        <v>564</v>
      </c>
      <c r="B50" t="s">
        <v>28</v>
      </c>
      <c r="C50" t="s">
        <v>76</v>
      </c>
      <c r="D50" t="s">
        <v>656</v>
      </c>
      <c r="E50" t="s">
        <v>78</v>
      </c>
      <c r="F50" t="s">
        <v>657</v>
      </c>
      <c r="G50" t="s">
        <v>841</v>
      </c>
      <c r="H50">
        <v>12</v>
      </c>
      <c r="I50">
        <v>10</v>
      </c>
      <c r="O50">
        <v>-0.16666666666666671</v>
      </c>
      <c r="Q50">
        <v>49</v>
      </c>
    </row>
    <row r="51" spans="1:17" x14ac:dyDescent="0.25">
      <c r="A51" t="s">
        <v>564</v>
      </c>
      <c r="B51" t="s">
        <v>28</v>
      </c>
      <c r="C51" t="s">
        <v>76</v>
      </c>
      <c r="D51" t="s">
        <v>678</v>
      </c>
      <c r="E51" t="s">
        <v>78</v>
      </c>
      <c r="F51" t="s">
        <v>679</v>
      </c>
      <c r="G51" t="s">
        <v>842</v>
      </c>
      <c r="H51">
        <v>413</v>
      </c>
      <c r="I51">
        <v>8</v>
      </c>
      <c r="J51">
        <v>1.210653753026634E-2</v>
      </c>
      <c r="L51">
        <v>5</v>
      </c>
      <c r="O51">
        <v>-0.98062953995157387</v>
      </c>
      <c r="Q51">
        <v>50</v>
      </c>
    </row>
    <row r="52" spans="1:17" x14ac:dyDescent="0.25">
      <c r="A52" t="s">
        <v>564</v>
      </c>
      <c r="B52" t="s">
        <v>28</v>
      </c>
      <c r="C52" t="s">
        <v>76</v>
      </c>
      <c r="D52" t="s">
        <v>680</v>
      </c>
      <c r="E52" t="s">
        <v>78</v>
      </c>
      <c r="F52" t="s">
        <v>681</v>
      </c>
      <c r="G52" t="s">
        <v>843</v>
      </c>
      <c r="I52">
        <v>6</v>
      </c>
      <c r="Q52">
        <v>51</v>
      </c>
    </row>
    <row r="53" spans="1:17" x14ac:dyDescent="0.25">
      <c r="A53" t="s">
        <v>564</v>
      </c>
      <c r="B53" t="s">
        <v>28</v>
      </c>
      <c r="C53" t="s">
        <v>76</v>
      </c>
      <c r="D53" t="s">
        <v>676</v>
      </c>
      <c r="E53" t="s">
        <v>78</v>
      </c>
      <c r="F53" t="s">
        <v>677</v>
      </c>
      <c r="G53" t="s">
        <v>844</v>
      </c>
      <c r="H53">
        <v>51</v>
      </c>
      <c r="I53">
        <v>6</v>
      </c>
      <c r="O53">
        <v>-0.88235294117647056</v>
      </c>
      <c r="Q53">
        <v>52</v>
      </c>
    </row>
    <row r="54" spans="1:17" x14ac:dyDescent="0.25">
      <c r="A54" t="s">
        <v>564</v>
      </c>
      <c r="B54" t="s">
        <v>28</v>
      </c>
      <c r="C54" t="s">
        <v>76</v>
      </c>
      <c r="D54" t="s">
        <v>634</v>
      </c>
      <c r="E54" t="s">
        <v>658</v>
      </c>
      <c r="F54" t="s">
        <v>659</v>
      </c>
      <c r="G54" t="s">
        <v>845</v>
      </c>
      <c r="H54">
        <v>1836</v>
      </c>
      <c r="I54">
        <v>5</v>
      </c>
      <c r="J54">
        <v>7.0806100217864917E-2</v>
      </c>
      <c r="L54">
        <v>130</v>
      </c>
      <c r="O54">
        <v>-0.99727668845315909</v>
      </c>
      <c r="Q54">
        <v>53</v>
      </c>
    </row>
    <row r="55" spans="1:17" x14ac:dyDescent="0.25">
      <c r="A55" t="s">
        <v>564</v>
      </c>
      <c r="B55" t="s">
        <v>28</v>
      </c>
      <c r="C55" t="s">
        <v>76</v>
      </c>
      <c r="D55" t="s">
        <v>672</v>
      </c>
      <c r="E55" t="s">
        <v>78</v>
      </c>
      <c r="F55" t="s">
        <v>673</v>
      </c>
      <c r="G55" t="s">
        <v>846</v>
      </c>
      <c r="H55">
        <v>32</v>
      </c>
      <c r="I55">
        <v>3</v>
      </c>
      <c r="O55">
        <v>-0.90625</v>
      </c>
      <c r="Q55">
        <v>54</v>
      </c>
    </row>
    <row r="56" spans="1:17" x14ac:dyDescent="0.25">
      <c r="A56" t="s">
        <v>564</v>
      </c>
      <c r="B56" t="s">
        <v>28</v>
      </c>
      <c r="C56" t="s">
        <v>76</v>
      </c>
      <c r="D56" t="s">
        <v>81</v>
      </c>
      <c r="E56" t="s">
        <v>604</v>
      </c>
      <c r="F56" t="s">
        <v>605</v>
      </c>
      <c r="G56" t="s">
        <v>847</v>
      </c>
      <c r="I56">
        <v>3</v>
      </c>
      <c r="Q56">
        <v>55</v>
      </c>
    </row>
    <row r="57" spans="1:17" x14ac:dyDescent="0.25">
      <c r="A57" t="s">
        <v>564</v>
      </c>
      <c r="B57" t="s">
        <v>28</v>
      </c>
      <c r="C57" t="s">
        <v>76</v>
      </c>
      <c r="D57" t="s">
        <v>682</v>
      </c>
      <c r="E57" t="s">
        <v>78</v>
      </c>
      <c r="F57" t="s">
        <v>683</v>
      </c>
      <c r="G57" t="s">
        <v>848</v>
      </c>
      <c r="I57">
        <v>3</v>
      </c>
      <c r="K57">
        <v>0.66666666666666663</v>
      </c>
      <c r="M57">
        <v>2</v>
      </c>
      <c r="Q57">
        <v>56</v>
      </c>
    </row>
    <row r="58" spans="1:17" x14ac:dyDescent="0.25">
      <c r="A58" t="s">
        <v>564</v>
      </c>
      <c r="B58" t="s">
        <v>28</v>
      </c>
      <c r="C58" t="s">
        <v>76</v>
      </c>
      <c r="D58" t="s">
        <v>662</v>
      </c>
      <c r="E58" t="s">
        <v>78</v>
      </c>
      <c r="F58" t="s">
        <v>663</v>
      </c>
      <c r="G58" t="s">
        <v>849</v>
      </c>
      <c r="H58">
        <v>29</v>
      </c>
      <c r="I58">
        <v>1</v>
      </c>
      <c r="J58">
        <v>3.4482758620689648E-2</v>
      </c>
      <c r="L58">
        <v>1</v>
      </c>
      <c r="O58">
        <v>-0.96551724137931039</v>
      </c>
      <c r="Q58">
        <v>57</v>
      </c>
    </row>
    <row r="59" spans="1:17" x14ac:dyDescent="0.25">
      <c r="A59" t="s">
        <v>564</v>
      </c>
      <c r="B59" t="s">
        <v>28</v>
      </c>
      <c r="C59" t="s">
        <v>76</v>
      </c>
      <c r="D59" t="s">
        <v>692</v>
      </c>
      <c r="E59" t="s">
        <v>78</v>
      </c>
      <c r="F59" t="s">
        <v>693</v>
      </c>
      <c r="G59" t="s">
        <v>850</v>
      </c>
      <c r="H59">
        <v>130</v>
      </c>
      <c r="I59">
        <v>1</v>
      </c>
      <c r="J59">
        <v>2.3076923076923082E-2</v>
      </c>
      <c r="L59">
        <v>3</v>
      </c>
      <c r="O59">
        <v>-0.99230769230769234</v>
      </c>
      <c r="Q59">
        <v>58</v>
      </c>
    </row>
    <row r="60" spans="1:17" x14ac:dyDescent="0.25">
      <c r="A60" t="s">
        <v>564</v>
      </c>
      <c r="B60" t="s">
        <v>28</v>
      </c>
      <c r="C60" t="s">
        <v>76</v>
      </c>
      <c r="D60" t="s">
        <v>81</v>
      </c>
      <c r="E60" t="s">
        <v>851</v>
      </c>
      <c r="F60" t="s">
        <v>852</v>
      </c>
      <c r="G60" t="s">
        <v>853</v>
      </c>
      <c r="H60">
        <v>1</v>
      </c>
      <c r="Q60">
        <v>59</v>
      </c>
    </row>
    <row r="61" spans="1:17" x14ac:dyDescent="0.25">
      <c r="A61" t="s">
        <v>564</v>
      </c>
      <c r="B61" t="s">
        <v>28</v>
      </c>
      <c r="C61" t="s">
        <v>76</v>
      </c>
      <c r="D61" t="s">
        <v>602</v>
      </c>
      <c r="E61" t="s">
        <v>854</v>
      </c>
      <c r="F61" t="s">
        <v>855</v>
      </c>
      <c r="G61" t="s">
        <v>856</v>
      </c>
      <c r="Q61">
        <v>60</v>
      </c>
    </row>
    <row r="62" spans="1:17" x14ac:dyDescent="0.25">
      <c r="A62" t="s">
        <v>564</v>
      </c>
      <c r="B62" t="s">
        <v>28</v>
      </c>
      <c r="C62" t="s">
        <v>76</v>
      </c>
      <c r="D62" t="s">
        <v>688</v>
      </c>
      <c r="E62" t="s">
        <v>78</v>
      </c>
      <c r="F62" t="s">
        <v>689</v>
      </c>
      <c r="G62" t="s">
        <v>857</v>
      </c>
      <c r="Q62">
        <v>61</v>
      </c>
    </row>
    <row r="63" spans="1:17" x14ac:dyDescent="0.25">
      <c r="A63" t="s">
        <v>564</v>
      </c>
      <c r="B63" t="s">
        <v>28</v>
      </c>
      <c r="C63" t="s">
        <v>76</v>
      </c>
      <c r="D63" t="s">
        <v>858</v>
      </c>
      <c r="E63" t="s">
        <v>78</v>
      </c>
      <c r="F63" t="s">
        <v>859</v>
      </c>
      <c r="G63" t="s">
        <v>860</v>
      </c>
      <c r="Q63">
        <v>62</v>
      </c>
    </row>
    <row r="64" spans="1:17" x14ac:dyDescent="0.25">
      <c r="A64" t="s">
        <v>564</v>
      </c>
      <c r="B64" t="s">
        <v>28</v>
      </c>
      <c r="C64" t="s">
        <v>76</v>
      </c>
      <c r="D64" t="s">
        <v>861</v>
      </c>
      <c r="E64" t="s">
        <v>78</v>
      </c>
      <c r="F64" t="s">
        <v>862</v>
      </c>
      <c r="G64" t="s">
        <v>863</v>
      </c>
      <c r="Q64">
        <v>63</v>
      </c>
    </row>
    <row r="65" spans="1:17" x14ac:dyDescent="0.25">
      <c r="A65" t="s">
        <v>564</v>
      </c>
      <c r="B65" t="s">
        <v>28</v>
      </c>
      <c r="C65" t="s">
        <v>76</v>
      </c>
      <c r="D65" t="s">
        <v>602</v>
      </c>
      <c r="E65" t="s">
        <v>864</v>
      </c>
      <c r="F65" t="s">
        <v>865</v>
      </c>
      <c r="G65" t="s">
        <v>866</v>
      </c>
      <c r="Q65">
        <v>64</v>
      </c>
    </row>
    <row r="66" spans="1:17" x14ac:dyDescent="0.25">
      <c r="A66" t="s">
        <v>564</v>
      </c>
      <c r="B66" t="s">
        <v>28</v>
      </c>
      <c r="C66" t="s">
        <v>76</v>
      </c>
      <c r="D66" t="s">
        <v>602</v>
      </c>
      <c r="E66" t="s">
        <v>867</v>
      </c>
      <c r="F66" t="s">
        <v>868</v>
      </c>
      <c r="G66" t="s">
        <v>869</v>
      </c>
      <c r="Q66">
        <v>65</v>
      </c>
    </row>
    <row r="67" spans="1:17" x14ac:dyDescent="0.25">
      <c r="A67" t="s">
        <v>564</v>
      </c>
      <c r="B67" t="s">
        <v>28</v>
      </c>
      <c r="C67" t="s">
        <v>76</v>
      </c>
      <c r="D67" t="s">
        <v>602</v>
      </c>
      <c r="E67" t="s">
        <v>870</v>
      </c>
      <c r="F67" t="s">
        <v>871</v>
      </c>
      <c r="G67" t="s">
        <v>872</v>
      </c>
      <c r="Q67">
        <v>66</v>
      </c>
    </row>
    <row r="68" spans="1:17" x14ac:dyDescent="0.25">
      <c r="A68" t="s">
        <v>564</v>
      </c>
      <c r="B68" t="s">
        <v>28</v>
      </c>
      <c r="C68" t="s">
        <v>76</v>
      </c>
      <c r="D68" t="s">
        <v>873</v>
      </c>
      <c r="E68" t="s">
        <v>78</v>
      </c>
      <c r="F68" t="s">
        <v>874</v>
      </c>
      <c r="G68" t="s">
        <v>875</v>
      </c>
      <c r="Q68">
        <v>67</v>
      </c>
    </row>
    <row r="69" spans="1:17" x14ac:dyDescent="0.25">
      <c r="A69" t="s">
        <v>564</v>
      </c>
      <c r="B69" t="s">
        <v>28</v>
      </c>
      <c r="C69" t="s">
        <v>76</v>
      </c>
      <c r="D69" t="s">
        <v>602</v>
      </c>
      <c r="E69" t="s">
        <v>876</v>
      </c>
      <c r="F69" t="s">
        <v>877</v>
      </c>
      <c r="G69" t="s">
        <v>878</v>
      </c>
      <c r="Q69">
        <v>68</v>
      </c>
    </row>
    <row r="70" spans="1:17" x14ac:dyDescent="0.25">
      <c r="A70" t="s">
        <v>564</v>
      </c>
      <c r="B70" t="s">
        <v>28</v>
      </c>
      <c r="C70" t="s">
        <v>76</v>
      </c>
      <c r="D70" t="s">
        <v>694</v>
      </c>
      <c r="E70" t="s">
        <v>78</v>
      </c>
      <c r="F70" t="s">
        <v>695</v>
      </c>
      <c r="G70" t="s">
        <v>879</v>
      </c>
      <c r="H70">
        <v>306</v>
      </c>
      <c r="J70">
        <v>0.14052287581699349</v>
      </c>
      <c r="L70">
        <v>43</v>
      </c>
      <c r="Q70">
        <v>69</v>
      </c>
    </row>
    <row r="71" spans="1:17" x14ac:dyDescent="0.25">
      <c r="A71" t="s">
        <v>564</v>
      </c>
      <c r="B71" t="s">
        <v>28</v>
      </c>
      <c r="C71" t="s">
        <v>76</v>
      </c>
      <c r="D71" t="s">
        <v>634</v>
      </c>
      <c r="E71" t="s">
        <v>880</v>
      </c>
      <c r="F71" t="s">
        <v>881</v>
      </c>
      <c r="G71" t="s">
        <v>882</v>
      </c>
      <c r="H71">
        <v>200</v>
      </c>
      <c r="J71">
        <v>0.01</v>
      </c>
      <c r="L71">
        <v>2</v>
      </c>
      <c r="Q71">
        <v>70</v>
      </c>
    </row>
    <row r="72" spans="1:17" x14ac:dyDescent="0.25">
      <c r="A72" t="s">
        <v>564</v>
      </c>
      <c r="B72" t="s">
        <v>28</v>
      </c>
      <c r="C72" t="s">
        <v>76</v>
      </c>
      <c r="D72" t="s">
        <v>634</v>
      </c>
      <c r="E72" t="s">
        <v>883</v>
      </c>
      <c r="F72" t="s">
        <v>884</v>
      </c>
      <c r="G72" t="s">
        <v>885</v>
      </c>
      <c r="H72">
        <v>2</v>
      </c>
      <c r="Q72">
        <v>71</v>
      </c>
    </row>
    <row r="73" spans="1:17" x14ac:dyDescent="0.25">
      <c r="A73" t="s">
        <v>564</v>
      </c>
      <c r="B73" t="s">
        <v>28</v>
      </c>
      <c r="C73" t="s">
        <v>76</v>
      </c>
      <c r="D73" t="s">
        <v>886</v>
      </c>
      <c r="E73" t="s">
        <v>78</v>
      </c>
      <c r="F73" t="s">
        <v>887</v>
      </c>
      <c r="G73" t="s">
        <v>888</v>
      </c>
      <c r="Q73">
        <v>72</v>
      </c>
    </row>
    <row r="74" spans="1:17" x14ac:dyDescent="0.25">
      <c r="A74" t="s">
        <v>564</v>
      </c>
      <c r="B74" t="s">
        <v>28</v>
      </c>
      <c r="C74" t="s">
        <v>76</v>
      </c>
      <c r="D74" t="s">
        <v>684</v>
      </c>
      <c r="E74" t="s">
        <v>78</v>
      </c>
      <c r="F74" t="s">
        <v>685</v>
      </c>
      <c r="G74" t="s">
        <v>889</v>
      </c>
      <c r="Q74">
        <v>73</v>
      </c>
    </row>
    <row r="75" spans="1:17" x14ac:dyDescent="0.25">
      <c r="A75" t="s">
        <v>564</v>
      </c>
      <c r="B75" t="s">
        <v>28</v>
      </c>
      <c r="C75" t="s">
        <v>76</v>
      </c>
      <c r="D75" t="s">
        <v>890</v>
      </c>
      <c r="E75" t="s">
        <v>78</v>
      </c>
      <c r="F75" t="s">
        <v>891</v>
      </c>
      <c r="G75" t="s">
        <v>892</v>
      </c>
      <c r="Q75">
        <v>74</v>
      </c>
    </row>
    <row r="76" spans="1:17" x14ac:dyDescent="0.25">
      <c r="A76" t="s">
        <v>564</v>
      </c>
      <c r="B76" t="s">
        <v>28</v>
      </c>
      <c r="C76" t="s">
        <v>76</v>
      </c>
      <c r="D76" t="s">
        <v>686</v>
      </c>
      <c r="E76" t="s">
        <v>78</v>
      </c>
      <c r="F76" t="s">
        <v>687</v>
      </c>
      <c r="G76" t="s">
        <v>893</v>
      </c>
      <c r="H76">
        <v>1</v>
      </c>
      <c r="Q76">
        <v>75</v>
      </c>
    </row>
    <row r="77" spans="1:17" x14ac:dyDescent="0.25">
      <c r="A77" t="s">
        <v>564</v>
      </c>
      <c r="B77" t="s">
        <v>28</v>
      </c>
      <c r="C77" t="s">
        <v>76</v>
      </c>
      <c r="D77" t="s">
        <v>686</v>
      </c>
      <c r="E77" t="s">
        <v>894</v>
      </c>
      <c r="F77" t="s">
        <v>895</v>
      </c>
      <c r="G77" t="s">
        <v>896</v>
      </c>
      <c r="H77">
        <v>1</v>
      </c>
      <c r="Q77">
        <v>76</v>
      </c>
    </row>
    <row r="78" spans="1:17" x14ac:dyDescent="0.25">
      <c r="A78" t="s">
        <v>564</v>
      </c>
      <c r="B78" t="s">
        <v>28</v>
      </c>
      <c r="C78" t="s">
        <v>76</v>
      </c>
      <c r="D78" t="s">
        <v>897</v>
      </c>
      <c r="E78" t="s">
        <v>78</v>
      </c>
      <c r="F78" t="s">
        <v>898</v>
      </c>
      <c r="G78" t="s">
        <v>899</v>
      </c>
      <c r="Q78">
        <v>77</v>
      </c>
    </row>
    <row r="79" spans="1:17" x14ac:dyDescent="0.25">
      <c r="A79" t="s">
        <v>564</v>
      </c>
      <c r="B79" t="s">
        <v>28</v>
      </c>
      <c r="C79" t="s">
        <v>76</v>
      </c>
      <c r="D79" t="s">
        <v>900</v>
      </c>
      <c r="E79" t="s">
        <v>78</v>
      </c>
      <c r="F79" t="s">
        <v>901</v>
      </c>
      <c r="G79" t="s">
        <v>902</v>
      </c>
      <c r="Q79">
        <v>78</v>
      </c>
    </row>
    <row r="80" spans="1:17" x14ac:dyDescent="0.25">
      <c r="A80" t="s">
        <v>564</v>
      </c>
      <c r="B80" t="s">
        <v>28</v>
      </c>
      <c r="C80" t="s">
        <v>76</v>
      </c>
      <c r="D80" t="s">
        <v>903</v>
      </c>
      <c r="E80" t="s">
        <v>78</v>
      </c>
      <c r="F80" t="s">
        <v>904</v>
      </c>
      <c r="G80" t="s">
        <v>905</v>
      </c>
      <c r="H80">
        <v>12</v>
      </c>
      <c r="Q80">
        <v>79</v>
      </c>
    </row>
    <row r="81" spans="1:17" x14ac:dyDescent="0.25">
      <c r="A81" t="s">
        <v>564</v>
      </c>
      <c r="B81" t="s">
        <v>28</v>
      </c>
      <c r="C81" t="s">
        <v>76</v>
      </c>
      <c r="D81" t="s">
        <v>906</v>
      </c>
      <c r="E81" t="s">
        <v>78</v>
      </c>
      <c r="F81" t="s">
        <v>907</v>
      </c>
      <c r="G81" t="s">
        <v>908</v>
      </c>
      <c r="Q81">
        <v>80</v>
      </c>
    </row>
    <row r="82" spans="1:17" x14ac:dyDescent="0.25">
      <c r="A82" t="s">
        <v>564</v>
      </c>
      <c r="B82" t="s">
        <v>28</v>
      </c>
      <c r="C82" t="s">
        <v>76</v>
      </c>
      <c r="D82" t="s">
        <v>686</v>
      </c>
      <c r="E82" t="s">
        <v>909</v>
      </c>
      <c r="F82" t="s">
        <v>910</v>
      </c>
      <c r="G82" t="s">
        <v>911</v>
      </c>
      <c r="Q82">
        <v>81</v>
      </c>
    </row>
    <row r="83" spans="1:17" x14ac:dyDescent="0.25">
      <c r="A83" t="s">
        <v>564</v>
      </c>
      <c r="B83" t="s">
        <v>28</v>
      </c>
      <c r="C83" t="s">
        <v>76</v>
      </c>
      <c r="D83" t="s">
        <v>912</v>
      </c>
      <c r="E83" t="s">
        <v>78</v>
      </c>
      <c r="F83" t="s">
        <v>913</v>
      </c>
      <c r="G83" t="s">
        <v>914</v>
      </c>
      <c r="Q83">
        <v>82</v>
      </c>
    </row>
    <row r="84" spans="1:17" x14ac:dyDescent="0.25">
      <c r="A84" t="s">
        <v>564</v>
      </c>
      <c r="B84" t="s">
        <v>28</v>
      </c>
      <c r="C84" t="s">
        <v>76</v>
      </c>
      <c r="D84" t="s">
        <v>686</v>
      </c>
      <c r="E84" t="s">
        <v>915</v>
      </c>
      <c r="F84" t="s">
        <v>916</v>
      </c>
      <c r="G84" t="s">
        <v>917</v>
      </c>
      <c r="Q84">
        <v>83</v>
      </c>
    </row>
    <row r="85" spans="1:17" x14ac:dyDescent="0.25">
      <c r="A85" t="s">
        <v>564</v>
      </c>
      <c r="B85" t="s">
        <v>28</v>
      </c>
      <c r="C85" t="s">
        <v>76</v>
      </c>
      <c r="D85" t="s">
        <v>918</v>
      </c>
      <c r="E85" t="s">
        <v>78</v>
      </c>
      <c r="F85" t="s">
        <v>919</v>
      </c>
      <c r="G85" t="s">
        <v>920</v>
      </c>
      <c r="Q85">
        <v>84</v>
      </c>
    </row>
    <row r="86" spans="1:17" x14ac:dyDescent="0.25">
      <c r="A86" t="s">
        <v>564</v>
      </c>
      <c r="B86" t="s">
        <v>28</v>
      </c>
      <c r="C86" t="s">
        <v>76</v>
      </c>
      <c r="D86" t="s">
        <v>686</v>
      </c>
      <c r="E86" t="s">
        <v>921</v>
      </c>
      <c r="F86" t="s">
        <v>922</v>
      </c>
      <c r="G86" t="s">
        <v>923</v>
      </c>
      <c r="Q86">
        <v>85</v>
      </c>
    </row>
    <row r="87" spans="1:17" x14ac:dyDescent="0.25">
      <c r="A87" t="s">
        <v>564</v>
      </c>
      <c r="B87" t="s">
        <v>28</v>
      </c>
      <c r="C87" t="s">
        <v>76</v>
      </c>
      <c r="D87" t="s">
        <v>686</v>
      </c>
      <c r="E87" t="s">
        <v>924</v>
      </c>
      <c r="F87" t="s">
        <v>925</v>
      </c>
      <c r="G87" t="s">
        <v>926</v>
      </c>
      <c r="Q87">
        <v>86</v>
      </c>
    </row>
    <row r="88" spans="1:17" x14ac:dyDescent="0.25">
      <c r="A88" t="s">
        <v>564</v>
      </c>
      <c r="B88" t="s">
        <v>28</v>
      </c>
      <c r="C88" t="s">
        <v>76</v>
      </c>
      <c r="D88" t="s">
        <v>927</v>
      </c>
      <c r="E88" t="s">
        <v>78</v>
      </c>
      <c r="F88" t="s">
        <v>928</v>
      </c>
      <c r="G88" t="s">
        <v>929</v>
      </c>
      <c r="Q88">
        <v>87</v>
      </c>
    </row>
    <row r="89" spans="1:17" x14ac:dyDescent="0.25">
      <c r="A89" t="s">
        <v>564</v>
      </c>
      <c r="B89" t="s">
        <v>28</v>
      </c>
      <c r="C89" t="s">
        <v>76</v>
      </c>
      <c r="D89" t="s">
        <v>690</v>
      </c>
      <c r="E89" t="s">
        <v>78</v>
      </c>
      <c r="F89" t="s">
        <v>691</v>
      </c>
      <c r="G89" t="s">
        <v>930</v>
      </c>
      <c r="H89">
        <v>1</v>
      </c>
      <c r="Q89">
        <v>88</v>
      </c>
    </row>
    <row r="90" spans="1:17" x14ac:dyDescent="0.25">
      <c r="A90" t="s">
        <v>564</v>
      </c>
      <c r="B90" t="s">
        <v>28</v>
      </c>
      <c r="C90" t="s">
        <v>76</v>
      </c>
      <c r="D90" t="s">
        <v>931</v>
      </c>
      <c r="E90" t="s">
        <v>78</v>
      </c>
      <c r="F90" t="s">
        <v>932</v>
      </c>
      <c r="G90" t="s">
        <v>933</v>
      </c>
      <c r="Q90">
        <v>89</v>
      </c>
    </row>
    <row r="91" spans="1:17" x14ac:dyDescent="0.25">
      <c r="A91" t="s">
        <v>564</v>
      </c>
      <c r="B91" t="s">
        <v>28</v>
      </c>
      <c r="C91" t="s">
        <v>76</v>
      </c>
      <c r="D91" t="s">
        <v>686</v>
      </c>
      <c r="E91" t="s">
        <v>934</v>
      </c>
      <c r="F91" t="s">
        <v>935</v>
      </c>
      <c r="G91" t="s">
        <v>936</v>
      </c>
      <c r="Q91">
        <v>90</v>
      </c>
    </row>
    <row r="92" spans="1:17" x14ac:dyDescent="0.25">
      <c r="A92" t="s">
        <v>564</v>
      </c>
      <c r="B92" t="s">
        <v>28</v>
      </c>
      <c r="C92" t="s">
        <v>76</v>
      </c>
      <c r="D92" t="s">
        <v>686</v>
      </c>
      <c r="E92" t="s">
        <v>937</v>
      </c>
      <c r="F92" t="s">
        <v>938</v>
      </c>
      <c r="G92" t="s">
        <v>939</v>
      </c>
      <c r="Q92">
        <v>91</v>
      </c>
    </row>
    <row r="93" spans="1:17" x14ac:dyDescent="0.25">
      <c r="A93" t="s">
        <v>564</v>
      </c>
      <c r="B93" t="s">
        <v>28</v>
      </c>
      <c r="C93" t="s">
        <v>76</v>
      </c>
      <c r="D93" t="s">
        <v>686</v>
      </c>
      <c r="E93" t="s">
        <v>940</v>
      </c>
      <c r="F93" t="s">
        <v>941</v>
      </c>
      <c r="G93" t="s">
        <v>942</v>
      </c>
      <c r="Q93">
        <v>92</v>
      </c>
    </row>
    <row r="94" spans="1:17" x14ac:dyDescent="0.25">
      <c r="A94" t="s">
        <v>564</v>
      </c>
      <c r="B94" t="s">
        <v>28</v>
      </c>
      <c r="C94" t="s">
        <v>76</v>
      </c>
      <c r="D94" t="s">
        <v>943</v>
      </c>
      <c r="E94" t="s">
        <v>78</v>
      </c>
      <c r="F94" t="s">
        <v>944</v>
      </c>
      <c r="G94" t="s">
        <v>945</v>
      </c>
      <c r="H94">
        <v>1</v>
      </c>
      <c r="Q94">
        <v>93</v>
      </c>
    </row>
    <row r="95" spans="1:17" x14ac:dyDescent="0.25">
      <c r="A95" t="s">
        <v>564</v>
      </c>
      <c r="B95" t="s">
        <v>28</v>
      </c>
      <c r="C95" t="s">
        <v>76</v>
      </c>
      <c r="D95" t="s">
        <v>946</v>
      </c>
      <c r="E95" t="s">
        <v>78</v>
      </c>
      <c r="F95" t="s">
        <v>947</v>
      </c>
      <c r="G95" t="s">
        <v>948</v>
      </c>
      <c r="Q95">
        <v>94</v>
      </c>
    </row>
    <row r="96" spans="1:17" x14ac:dyDescent="0.25">
      <c r="A96" t="s">
        <v>564</v>
      </c>
      <c r="B96" t="s">
        <v>28</v>
      </c>
      <c r="C96" t="s">
        <v>76</v>
      </c>
      <c r="D96" t="s">
        <v>949</v>
      </c>
      <c r="E96" t="s">
        <v>78</v>
      </c>
      <c r="F96" t="s">
        <v>950</v>
      </c>
      <c r="G96" t="s">
        <v>951</v>
      </c>
      <c r="Q96">
        <v>95</v>
      </c>
    </row>
    <row r="97" spans="1:17" x14ac:dyDescent="0.25">
      <c r="A97" t="s">
        <v>564</v>
      </c>
      <c r="B97" t="s">
        <v>28</v>
      </c>
      <c r="C97" t="s">
        <v>76</v>
      </c>
      <c r="D97" t="s">
        <v>686</v>
      </c>
      <c r="E97" t="s">
        <v>952</v>
      </c>
      <c r="F97" t="s">
        <v>953</v>
      </c>
      <c r="G97" t="s">
        <v>954</v>
      </c>
      <c r="Q97">
        <v>96</v>
      </c>
    </row>
    <row r="98" spans="1:17" x14ac:dyDescent="0.25">
      <c r="A98" t="s">
        <v>564</v>
      </c>
      <c r="B98" t="s">
        <v>28</v>
      </c>
      <c r="C98" t="s">
        <v>76</v>
      </c>
      <c r="D98" t="s">
        <v>955</v>
      </c>
      <c r="E98" t="s">
        <v>78</v>
      </c>
      <c r="F98" t="s">
        <v>956</v>
      </c>
      <c r="G98" t="s">
        <v>957</v>
      </c>
      <c r="Q98">
        <v>97</v>
      </c>
    </row>
    <row r="99" spans="1:17" x14ac:dyDescent="0.25">
      <c r="A99" t="s">
        <v>564</v>
      </c>
      <c r="B99" t="s">
        <v>28</v>
      </c>
      <c r="C99" t="s">
        <v>76</v>
      </c>
      <c r="D99" t="s">
        <v>686</v>
      </c>
      <c r="E99" t="s">
        <v>958</v>
      </c>
      <c r="F99" t="s">
        <v>959</v>
      </c>
      <c r="G99" t="s">
        <v>960</v>
      </c>
      <c r="Q99">
        <v>98</v>
      </c>
    </row>
    <row r="100" spans="1:17" x14ac:dyDescent="0.25">
      <c r="A100" t="s">
        <v>564</v>
      </c>
      <c r="B100" t="s">
        <v>28</v>
      </c>
      <c r="C100" t="s">
        <v>76</v>
      </c>
      <c r="D100" t="s">
        <v>961</v>
      </c>
      <c r="E100" t="s">
        <v>78</v>
      </c>
      <c r="F100" t="s">
        <v>962</v>
      </c>
      <c r="G100" t="s">
        <v>963</v>
      </c>
      <c r="Q100">
        <v>99</v>
      </c>
    </row>
    <row r="101" spans="1:17" x14ac:dyDescent="0.25">
      <c r="A101" t="s">
        <v>564</v>
      </c>
      <c r="B101" t="s">
        <v>28</v>
      </c>
      <c r="C101" t="s">
        <v>76</v>
      </c>
      <c r="D101" t="s">
        <v>964</v>
      </c>
      <c r="E101" t="s">
        <v>78</v>
      </c>
      <c r="F101" t="s">
        <v>965</v>
      </c>
      <c r="G101" t="s">
        <v>966</v>
      </c>
      <c r="Q101">
        <v>100</v>
      </c>
    </row>
    <row r="102" spans="1:17" x14ac:dyDescent="0.25">
      <c r="A102" t="s">
        <v>564</v>
      </c>
      <c r="B102" t="s">
        <v>28</v>
      </c>
      <c r="C102" t="s">
        <v>76</v>
      </c>
      <c r="D102" t="s">
        <v>967</v>
      </c>
      <c r="E102" t="s">
        <v>78</v>
      </c>
      <c r="F102" t="s">
        <v>968</v>
      </c>
      <c r="G102" t="s">
        <v>969</v>
      </c>
      <c r="Q102">
        <v>101</v>
      </c>
    </row>
    <row r="103" spans="1:17" x14ac:dyDescent="0.25">
      <c r="A103" t="s">
        <v>564</v>
      </c>
      <c r="B103" t="s">
        <v>28</v>
      </c>
      <c r="C103" t="s">
        <v>76</v>
      </c>
      <c r="D103" t="s">
        <v>970</v>
      </c>
      <c r="E103" t="s">
        <v>78</v>
      </c>
      <c r="F103" t="s">
        <v>971</v>
      </c>
      <c r="G103" t="s">
        <v>972</v>
      </c>
      <c r="Q103">
        <v>102</v>
      </c>
    </row>
    <row r="104" spans="1:17" x14ac:dyDescent="0.25">
      <c r="A104" t="s">
        <v>564</v>
      </c>
      <c r="B104" t="s">
        <v>28</v>
      </c>
      <c r="C104" t="s">
        <v>76</v>
      </c>
      <c r="D104" t="s">
        <v>973</v>
      </c>
      <c r="E104" t="s">
        <v>78</v>
      </c>
      <c r="F104" t="s">
        <v>974</v>
      </c>
      <c r="G104" t="s">
        <v>975</v>
      </c>
      <c r="Q104">
        <v>103</v>
      </c>
    </row>
    <row r="105" spans="1:17" x14ac:dyDescent="0.25">
      <c r="A105" t="s">
        <v>564</v>
      </c>
      <c r="B105" t="s">
        <v>28</v>
      </c>
      <c r="C105" t="s">
        <v>76</v>
      </c>
      <c r="D105" t="s">
        <v>976</v>
      </c>
      <c r="E105" t="s">
        <v>78</v>
      </c>
      <c r="F105" t="s">
        <v>977</v>
      </c>
      <c r="G105" t="s">
        <v>978</v>
      </c>
      <c r="Q105">
        <v>104</v>
      </c>
    </row>
    <row r="106" spans="1:17" x14ac:dyDescent="0.25">
      <c r="A106" t="s">
        <v>564</v>
      </c>
      <c r="B106" t="s">
        <v>28</v>
      </c>
      <c r="C106" t="s">
        <v>76</v>
      </c>
      <c r="D106" t="s">
        <v>979</v>
      </c>
      <c r="E106" t="s">
        <v>78</v>
      </c>
      <c r="F106" t="s">
        <v>980</v>
      </c>
      <c r="G106" t="s">
        <v>981</v>
      </c>
      <c r="Q106">
        <v>105</v>
      </c>
    </row>
    <row r="107" spans="1:17" x14ac:dyDescent="0.25">
      <c r="A107" t="s">
        <v>564</v>
      </c>
      <c r="B107" t="s">
        <v>28</v>
      </c>
      <c r="C107" t="s">
        <v>76</v>
      </c>
      <c r="D107" t="s">
        <v>982</v>
      </c>
      <c r="E107" t="s">
        <v>78</v>
      </c>
      <c r="F107" t="s">
        <v>983</v>
      </c>
      <c r="G107" t="s">
        <v>984</v>
      </c>
      <c r="Q107">
        <v>106</v>
      </c>
    </row>
    <row r="108" spans="1:17" x14ac:dyDescent="0.25">
      <c r="A108" t="s">
        <v>564</v>
      </c>
      <c r="B108" t="s">
        <v>28</v>
      </c>
      <c r="C108" t="s">
        <v>76</v>
      </c>
      <c r="D108" t="s">
        <v>985</v>
      </c>
      <c r="E108" t="s">
        <v>78</v>
      </c>
      <c r="F108" t="s">
        <v>986</v>
      </c>
      <c r="G108" t="s">
        <v>987</v>
      </c>
      <c r="Q108">
        <v>107</v>
      </c>
    </row>
    <row r="109" spans="1:17" x14ac:dyDescent="0.25">
      <c r="A109" t="s">
        <v>564</v>
      </c>
      <c r="B109" t="s">
        <v>28</v>
      </c>
      <c r="C109" t="s">
        <v>76</v>
      </c>
      <c r="D109" t="s">
        <v>988</v>
      </c>
      <c r="E109" t="s">
        <v>78</v>
      </c>
      <c r="F109" t="s">
        <v>989</v>
      </c>
      <c r="G109" t="s">
        <v>990</v>
      </c>
      <c r="Q109">
        <v>108</v>
      </c>
    </row>
    <row r="110" spans="1:17" x14ac:dyDescent="0.25">
      <c r="A110" t="s">
        <v>564</v>
      </c>
      <c r="B110" t="s">
        <v>28</v>
      </c>
      <c r="C110" t="s">
        <v>76</v>
      </c>
      <c r="D110" t="s">
        <v>686</v>
      </c>
      <c r="E110" t="s">
        <v>991</v>
      </c>
      <c r="F110" t="s">
        <v>992</v>
      </c>
      <c r="G110" t="s">
        <v>993</v>
      </c>
      <c r="Q110">
        <v>109</v>
      </c>
    </row>
    <row r="111" spans="1:17" x14ac:dyDescent="0.25">
      <c r="A111" t="s">
        <v>564</v>
      </c>
      <c r="B111" t="s">
        <v>28</v>
      </c>
      <c r="C111" t="s">
        <v>76</v>
      </c>
      <c r="D111" t="s">
        <v>994</v>
      </c>
      <c r="E111" t="s">
        <v>78</v>
      </c>
      <c r="F111" t="s">
        <v>995</v>
      </c>
      <c r="G111" t="s">
        <v>996</v>
      </c>
      <c r="Q111">
        <v>110</v>
      </c>
    </row>
    <row r="112" spans="1:17" x14ac:dyDescent="0.25">
      <c r="A112" t="s">
        <v>564</v>
      </c>
      <c r="B112" t="s">
        <v>28</v>
      </c>
      <c r="C112" t="s">
        <v>76</v>
      </c>
      <c r="D112" t="s">
        <v>997</v>
      </c>
      <c r="E112" t="s">
        <v>78</v>
      </c>
      <c r="F112" t="s">
        <v>998</v>
      </c>
      <c r="G112" t="s">
        <v>999</v>
      </c>
      <c r="Q112">
        <v>111</v>
      </c>
    </row>
    <row r="113" spans="1:17" x14ac:dyDescent="0.25">
      <c r="A113" t="s">
        <v>564</v>
      </c>
      <c r="B113" t="s">
        <v>28</v>
      </c>
      <c r="C113" t="s">
        <v>76</v>
      </c>
      <c r="D113" t="s">
        <v>1000</v>
      </c>
      <c r="E113" t="s">
        <v>78</v>
      </c>
      <c r="F113" t="s">
        <v>1001</v>
      </c>
      <c r="G113" t="s">
        <v>1002</v>
      </c>
      <c r="Q113">
        <v>112</v>
      </c>
    </row>
    <row r="114" spans="1:17" x14ac:dyDescent="0.25">
      <c r="A114" t="s">
        <v>564</v>
      </c>
      <c r="B114" t="s">
        <v>28</v>
      </c>
      <c r="C114" t="s">
        <v>76</v>
      </c>
      <c r="D114" t="s">
        <v>1003</v>
      </c>
      <c r="E114" t="s">
        <v>78</v>
      </c>
      <c r="F114" t="s">
        <v>1004</v>
      </c>
      <c r="G114" t="s">
        <v>1005</v>
      </c>
      <c r="Q114">
        <v>113</v>
      </c>
    </row>
    <row r="115" spans="1:17" x14ac:dyDescent="0.25">
      <c r="A115" t="s">
        <v>564</v>
      </c>
      <c r="B115" t="s">
        <v>28</v>
      </c>
      <c r="C115" t="s">
        <v>76</v>
      </c>
      <c r="D115" t="s">
        <v>686</v>
      </c>
      <c r="E115" t="s">
        <v>1006</v>
      </c>
      <c r="F115" t="s">
        <v>1007</v>
      </c>
      <c r="G115" t="s">
        <v>1008</v>
      </c>
      <c r="Q115">
        <v>114</v>
      </c>
    </row>
    <row r="116" spans="1:17" x14ac:dyDescent="0.25">
      <c r="A116" t="s">
        <v>564</v>
      </c>
      <c r="B116" t="s">
        <v>28</v>
      </c>
      <c r="C116" t="s">
        <v>76</v>
      </c>
      <c r="D116" t="s">
        <v>686</v>
      </c>
      <c r="E116" t="s">
        <v>1009</v>
      </c>
      <c r="F116" t="s">
        <v>1010</v>
      </c>
      <c r="G116" t="s">
        <v>1011</v>
      </c>
      <c r="Q116">
        <v>115</v>
      </c>
    </row>
    <row r="117" spans="1:17" x14ac:dyDescent="0.25">
      <c r="A117" t="s">
        <v>564</v>
      </c>
      <c r="B117" t="s">
        <v>28</v>
      </c>
      <c r="C117" t="s">
        <v>76</v>
      </c>
      <c r="D117" t="s">
        <v>686</v>
      </c>
      <c r="E117" t="s">
        <v>1012</v>
      </c>
      <c r="F117" t="s">
        <v>1013</v>
      </c>
      <c r="G117" t="s">
        <v>1014</v>
      </c>
      <c r="Q117">
        <v>116</v>
      </c>
    </row>
    <row r="118" spans="1:17" x14ac:dyDescent="0.25">
      <c r="A118" t="s">
        <v>564</v>
      </c>
      <c r="B118" t="s">
        <v>28</v>
      </c>
      <c r="C118" t="s">
        <v>76</v>
      </c>
      <c r="D118" t="s">
        <v>1015</v>
      </c>
      <c r="E118" t="s">
        <v>78</v>
      </c>
      <c r="F118" t="s">
        <v>1016</v>
      </c>
      <c r="G118" t="s">
        <v>1017</v>
      </c>
      <c r="Q118">
        <v>117</v>
      </c>
    </row>
    <row r="119" spans="1:17" x14ac:dyDescent="0.25">
      <c r="A119" t="s">
        <v>564</v>
      </c>
      <c r="B119" t="s">
        <v>28</v>
      </c>
      <c r="C119" t="s">
        <v>76</v>
      </c>
      <c r="D119" t="s">
        <v>1018</v>
      </c>
      <c r="E119" t="s">
        <v>78</v>
      </c>
      <c r="F119" t="s">
        <v>1019</v>
      </c>
      <c r="G119" t="s">
        <v>1020</v>
      </c>
      <c r="Q119">
        <v>118</v>
      </c>
    </row>
    <row r="120" spans="1:17" x14ac:dyDescent="0.25">
      <c r="A120" t="s">
        <v>564</v>
      </c>
      <c r="B120" t="s">
        <v>28</v>
      </c>
      <c r="C120" t="s">
        <v>76</v>
      </c>
      <c r="D120" t="s">
        <v>686</v>
      </c>
      <c r="E120" t="s">
        <v>1021</v>
      </c>
      <c r="F120" t="s">
        <v>1022</v>
      </c>
      <c r="G120" t="s">
        <v>1023</v>
      </c>
      <c r="Q120">
        <v>119</v>
      </c>
    </row>
    <row r="121" spans="1:17" x14ac:dyDescent="0.25">
      <c r="A121" t="s">
        <v>564</v>
      </c>
      <c r="B121" t="s">
        <v>28</v>
      </c>
      <c r="C121" t="s">
        <v>76</v>
      </c>
      <c r="D121" t="s">
        <v>686</v>
      </c>
      <c r="E121" t="s">
        <v>1024</v>
      </c>
      <c r="F121" t="s">
        <v>1025</v>
      </c>
      <c r="G121" t="s">
        <v>1026</v>
      </c>
      <c r="Q121">
        <v>120</v>
      </c>
    </row>
    <row r="122" spans="1:17" x14ac:dyDescent="0.25">
      <c r="A122" t="s">
        <v>564</v>
      </c>
      <c r="B122" t="s">
        <v>28</v>
      </c>
      <c r="C122" t="s">
        <v>76</v>
      </c>
      <c r="D122" t="s">
        <v>1027</v>
      </c>
      <c r="E122" t="s">
        <v>78</v>
      </c>
      <c r="F122" t="s">
        <v>1028</v>
      </c>
      <c r="G122" t="s">
        <v>1029</v>
      </c>
      <c r="Q122">
        <v>121</v>
      </c>
    </row>
    <row r="123" spans="1:17" x14ac:dyDescent="0.25">
      <c r="A123" t="s">
        <v>564</v>
      </c>
      <c r="B123" t="s">
        <v>28</v>
      </c>
      <c r="C123" t="s">
        <v>76</v>
      </c>
      <c r="D123" t="s">
        <v>1030</v>
      </c>
      <c r="E123" t="s">
        <v>78</v>
      </c>
      <c r="F123" t="s">
        <v>1031</v>
      </c>
      <c r="G123" t="s">
        <v>1032</v>
      </c>
      <c r="Q123">
        <v>122</v>
      </c>
    </row>
    <row r="124" spans="1:17" x14ac:dyDescent="0.25">
      <c r="A124" t="s">
        <v>564</v>
      </c>
      <c r="B124" t="s">
        <v>28</v>
      </c>
      <c r="C124" t="s">
        <v>76</v>
      </c>
      <c r="D124" t="s">
        <v>1033</v>
      </c>
      <c r="E124" t="s">
        <v>78</v>
      </c>
      <c r="F124" t="s">
        <v>1034</v>
      </c>
      <c r="G124" t="s">
        <v>1035</v>
      </c>
      <c r="Q124">
        <v>123</v>
      </c>
    </row>
    <row r="125" spans="1:17" x14ac:dyDescent="0.25">
      <c r="A125" t="s">
        <v>564</v>
      </c>
      <c r="B125" t="s">
        <v>28</v>
      </c>
      <c r="C125" t="s">
        <v>76</v>
      </c>
      <c r="D125" t="s">
        <v>686</v>
      </c>
      <c r="E125" t="s">
        <v>1036</v>
      </c>
      <c r="F125" t="s">
        <v>1037</v>
      </c>
      <c r="G125" t="s">
        <v>1038</v>
      </c>
      <c r="Q125">
        <v>124</v>
      </c>
    </row>
    <row r="126" spans="1:17" x14ac:dyDescent="0.25">
      <c r="A126" t="s">
        <v>564</v>
      </c>
      <c r="B126" t="s">
        <v>28</v>
      </c>
      <c r="C126" t="s">
        <v>76</v>
      </c>
      <c r="D126" t="s">
        <v>686</v>
      </c>
      <c r="E126" t="s">
        <v>1039</v>
      </c>
      <c r="F126" t="s">
        <v>1040</v>
      </c>
      <c r="G126" t="s">
        <v>1041</v>
      </c>
      <c r="Q126">
        <v>125</v>
      </c>
    </row>
    <row r="127" spans="1:17" x14ac:dyDescent="0.25">
      <c r="A127" t="s">
        <v>564</v>
      </c>
      <c r="B127" t="s">
        <v>28</v>
      </c>
      <c r="C127" t="s">
        <v>76</v>
      </c>
      <c r="D127" t="s">
        <v>1042</v>
      </c>
      <c r="E127" t="s">
        <v>78</v>
      </c>
      <c r="F127" t="s">
        <v>1043</v>
      </c>
      <c r="G127" t="s">
        <v>1044</v>
      </c>
      <c r="Q127">
        <v>126</v>
      </c>
    </row>
    <row r="128" spans="1:17" x14ac:dyDescent="0.25">
      <c r="A128" t="s">
        <v>564</v>
      </c>
      <c r="B128" t="s">
        <v>28</v>
      </c>
      <c r="C128" t="s">
        <v>76</v>
      </c>
      <c r="D128" t="s">
        <v>686</v>
      </c>
      <c r="E128" t="s">
        <v>1045</v>
      </c>
      <c r="F128" t="s">
        <v>1046</v>
      </c>
      <c r="G128" t="s">
        <v>1047</v>
      </c>
      <c r="Q128">
        <v>127</v>
      </c>
    </row>
    <row r="129" spans="1:17" x14ac:dyDescent="0.25">
      <c r="A129" t="s">
        <v>564</v>
      </c>
      <c r="B129" t="s">
        <v>28</v>
      </c>
      <c r="C129" t="s">
        <v>76</v>
      </c>
      <c r="D129" t="s">
        <v>1048</v>
      </c>
      <c r="E129" t="s">
        <v>78</v>
      </c>
      <c r="F129" t="s">
        <v>1049</v>
      </c>
      <c r="G129" t="s">
        <v>1050</v>
      </c>
      <c r="Q129">
        <v>128</v>
      </c>
    </row>
    <row r="130" spans="1:17" x14ac:dyDescent="0.25">
      <c r="A130" t="s">
        <v>564</v>
      </c>
      <c r="B130" t="s">
        <v>28</v>
      </c>
      <c r="C130" t="s">
        <v>76</v>
      </c>
      <c r="D130" t="s">
        <v>1051</v>
      </c>
      <c r="E130" t="s">
        <v>78</v>
      </c>
      <c r="F130" t="s">
        <v>1052</v>
      </c>
      <c r="G130" t="s">
        <v>1053</v>
      </c>
      <c r="Q130">
        <v>129</v>
      </c>
    </row>
    <row r="131" spans="1:17" x14ac:dyDescent="0.25">
      <c r="A131" t="s">
        <v>564</v>
      </c>
      <c r="B131" t="s">
        <v>28</v>
      </c>
      <c r="C131" t="s">
        <v>76</v>
      </c>
      <c r="D131" t="s">
        <v>1054</v>
      </c>
      <c r="E131" t="s">
        <v>78</v>
      </c>
      <c r="F131" t="s">
        <v>1055</v>
      </c>
      <c r="G131" t="s">
        <v>1056</v>
      </c>
      <c r="Q131">
        <v>130</v>
      </c>
    </row>
    <row r="132" spans="1:17" x14ac:dyDescent="0.25">
      <c r="A132" t="s">
        <v>564</v>
      </c>
      <c r="B132" t="s">
        <v>28</v>
      </c>
      <c r="C132" t="s">
        <v>76</v>
      </c>
      <c r="D132" t="s">
        <v>1057</v>
      </c>
      <c r="E132" t="s">
        <v>78</v>
      </c>
      <c r="F132" t="s">
        <v>1058</v>
      </c>
      <c r="G132" t="s">
        <v>1059</v>
      </c>
      <c r="Q132">
        <v>131</v>
      </c>
    </row>
    <row r="133" spans="1:17" x14ac:dyDescent="0.25">
      <c r="A133" t="s">
        <v>564</v>
      </c>
      <c r="B133" t="s">
        <v>28</v>
      </c>
      <c r="C133" t="s">
        <v>76</v>
      </c>
      <c r="D133" t="s">
        <v>1060</v>
      </c>
      <c r="E133" t="s">
        <v>78</v>
      </c>
      <c r="F133" t="s">
        <v>1061</v>
      </c>
      <c r="G133" t="s">
        <v>1062</v>
      </c>
      <c r="Q133">
        <v>132</v>
      </c>
    </row>
    <row r="134" spans="1:17" x14ac:dyDescent="0.25">
      <c r="A134" t="s">
        <v>564</v>
      </c>
      <c r="B134" t="s">
        <v>28</v>
      </c>
      <c r="C134" t="s">
        <v>76</v>
      </c>
      <c r="D134" t="s">
        <v>686</v>
      </c>
      <c r="E134" t="s">
        <v>1063</v>
      </c>
      <c r="F134" t="s">
        <v>1064</v>
      </c>
      <c r="G134" t="s">
        <v>1065</v>
      </c>
      <c r="Q134">
        <v>133</v>
      </c>
    </row>
    <row r="135" spans="1:17" x14ac:dyDescent="0.25">
      <c r="A135" t="s">
        <v>564</v>
      </c>
      <c r="B135" t="s">
        <v>28</v>
      </c>
      <c r="C135" t="s">
        <v>76</v>
      </c>
      <c r="D135" t="s">
        <v>1066</v>
      </c>
      <c r="E135" t="s">
        <v>78</v>
      </c>
      <c r="F135" t="s">
        <v>1067</v>
      </c>
      <c r="G135" t="s">
        <v>1068</v>
      </c>
      <c r="Q135">
        <v>134</v>
      </c>
    </row>
    <row r="136" spans="1:17" x14ac:dyDescent="0.25">
      <c r="A136" t="s">
        <v>564</v>
      </c>
      <c r="B136" t="s">
        <v>28</v>
      </c>
      <c r="C136" t="s">
        <v>76</v>
      </c>
      <c r="D136" t="s">
        <v>686</v>
      </c>
      <c r="E136" t="s">
        <v>1069</v>
      </c>
      <c r="F136" t="s">
        <v>1070</v>
      </c>
      <c r="G136" t="s">
        <v>1071</v>
      </c>
      <c r="Q136">
        <v>135</v>
      </c>
    </row>
    <row r="137" spans="1:17" x14ac:dyDescent="0.25">
      <c r="A137" t="s">
        <v>564</v>
      </c>
      <c r="B137" t="s">
        <v>28</v>
      </c>
      <c r="C137" t="s">
        <v>76</v>
      </c>
      <c r="D137" t="s">
        <v>1072</v>
      </c>
      <c r="E137" t="s">
        <v>78</v>
      </c>
      <c r="F137" t="s">
        <v>1073</v>
      </c>
      <c r="G137" t="s">
        <v>1074</v>
      </c>
      <c r="Q137">
        <v>136</v>
      </c>
    </row>
    <row r="138" spans="1:17" x14ac:dyDescent="0.25">
      <c r="A138" t="s">
        <v>564</v>
      </c>
      <c r="B138" t="s">
        <v>28</v>
      </c>
      <c r="C138" t="s">
        <v>76</v>
      </c>
      <c r="D138" t="s">
        <v>1075</v>
      </c>
      <c r="E138" t="s">
        <v>78</v>
      </c>
      <c r="F138" t="s">
        <v>1076</v>
      </c>
      <c r="G138" t="s">
        <v>1077</v>
      </c>
      <c r="Q138">
        <v>137</v>
      </c>
    </row>
    <row r="139" spans="1:17" x14ac:dyDescent="0.25">
      <c r="A139" t="s">
        <v>564</v>
      </c>
      <c r="B139" t="s">
        <v>28</v>
      </c>
      <c r="C139" t="s">
        <v>76</v>
      </c>
      <c r="D139" t="s">
        <v>1078</v>
      </c>
      <c r="E139" t="s">
        <v>78</v>
      </c>
      <c r="F139" t="s">
        <v>1079</v>
      </c>
      <c r="G139" t="s">
        <v>1080</v>
      </c>
      <c r="Q139">
        <v>138</v>
      </c>
    </row>
    <row r="140" spans="1:17" x14ac:dyDescent="0.25">
      <c r="A140" t="s">
        <v>564</v>
      </c>
      <c r="B140" t="s">
        <v>28</v>
      </c>
      <c r="C140" t="s">
        <v>76</v>
      </c>
      <c r="D140" t="s">
        <v>1081</v>
      </c>
      <c r="E140" t="s">
        <v>78</v>
      </c>
      <c r="F140" t="s">
        <v>1082</v>
      </c>
      <c r="G140" t="s">
        <v>1083</v>
      </c>
      <c r="Q140">
        <v>139</v>
      </c>
    </row>
    <row r="141" spans="1:17" x14ac:dyDescent="0.25">
      <c r="A141" t="s">
        <v>564</v>
      </c>
      <c r="B141" t="s">
        <v>28</v>
      </c>
      <c r="C141" t="s">
        <v>76</v>
      </c>
      <c r="D141" t="s">
        <v>686</v>
      </c>
      <c r="E141" t="s">
        <v>1084</v>
      </c>
      <c r="F141" t="s">
        <v>1085</v>
      </c>
      <c r="G141" t="s">
        <v>1086</v>
      </c>
      <c r="Q141">
        <v>140</v>
      </c>
    </row>
    <row r="142" spans="1:17" x14ac:dyDescent="0.25">
      <c r="A142" t="s">
        <v>564</v>
      </c>
      <c r="B142" t="s">
        <v>28</v>
      </c>
      <c r="C142" t="s">
        <v>76</v>
      </c>
      <c r="D142" t="s">
        <v>602</v>
      </c>
      <c r="E142" t="s">
        <v>1087</v>
      </c>
      <c r="F142" t="s">
        <v>1088</v>
      </c>
      <c r="G142" t="s">
        <v>1089</v>
      </c>
      <c r="Q142">
        <v>141</v>
      </c>
    </row>
    <row r="143" spans="1:17" x14ac:dyDescent="0.25">
      <c r="A143" t="s">
        <v>564</v>
      </c>
      <c r="B143" t="s">
        <v>28</v>
      </c>
      <c r="C143" t="s">
        <v>76</v>
      </c>
      <c r="D143" t="s">
        <v>602</v>
      </c>
      <c r="E143" t="s">
        <v>1090</v>
      </c>
      <c r="F143" t="s">
        <v>1091</v>
      </c>
      <c r="G143" t="s">
        <v>1092</v>
      </c>
      <c r="Q143">
        <v>142</v>
      </c>
    </row>
    <row r="144" spans="1:17" x14ac:dyDescent="0.25">
      <c r="A144" t="s">
        <v>564</v>
      </c>
      <c r="B144" t="s">
        <v>28</v>
      </c>
      <c r="C144" t="s">
        <v>76</v>
      </c>
      <c r="D144" t="s">
        <v>1093</v>
      </c>
      <c r="E144" t="s">
        <v>78</v>
      </c>
      <c r="F144" t="s">
        <v>1094</v>
      </c>
      <c r="G144" t="s">
        <v>1095</v>
      </c>
      <c r="Q144">
        <v>143</v>
      </c>
    </row>
    <row r="145" spans="1:18" x14ac:dyDescent="0.25">
      <c r="A145" t="s">
        <v>564</v>
      </c>
      <c r="B145" t="s">
        <v>28</v>
      </c>
      <c r="C145" t="s">
        <v>76</v>
      </c>
      <c r="D145" t="s">
        <v>1096</v>
      </c>
      <c r="E145" t="s">
        <v>78</v>
      </c>
      <c r="F145" t="s">
        <v>1097</v>
      </c>
      <c r="G145" t="s">
        <v>1098</v>
      </c>
      <c r="Q145">
        <v>144</v>
      </c>
    </row>
    <row r="146" spans="1:18" x14ac:dyDescent="0.25">
      <c r="A146" t="s">
        <v>564</v>
      </c>
      <c r="B146" t="s">
        <v>28</v>
      </c>
      <c r="C146" t="s">
        <v>76</v>
      </c>
      <c r="D146" t="s">
        <v>602</v>
      </c>
      <c r="E146" t="s">
        <v>1099</v>
      </c>
      <c r="F146" t="s">
        <v>1100</v>
      </c>
      <c r="G146" t="s">
        <v>1101</v>
      </c>
      <c r="Q146">
        <v>145</v>
      </c>
    </row>
    <row r="147" spans="1:18" x14ac:dyDescent="0.25">
      <c r="A147" t="s">
        <v>564</v>
      </c>
      <c r="B147" t="s">
        <v>28</v>
      </c>
      <c r="C147" t="s">
        <v>59</v>
      </c>
      <c r="D147" t="s">
        <v>78</v>
      </c>
      <c r="E147" t="s">
        <v>78</v>
      </c>
      <c r="F147" t="s">
        <v>696</v>
      </c>
      <c r="G147" t="s">
        <v>1102</v>
      </c>
      <c r="H147">
        <v>370296</v>
      </c>
      <c r="I147">
        <v>217414</v>
      </c>
      <c r="J147">
        <v>7.3724803940631266E-3</v>
      </c>
      <c r="K147">
        <v>5.8919848767788642E-3</v>
      </c>
      <c r="L147">
        <v>2730</v>
      </c>
      <c r="M147">
        <v>1281</v>
      </c>
      <c r="N147">
        <v>-0.53076923076923077</v>
      </c>
      <c r="O147">
        <v>-0.41286430315207301</v>
      </c>
      <c r="P147">
        <v>-1.480495517284263E-3</v>
      </c>
      <c r="Q147">
        <v>1</v>
      </c>
    </row>
    <row r="148" spans="1:18" x14ac:dyDescent="0.25">
      <c r="A148" t="s">
        <v>564</v>
      </c>
      <c r="B148" t="s">
        <v>28</v>
      </c>
      <c r="C148" t="s">
        <v>59</v>
      </c>
      <c r="D148" t="s">
        <v>60</v>
      </c>
      <c r="E148" t="s">
        <v>78</v>
      </c>
      <c r="F148" t="s">
        <v>697</v>
      </c>
      <c r="G148" t="s">
        <v>1103</v>
      </c>
      <c r="H148">
        <v>355421</v>
      </c>
      <c r="I148">
        <v>205901</v>
      </c>
      <c r="J148">
        <v>5.9563165935608746E-3</v>
      </c>
      <c r="K148">
        <v>4.939266929252408E-3</v>
      </c>
      <c r="L148">
        <v>2117</v>
      </c>
      <c r="M148">
        <v>1017</v>
      </c>
      <c r="N148">
        <v>-0.51960321209258375</v>
      </c>
      <c r="O148">
        <v>-0.42068420267795092</v>
      </c>
      <c r="P148">
        <v>-1.0170496643084679E-3</v>
      </c>
      <c r="Q148">
        <v>2</v>
      </c>
    </row>
    <row r="149" spans="1:18" x14ac:dyDescent="0.25">
      <c r="A149" t="s">
        <v>564</v>
      </c>
      <c r="B149" t="s">
        <v>28</v>
      </c>
      <c r="C149" t="s">
        <v>59</v>
      </c>
      <c r="D149" t="s">
        <v>60</v>
      </c>
      <c r="E149" t="s">
        <v>61</v>
      </c>
      <c r="F149" t="s">
        <v>698</v>
      </c>
      <c r="G149" t="s">
        <v>1104</v>
      </c>
      <c r="H149">
        <v>72416</v>
      </c>
      <c r="I149">
        <v>109748</v>
      </c>
      <c r="J149">
        <v>1.8117543084401239E-2</v>
      </c>
      <c r="K149">
        <v>5.0205926303896198E-3</v>
      </c>
      <c r="L149">
        <v>1312</v>
      </c>
      <c r="M149">
        <v>551</v>
      </c>
      <c r="N149">
        <v>-0.58003048780487798</v>
      </c>
      <c r="O149">
        <v>0.51552143172779497</v>
      </c>
      <c r="P149">
        <v>-1.309695045401162E-2</v>
      </c>
      <c r="Q149">
        <v>3</v>
      </c>
      <c r="R149">
        <v>1</v>
      </c>
    </row>
    <row r="150" spans="1:18" x14ac:dyDescent="0.25">
      <c r="A150" t="s">
        <v>564</v>
      </c>
      <c r="B150" t="s">
        <v>28</v>
      </c>
      <c r="C150" t="s">
        <v>59</v>
      </c>
      <c r="D150" t="s">
        <v>60</v>
      </c>
      <c r="E150" t="s">
        <v>62</v>
      </c>
      <c r="F150" t="s">
        <v>699</v>
      </c>
      <c r="G150" t="s">
        <v>1105</v>
      </c>
      <c r="H150">
        <v>242355</v>
      </c>
      <c r="I150">
        <v>63964</v>
      </c>
      <c r="J150">
        <v>6.6844092343875717E-4</v>
      </c>
      <c r="K150">
        <v>4.6901382027390398E-5</v>
      </c>
      <c r="L150">
        <v>162</v>
      </c>
      <c r="M150">
        <v>3</v>
      </c>
      <c r="N150">
        <v>-0.98148148148148151</v>
      </c>
      <c r="O150">
        <v>-0.73607311588372426</v>
      </c>
      <c r="P150">
        <v>-6.2153954141136675E-4</v>
      </c>
      <c r="Q150">
        <v>4</v>
      </c>
      <c r="R150">
        <v>2</v>
      </c>
    </row>
    <row r="151" spans="1:18" x14ac:dyDescent="0.25">
      <c r="A151" t="s">
        <v>564</v>
      </c>
      <c r="B151" t="s">
        <v>28</v>
      </c>
      <c r="C151" t="s">
        <v>59</v>
      </c>
      <c r="D151" t="s">
        <v>60</v>
      </c>
      <c r="E151" t="s">
        <v>63</v>
      </c>
      <c r="F151" t="s">
        <v>702</v>
      </c>
      <c r="G151" t="s">
        <v>1106</v>
      </c>
      <c r="H151">
        <v>63858</v>
      </c>
      <c r="I151">
        <v>51382</v>
      </c>
      <c r="J151">
        <v>1.268439349807385E-2</v>
      </c>
      <c r="K151">
        <v>1.06846755673193E-2</v>
      </c>
      <c r="L151">
        <v>810</v>
      </c>
      <c r="M151">
        <v>549</v>
      </c>
      <c r="N151">
        <v>-0.32222222222222219</v>
      </c>
      <c r="O151">
        <v>-0.195370979360456</v>
      </c>
      <c r="P151">
        <v>-1.999717930754557E-3</v>
      </c>
      <c r="Q151">
        <v>5</v>
      </c>
      <c r="R151">
        <v>3</v>
      </c>
    </row>
    <row r="152" spans="1:18" x14ac:dyDescent="0.25">
      <c r="A152" t="s">
        <v>564</v>
      </c>
      <c r="B152" t="s">
        <v>28</v>
      </c>
      <c r="C152" t="s">
        <v>59</v>
      </c>
      <c r="D152" t="s">
        <v>72</v>
      </c>
      <c r="E152" t="s">
        <v>78</v>
      </c>
      <c r="F152" t="s">
        <v>705</v>
      </c>
      <c r="G152" t="s">
        <v>1107</v>
      </c>
      <c r="H152">
        <v>12650</v>
      </c>
      <c r="I152">
        <v>10287</v>
      </c>
      <c r="J152">
        <v>3.7944664031620563E-2</v>
      </c>
      <c r="K152">
        <v>1.1762418586565571E-2</v>
      </c>
      <c r="L152">
        <v>480</v>
      </c>
      <c r="M152">
        <v>121</v>
      </c>
      <c r="N152">
        <v>-0.74791666666666667</v>
      </c>
      <c r="O152">
        <v>-0.18679841897233199</v>
      </c>
      <c r="P152">
        <v>-2.6182245445054989E-2</v>
      </c>
      <c r="Q152">
        <v>6</v>
      </c>
    </row>
    <row r="153" spans="1:18" x14ac:dyDescent="0.25">
      <c r="A153" t="s">
        <v>564</v>
      </c>
      <c r="B153" t="s">
        <v>28</v>
      </c>
      <c r="C153" t="s">
        <v>59</v>
      </c>
      <c r="D153" t="s">
        <v>64</v>
      </c>
      <c r="E153" t="s">
        <v>78</v>
      </c>
      <c r="F153" t="s">
        <v>703</v>
      </c>
      <c r="G153" t="s">
        <v>1108</v>
      </c>
      <c r="H153">
        <v>13009</v>
      </c>
      <c r="I153">
        <v>8640</v>
      </c>
      <c r="J153">
        <v>2.821123837343378E-2</v>
      </c>
      <c r="K153">
        <v>2.569444444444444E-2</v>
      </c>
      <c r="L153">
        <v>367</v>
      </c>
      <c r="M153">
        <v>222</v>
      </c>
      <c r="N153">
        <v>-0.3950953678474115</v>
      </c>
      <c r="O153">
        <v>-0.33584441540471982</v>
      </c>
      <c r="P153">
        <v>-2.5167939289893341E-3</v>
      </c>
      <c r="Q153">
        <v>7</v>
      </c>
    </row>
    <row r="154" spans="1:18" x14ac:dyDescent="0.25">
      <c r="A154" t="s">
        <v>564</v>
      </c>
      <c r="B154" t="s">
        <v>28</v>
      </c>
      <c r="C154" t="s">
        <v>59</v>
      </c>
      <c r="D154" t="s">
        <v>64</v>
      </c>
      <c r="E154" t="s">
        <v>65</v>
      </c>
      <c r="F154" t="s">
        <v>704</v>
      </c>
      <c r="G154" t="s">
        <v>1109</v>
      </c>
      <c r="H154">
        <v>12796</v>
      </c>
      <c r="I154">
        <v>8518</v>
      </c>
      <c r="J154">
        <v>2.8211941231634889E-2</v>
      </c>
      <c r="K154">
        <v>2.5945057525240671E-2</v>
      </c>
      <c r="L154">
        <v>361</v>
      </c>
      <c r="M154">
        <v>221</v>
      </c>
      <c r="N154">
        <v>-0.38781163434903049</v>
      </c>
      <c r="O154">
        <v>-0.33432322600812753</v>
      </c>
      <c r="P154">
        <v>-2.2668837063942191E-3</v>
      </c>
      <c r="Q154">
        <v>8</v>
      </c>
      <c r="R154">
        <v>4</v>
      </c>
    </row>
    <row r="155" spans="1:18" x14ac:dyDescent="0.25">
      <c r="A155" t="s">
        <v>564</v>
      </c>
      <c r="B155" t="s">
        <v>28</v>
      </c>
      <c r="C155" t="s">
        <v>59</v>
      </c>
      <c r="D155" t="s">
        <v>72</v>
      </c>
      <c r="E155" t="s">
        <v>73</v>
      </c>
      <c r="F155" t="s">
        <v>706</v>
      </c>
      <c r="G155" t="s">
        <v>1110</v>
      </c>
      <c r="H155">
        <v>8369</v>
      </c>
      <c r="I155">
        <v>7838</v>
      </c>
      <c r="J155">
        <v>5.7354522643087588E-2</v>
      </c>
      <c r="K155">
        <v>1.543761163562133E-2</v>
      </c>
      <c r="L155">
        <v>480</v>
      </c>
      <c r="M155">
        <v>121</v>
      </c>
      <c r="N155">
        <v>-0.74791666666666667</v>
      </c>
      <c r="O155">
        <v>-6.344844067391564E-2</v>
      </c>
      <c r="P155">
        <v>-4.1916911007466258E-2</v>
      </c>
      <c r="Q155">
        <v>9</v>
      </c>
      <c r="R155">
        <v>6</v>
      </c>
    </row>
    <row r="156" spans="1:18" x14ac:dyDescent="0.25">
      <c r="A156" t="s">
        <v>564</v>
      </c>
      <c r="B156" t="s">
        <v>28</v>
      </c>
      <c r="C156" t="s">
        <v>59</v>
      </c>
      <c r="D156" t="s">
        <v>68</v>
      </c>
      <c r="E156" t="s">
        <v>78</v>
      </c>
      <c r="F156" t="s">
        <v>700</v>
      </c>
      <c r="G156" t="s">
        <v>1111</v>
      </c>
      <c r="H156">
        <v>304</v>
      </c>
      <c r="I156">
        <v>3840</v>
      </c>
      <c r="O156">
        <v>11.631578947368419</v>
      </c>
      <c r="Q156">
        <v>10</v>
      </c>
    </row>
    <row r="157" spans="1:18" x14ac:dyDescent="0.25">
      <c r="A157" t="s">
        <v>564</v>
      </c>
      <c r="B157" t="s">
        <v>28</v>
      </c>
      <c r="C157" t="s">
        <v>59</v>
      </c>
      <c r="D157" t="s">
        <v>68</v>
      </c>
      <c r="E157" t="s">
        <v>69</v>
      </c>
      <c r="F157" t="s">
        <v>701</v>
      </c>
      <c r="G157" t="s">
        <v>1112</v>
      </c>
      <c r="H157">
        <v>1</v>
      </c>
      <c r="I157">
        <v>3676</v>
      </c>
      <c r="O157">
        <v>3675</v>
      </c>
      <c r="Q157">
        <v>11</v>
      </c>
      <c r="R157">
        <v>11</v>
      </c>
    </row>
    <row r="158" spans="1:18" x14ac:dyDescent="0.25">
      <c r="A158" t="s">
        <v>564</v>
      </c>
      <c r="B158" t="s">
        <v>28</v>
      </c>
      <c r="C158" t="s">
        <v>59</v>
      </c>
      <c r="D158" t="s">
        <v>72</v>
      </c>
      <c r="E158" t="s">
        <v>74</v>
      </c>
      <c r="F158" t="s">
        <v>708</v>
      </c>
      <c r="G158" t="s">
        <v>1113</v>
      </c>
      <c r="H158">
        <v>4161</v>
      </c>
      <c r="I158">
        <v>2440</v>
      </c>
      <c r="O158">
        <v>-0.41360249939918292</v>
      </c>
      <c r="Q158">
        <v>12</v>
      </c>
      <c r="R158">
        <v>9</v>
      </c>
    </row>
    <row r="159" spans="1:18" x14ac:dyDescent="0.25">
      <c r="A159" t="s">
        <v>564</v>
      </c>
      <c r="B159" t="s">
        <v>28</v>
      </c>
      <c r="C159" t="s">
        <v>59</v>
      </c>
      <c r="D159" t="s">
        <v>68</v>
      </c>
      <c r="E159" t="s">
        <v>70</v>
      </c>
      <c r="F159" t="s">
        <v>707</v>
      </c>
      <c r="G159" t="s">
        <v>1114</v>
      </c>
      <c r="H159">
        <v>303</v>
      </c>
      <c r="I159">
        <v>177</v>
      </c>
      <c r="O159">
        <v>-0.41584158415841582</v>
      </c>
      <c r="Q159">
        <v>13</v>
      </c>
      <c r="R159">
        <v>10</v>
      </c>
    </row>
    <row r="160" spans="1:18" x14ac:dyDescent="0.25">
      <c r="A160" t="s">
        <v>564</v>
      </c>
      <c r="B160" t="s">
        <v>28</v>
      </c>
      <c r="C160" t="s">
        <v>59</v>
      </c>
      <c r="D160" t="s">
        <v>64</v>
      </c>
      <c r="E160" t="s">
        <v>67</v>
      </c>
      <c r="F160" t="s">
        <v>709</v>
      </c>
      <c r="G160" t="s">
        <v>1115</v>
      </c>
      <c r="H160">
        <v>256</v>
      </c>
      <c r="I160">
        <v>102</v>
      </c>
      <c r="J160">
        <v>2.34375E-2</v>
      </c>
      <c r="K160">
        <v>9.8039215686274508E-3</v>
      </c>
      <c r="L160">
        <v>6</v>
      </c>
      <c r="M160">
        <v>1</v>
      </c>
      <c r="N160">
        <v>-0.83333333333333337</v>
      </c>
      <c r="O160">
        <v>-0.6015625</v>
      </c>
      <c r="P160">
        <v>-1.3633578431372549E-2</v>
      </c>
      <c r="Q160">
        <v>14</v>
      </c>
      <c r="R160">
        <v>5</v>
      </c>
    </row>
    <row r="161" spans="1:18" x14ac:dyDescent="0.25">
      <c r="A161" t="s">
        <v>564</v>
      </c>
      <c r="B161" t="s">
        <v>28</v>
      </c>
      <c r="C161" t="s">
        <v>59</v>
      </c>
      <c r="D161" t="s">
        <v>72</v>
      </c>
      <c r="E161" t="s">
        <v>75</v>
      </c>
      <c r="F161" t="s">
        <v>710</v>
      </c>
      <c r="G161" t="s">
        <v>1116</v>
      </c>
      <c r="H161">
        <v>90</v>
      </c>
      <c r="I161">
        <v>36</v>
      </c>
      <c r="O161">
        <v>-0.6</v>
      </c>
      <c r="Q161">
        <v>15</v>
      </c>
      <c r="R161">
        <v>7</v>
      </c>
    </row>
    <row r="162" spans="1:18" x14ac:dyDescent="0.25">
      <c r="A162" t="s">
        <v>564</v>
      </c>
      <c r="B162" t="s">
        <v>28</v>
      </c>
      <c r="C162" t="s">
        <v>59</v>
      </c>
      <c r="D162" t="s">
        <v>72</v>
      </c>
      <c r="E162" t="s">
        <v>352</v>
      </c>
      <c r="F162" t="s">
        <v>1117</v>
      </c>
      <c r="G162" t="s">
        <v>1118</v>
      </c>
      <c r="H162">
        <v>88</v>
      </c>
      <c r="Q162">
        <v>16</v>
      </c>
      <c r="R162">
        <v>8</v>
      </c>
    </row>
    <row r="163" spans="1:18" x14ac:dyDescent="0.25">
      <c r="A163" t="s">
        <v>564</v>
      </c>
      <c r="B163" t="s">
        <v>30</v>
      </c>
      <c r="C163" t="s">
        <v>76</v>
      </c>
      <c r="D163" t="s">
        <v>78</v>
      </c>
      <c r="E163" t="s">
        <v>78</v>
      </c>
      <c r="F163" t="s">
        <v>575</v>
      </c>
      <c r="G163" t="s">
        <v>1119</v>
      </c>
      <c r="H163">
        <v>160108</v>
      </c>
      <c r="I163">
        <v>111403</v>
      </c>
      <c r="J163">
        <v>0.14926174831988409</v>
      </c>
      <c r="K163">
        <v>0.1172679371291617</v>
      </c>
      <c r="L163">
        <v>23898</v>
      </c>
      <c r="M163">
        <v>13064</v>
      </c>
      <c r="N163">
        <v>-0.45334337601472929</v>
      </c>
      <c r="O163">
        <v>-0.30420091438279162</v>
      </c>
      <c r="P163">
        <v>-3.19938111907224E-2</v>
      </c>
      <c r="Q163">
        <v>1</v>
      </c>
    </row>
    <row r="164" spans="1:18" x14ac:dyDescent="0.25">
      <c r="A164" t="s">
        <v>564</v>
      </c>
      <c r="B164" t="s">
        <v>30</v>
      </c>
      <c r="C164" t="s">
        <v>76</v>
      </c>
      <c r="D164" t="s">
        <v>80</v>
      </c>
      <c r="E164" t="s">
        <v>78</v>
      </c>
      <c r="F164" t="s">
        <v>576</v>
      </c>
      <c r="G164" t="s">
        <v>1120</v>
      </c>
      <c r="H164">
        <v>38716</v>
      </c>
      <c r="I164">
        <v>41380</v>
      </c>
      <c r="J164">
        <v>8.1645831180907125E-2</v>
      </c>
      <c r="K164">
        <v>9.0236829386176901E-2</v>
      </c>
      <c r="L164">
        <v>3161</v>
      </c>
      <c r="M164">
        <v>3734</v>
      </c>
      <c r="N164">
        <v>0.18127174944637781</v>
      </c>
      <c r="O164">
        <v>6.8808761235664803E-2</v>
      </c>
      <c r="P164">
        <v>8.5909982052697793E-3</v>
      </c>
      <c r="Q164">
        <v>2</v>
      </c>
    </row>
    <row r="165" spans="1:18" x14ac:dyDescent="0.25">
      <c r="A165" t="s">
        <v>564</v>
      </c>
      <c r="B165" t="s">
        <v>30</v>
      </c>
      <c r="C165" t="s">
        <v>76</v>
      </c>
      <c r="D165" t="s">
        <v>82</v>
      </c>
      <c r="E165" t="s">
        <v>78</v>
      </c>
      <c r="F165" t="s">
        <v>579</v>
      </c>
      <c r="G165" t="s">
        <v>1121</v>
      </c>
      <c r="H165">
        <v>36565</v>
      </c>
      <c r="I165">
        <v>21110</v>
      </c>
      <c r="J165">
        <v>0.1843839737453849</v>
      </c>
      <c r="K165">
        <v>0.18924680246328751</v>
      </c>
      <c r="L165">
        <v>6742</v>
      </c>
      <c r="M165">
        <v>3995</v>
      </c>
      <c r="N165">
        <v>-0.40744586176208841</v>
      </c>
      <c r="O165">
        <v>-0.42267195405442359</v>
      </c>
      <c r="P165">
        <v>4.8628287179026102E-3</v>
      </c>
      <c r="Q165">
        <v>3</v>
      </c>
    </row>
    <row r="166" spans="1:18" x14ac:dyDescent="0.25">
      <c r="A166" t="s">
        <v>564</v>
      </c>
      <c r="B166" t="s">
        <v>30</v>
      </c>
      <c r="C166" t="s">
        <v>76</v>
      </c>
      <c r="D166" t="s">
        <v>83</v>
      </c>
      <c r="E166" t="s">
        <v>78</v>
      </c>
      <c r="F166" t="s">
        <v>580</v>
      </c>
      <c r="G166" t="s">
        <v>1122</v>
      </c>
      <c r="H166">
        <v>36382</v>
      </c>
      <c r="I166">
        <v>19786</v>
      </c>
      <c r="J166">
        <v>0.40192952558957729</v>
      </c>
      <c r="K166">
        <v>0.3032447184878197</v>
      </c>
      <c r="L166">
        <v>14623</v>
      </c>
      <c r="M166">
        <v>6000</v>
      </c>
      <c r="N166">
        <v>-0.58968747862955617</v>
      </c>
      <c r="O166">
        <v>-0.45615963938211201</v>
      </c>
      <c r="P166">
        <v>-9.8684807101757602E-2</v>
      </c>
      <c r="Q166">
        <v>4</v>
      </c>
    </row>
    <row r="167" spans="1:18" x14ac:dyDescent="0.25">
      <c r="A167" t="s">
        <v>564</v>
      </c>
      <c r="B167" t="s">
        <v>30</v>
      </c>
      <c r="C167" t="s">
        <v>76</v>
      </c>
      <c r="D167" t="s">
        <v>79</v>
      </c>
      <c r="E167" t="s">
        <v>78</v>
      </c>
      <c r="F167" t="s">
        <v>577</v>
      </c>
      <c r="G167" t="s">
        <v>1123</v>
      </c>
      <c r="H167">
        <v>20564</v>
      </c>
      <c r="I167">
        <v>19231</v>
      </c>
      <c r="J167">
        <v>3.4429099397004483E-2</v>
      </c>
      <c r="K167">
        <v>1.663980032239613E-2</v>
      </c>
      <c r="L167">
        <v>708</v>
      </c>
      <c r="M167">
        <v>320</v>
      </c>
      <c r="N167">
        <v>-0.54802259887005655</v>
      </c>
      <c r="O167">
        <v>-6.4822019062439215E-2</v>
      </c>
      <c r="P167">
        <v>-1.7789299074608349E-2</v>
      </c>
      <c r="Q167">
        <v>5</v>
      </c>
    </row>
    <row r="168" spans="1:18" x14ac:dyDescent="0.25">
      <c r="A168" t="s">
        <v>564</v>
      </c>
      <c r="B168" t="s">
        <v>30</v>
      </c>
      <c r="C168" t="s">
        <v>76</v>
      </c>
      <c r="D168" t="s">
        <v>77</v>
      </c>
      <c r="E168" t="s">
        <v>78</v>
      </c>
      <c r="F168" t="s">
        <v>581</v>
      </c>
      <c r="G168" t="s">
        <v>1124</v>
      </c>
      <c r="H168">
        <v>21057</v>
      </c>
      <c r="I168">
        <v>9930</v>
      </c>
      <c r="J168">
        <v>0.1201025787149167</v>
      </c>
      <c r="K168">
        <v>0.16475327291037259</v>
      </c>
      <c r="L168">
        <v>2529</v>
      </c>
      <c r="M168">
        <v>1636</v>
      </c>
      <c r="N168">
        <v>-0.35310399367338868</v>
      </c>
      <c r="O168">
        <v>-0.52842285225815644</v>
      </c>
      <c r="P168">
        <v>4.4650694195455962E-2</v>
      </c>
      <c r="Q168">
        <v>6</v>
      </c>
    </row>
    <row r="169" spans="1:18" x14ac:dyDescent="0.25">
      <c r="A169" t="s">
        <v>564</v>
      </c>
      <c r="B169" t="s">
        <v>30</v>
      </c>
      <c r="C169" t="s">
        <v>76</v>
      </c>
      <c r="D169" t="s">
        <v>81</v>
      </c>
      <c r="E169" t="s">
        <v>78</v>
      </c>
      <c r="F169" t="s">
        <v>578</v>
      </c>
      <c r="G169" t="s">
        <v>1125</v>
      </c>
      <c r="H169">
        <v>27692</v>
      </c>
      <c r="I169">
        <v>7263</v>
      </c>
      <c r="J169">
        <v>2.2100245558283979E-2</v>
      </c>
      <c r="K169">
        <v>4.0203772545779982E-2</v>
      </c>
      <c r="L169">
        <v>612</v>
      </c>
      <c r="M169">
        <v>292</v>
      </c>
      <c r="N169">
        <v>-0.52287581699346408</v>
      </c>
      <c r="O169">
        <v>-0.73772208580095333</v>
      </c>
      <c r="P169">
        <v>1.8103526987496E-2</v>
      </c>
      <c r="Q169">
        <v>7</v>
      </c>
    </row>
    <row r="170" spans="1:18" x14ac:dyDescent="0.25">
      <c r="A170" t="s">
        <v>564</v>
      </c>
      <c r="B170" t="s">
        <v>30</v>
      </c>
      <c r="C170" t="s">
        <v>76</v>
      </c>
      <c r="D170" t="s">
        <v>84</v>
      </c>
      <c r="E170" t="s">
        <v>78</v>
      </c>
      <c r="F170" t="s">
        <v>589</v>
      </c>
      <c r="G170" t="s">
        <v>1126</v>
      </c>
      <c r="H170">
        <v>7114</v>
      </c>
      <c r="I170">
        <v>5014</v>
      </c>
      <c r="J170">
        <v>0.16671352263143099</v>
      </c>
      <c r="K170">
        <v>0.20343039489429601</v>
      </c>
      <c r="L170">
        <v>1186</v>
      </c>
      <c r="M170">
        <v>1020</v>
      </c>
      <c r="N170">
        <v>-0.13996627318718391</v>
      </c>
      <c r="O170">
        <v>-0.29519257801518128</v>
      </c>
      <c r="P170">
        <v>3.6716872262864977E-2</v>
      </c>
      <c r="Q170">
        <v>8</v>
      </c>
    </row>
    <row r="171" spans="1:18" x14ac:dyDescent="0.25">
      <c r="A171" t="s">
        <v>564</v>
      </c>
      <c r="B171" t="s">
        <v>30</v>
      </c>
      <c r="C171" t="s">
        <v>76</v>
      </c>
      <c r="D171" t="s">
        <v>81</v>
      </c>
      <c r="E171" t="s">
        <v>585</v>
      </c>
      <c r="F171" t="s">
        <v>586</v>
      </c>
      <c r="G171" t="s">
        <v>1127</v>
      </c>
      <c r="H171">
        <v>21529</v>
      </c>
      <c r="I171">
        <v>4753</v>
      </c>
      <c r="J171">
        <v>8.2214687166147979E-3</v>
      </c>
      <c r="K171">
        <v>9.8884914790658539E-3</v>
      </c>
      <c r="L171">
        <v>177</v>
      </c>
      <c r="M171">
        <v>47</v>
      </c>
      <c r="N171">
        <v>-0.7344632768361582</v>
      </c>
      <c r="O171">
        <v>-0.77922801802220265</v>
      </c>
      <c r="P171">
        <v>1.6670227624510561E-3</v>
      </c>
      <c r="Q171">
        <v>9</v>
      </c>
    </row>
    <row r="172" spans="1:18" x14ac:dyDescent="0.25">
      <c r="A172" t="s">
        <v>564</v>
      </c>
      <c r="B172" t="s">
        <v>30</v>
      </c>
      <c r="C172" t="s">
        <v>76</v>
      </c>
      <c r="D172" t="s">
        <v>587</v>
      </c>
      <c r="E172" t="s">
        <v>78</v>
      </c>
      <c r="F172" t="s">
        <v>588</v>
      </c>
      <c r="G172" t="s">
        <v>1128</v>
      </c>
      <c r="H172">
        <v>8450</v>
      </c>
      <c r="I172">
        <v>4225</v>
      </c>
      <c r="O172">
        <v>-0.5</v>
      </c>
      <c r="Q172">
        <v>10</v>
      </c>
    </row>
    <row r="173" spans="1:18" x14ac:dyDescent="0.25">
      <c r="A173" t="s">
        <v>564</v>
      </c>
      <c r="B173" t="s">
        <v>30</v>
      </c>
      <c r="C173" t="s">
        <v>76</v>
      </c>
      <c r="D173" t="s">
        <v>592</v>
      </c>
      <c r="E173" t="s">
        <v>78</v>
      </c>
      <c r="F173" t="s">
        <v>593</v>
      </c>
      <c r="G173" t="s">
        <v>1129</v>
      </c>
      <c r="H173">
        <v>3891</v>
      </c>
      <c r="I173">
        <v>3085</v>
      </c>
      <c r="J173">
        <v>8.0956052428681577E-2</v>
      </c>
      <c r="K173">
        <v>5.5429497568881693E-2</v>
      </c>
      <c r="L173">
        <v>315</v>
      </c>
      <c r="M173">
        <v>171</v>
      </c>
      <c r="N173">
        <v>-0.45714285714285718</v>
      </c>
      <c r="O173">
        <v>-0.20714469288100751</v>
      </c>
      <c r="P173">
        <v>-2.5526554859799891E-2</v>
      </c>
      <c r="Q173">
        <v>11</v>
      </c>
    </row>
    <row r="174" spans="1:18" x14ac:dyDescent="0.25">
      <c r="A174" t="s">
        <v>564</v>
      </c>
      <c r="B174" t="s">
        <v>30</v>
      </c>
      <c r="C174" t="s">
        <v>76</v>
      </c>
      <c r="D174" t="s">
        <v>346</v>
      </c>
      <c r="E174" t="s">
        <v>78</v>
      </c>
      <c r="F174" t="s">
        <v>584</v>
      </c>
      <c r="G174" t="s">
        <v>1130</v>
      </c>
      <c r="H174">
        <v>2539</v>
      </c>
      <c r="I174">
        <v>2845</v>
      </c>
      <c r="J174">
        <v>5.1595116187475393E-2</v>
      </c>
      <c r="K174">
        <v>4.7451669595782071E-2</v>
      </c>
      <c r="L174">
        <v>131</v>
      </c>
      <c r="M174">
        <v>135</v>
      </c>
      <c r="N174">
        <v>3.0534351145038049E-2</v>
      </c>
      <c r="O174">
        <v>0.1205198897203623</v>
      </c>
      <c r="P174">
        <v>-4.1434465916933162E-3</v>
      </c>
      <c r="Q174">
        <v>12</v>
      </c>
    </row>
    <row r="175" spans="1:18" x14ac:dyDescent="0.25">
      <c r="A175" t="s">
        <v>564</v>
      </c>
      <c r="B175" t="s">
        <v>30</v>
      </c>
      <c r="C175" t="s">
        <v>76</v>
      </c>
      <c r="D175" t="s">
        <v>598</v>
      </c>
      <c r="E175" t="s">
        <v>78</v>
      </c>
      <c r="F175" t="s">
        <v>599</v>
      </c>
      <c r="G175" t="s">
        <v>1131</v>
      </c>
      <c r="H175">
        <v>837</v>
      </c>
      <c r="I175">
        <v>2617</v>
      </c>
      <c r="J175">
        <v>3.2258064516129031E-2</v>
      </c>
      <c r="K175">
        <v>1.948796331677493E-2</v>
      </c>
      <c r="L175">
        <v>27</v>
      </c>
      <c r="M175">
        <v>51</v>
      </c>
      <c r="N175">
        <v>0.88888888888888906</v>
      </c>
      <c r="O175">
        <v>2.1266427718040619</v>
      </c>
      <c r="P175">
        <v>-1.27701011993541E-2</v>
      </c>
      <c r="Q175">
        <v>13</v>
      </c>
    </row>
    <row r="176" spans="1:18" x14ac:dyDescent="0.25">
      <c r="A176" t="s">
        <v>564</v>
      </c>
      <c r="B176" t="s">
        <v>30</v>
      </c>
      <c r="C176" t="s">
        <v>76</v>
      </c>
      <c r="D176" t="s">
        <v>81</v>
      </c>
      <c r="E176" t="s">
        <v>590</v>
      </c>
      <c r="F176" t="s">
        <v>591</v>
      </c>
      <c r="G176" t="s">
        <v>1132</v>
      </c>
      <c r="H176">
        <v>5418</v>
      </c>
      <c r="I176">
        <v>1959</v>
      </c>
      <c r="J176">
        <v>6.9767441860465115E-2</v>
      </c>
      <c r="K176">
        <v>0.1168963757018887</v>
      </c>
      <c r="L176">
        <v>378</v>
      </c>
      <c r="M176">
        <v>229</v>
      </c>
      <c r="N176">
        <v>-0.39417989417989419</v>
      </c>
      <c r="O176">
        <v>-0.6384274640088593</v>
      </c>
      <c r="P176">
        <v>4.7128933841423602E-2</v>
      </c>
      <c r="Q176">
        <v>14</v>
      </c>
    </row>
    <row r="177" spans="1:17" x14ac:dyDescent="0.25">
      <c r="A177" t="s">
        <v>564</v>
      </c>
      <c r="B177" t="s">
        <v>30</v>
      </c>
      <c r="C177" t="s">
        <v>76</v>
      </c>
      <c r="D177" t="s">
        <v>602</v>
      </c>
      <c r="E177" t="s">
        <v>78</v>
      </c>
      <c r="F177" t="s">
        <v>603</v>
      </c>
      <c r="G177" t="s">
        <v>1133</v>
      </c>
      <c r="H177">
        <v>3444</v>
      </c>
      <c r="I177">
        <v>1904</v>
      </c>
      <c r="J177">
        <v>0.12804878048780491</v>
      </c>
      <c r="K177">
        <v>0.13445378151260501</v>
      </c>
      <c r="L177">
        <v>441</v>
      </c>
      <c r="M177">
        <v>256</v>
      </c>
      <c r="N177">
        <v>-0.41950113378684811</v>
      </c>
      <c r="O177">
        <v>-0.44715447154471538</v>
      </c>
      <c r="P177">
        <v>6.4050010248001598E-3</v>
      </c>
      <c r="Q177">
        <v>15</v>
      </c>
    </row>
    <row r="178" spans="1:17" x14ac:dyDescent="0.25">
      <c r="A178" t="s">
        <v>564</v>
      </c>
      <c r="B178" t="s">
        <v>30</v>
      </c>
      <c r="C178" t="s">
        <v>76</v>
      </c>
      <c r="D178" t="s">
        <v>600</v>
      </c>
      <c r="E178" t="s">
        <v>78</v>
      </c>
      <c r="F178" t="s">
        <v>601</v>
      </c>
      <c r="G178" t="s">
        <v>1134</v>
      </c>
      <c r="H178">
        <v>5208</v>
      </c>
      <c r="I178">
        <v>1602</v>
      </c>
      <c r="J178">
        <v>6.4324116743471577E-2</v>
      </c>
      <c r="K178">
        <v>7.990012484394507E-2</v>
      </c>
      <c r="L178">
        <v>335</v>
      </c>
      <c r="M178">
        <v>128</v>
      </c>
      <c r="N178">
        <v>-0.61791044776119397</v>
      </c>
      <c r="O178">
        <v>-0.69239631336405527</v>
      </c>
      <c r="P178">
        <v>1.5576008100473489E-2</v>
      </c>
      <c r="Q178">
        <v>16</v>
      </c>
    </row>
    <row r="179" spans="1:17" x14ac:dyDescent="0.25">
      <c r="A179" t="s">
        <v>564</v>
      </c>
      <c r="B179" t="s">
        <v>30</v>
      </c>
      <c r="C179" t="s">
        <v>76</v>
      </c>
      <c r="D179" t="s">
        <v>606</v>
      </c>
      <c r="E179" t="s">
        <v>78</v>
      </c>
      <c r="F179" t="s">
        <v>607</v>
      </c>
      <c r="G179" t="s">
        <v>1135</v>
      </c>
      <c r="H179">
        <v>2468</v>
      </c>
      <c r="I179">
        <v>1526</v>
      </c>
      <c r="J179">
        <v>0.12763371150729341</v>
      </c>
      <c r="K179">
        <v>7.5360419397116643E-2</v>
      </c>
      <c r="L179">
        <v>315</v>
      </c>
      <c r="M179">
        <v>115</v>
      </c>
      <c r="N179">
        <v>-0.634920634920635</v>
      </c>
      <c r="O179">
        <v>-0.38168557536466768</v>
      </c>
      <c r="P179">
        <v>-5.2273292110176721E-2</v>
      </c>
      <c r="Q179">
        <v>17</v>
      </c>
    </row>
    <row r="180" spans="1:17" x14ac:dyDescent="0.25">
      <c r="A180" t="s">
        <v>564</v>
      </c>
      <c r="B180" t="s">
        <v>30</v>
      </c>
      <c r="C180" t="s">
        <v>76</v>
      </c>
      <c r="D180" t="s">
        <v>608</v>
      </c>
      <c r="E180" t="s">
        <v>78</v>
      </c>
      <c r="F180" t="s">
        <v>609</v>
      </c>
      <c r="G180" t="s">
        <v>1136</v>
      </c>
      <c r="H180">
        <v>2761</v>
      </c>
      <c r="I180">
        <v>1420</v>
      </c>
      <c r="J180">
        <v>0.56972111553784865</v>
      </c>
      <c r="K180">
        <v>0.29859154929577458</v>
      </c>
      <c r="L180">
        <v>1573</v>
      </c>
      <c r="M180">
        <v>424</v>
      </c>
      <c r="N180">
        <v>-0.73045136681500322</v>
      </c>
      <c r="O180">
        <v>-0.48569358927924672</v>
      </c>
      <c r="P180">
        <v>-0.27112956624207413</v>
      </c>
      <c r="Q180">
        <v>18</v>
      </c>
    </row>
    <row r="181" spans="1:17" x14ac:dyDescent="0.25">
      <c r="A181" t="s">
        <v>564</v>
      </c>
      <c r="B181" t="s">
        <v>30</v>
      </c>
      <c r="C181" t="s">
        <v>76</v>
      </c>
      <c r="D181" t="s">
        <v>592</v>
      </c>
      <c r="E181" t="s">
        <v>803</v>
      </c>
      <c r="F181" t="s">
        <v>804</v>
      </c>
      <c r="G181" t="s">
        <v>1137</v>
      </c>
      <c r="I181">
        <v>1303</v>
      </c>
      <c r="K181">
        <v>5.7559478127398311E-2</v>
      </c>
      <c r="M181">
        <v>75</v>
      </c>
      <c r="Q181">
        <v>19</v>
      </c>
    </row>
    <row r="182" spans="1:17" x14ac:dyDescent="0.25">
      <c r="A182" t="s">
        <v>564</v>
      </c>
      <c r="B182" t="s">
        <v>30</v>
      </c>
      <c r="C182" t="s">
        <v>76</v>
      </c>
      <c r="D182" t="s">
        <v>592</v>
      </c>
      <c r="E182" t="s">
        <v>811</v>
      </c>
      <c r="F182" t="s">
        <v>812</v>
      </c>
      <c r="G182" t="s">
        <v>1138</v>
      </c>
      <c r="I182">
        <v>1255</v>
      </c>
      <c r="K182">
        <v>7.3306772908366527E-2</v>
      </c>
      <c r="M182">
        <v>92</v>
      </c>
      <c r="Q182">
        <v>20</v>
      </c>
    </row>
    <row r="183" spans="1:17" x14ac:dyDescent="0.25">
      <c r="A183" t="s">
        <v>564</v>
      </c>
      <c r="B183" t="s">
        <v>30</v>
      </c>
      <c r="C183" t="s">
        <v>76</v>
      </c>
      <c r="D183" t="s">
        <v>602</v>
      </c>
      <c r="E183" t="s">
        <v>616</v>
      </c>
      <c r="F183" t="s">
        <v>617</v>
      </c>
      <c r="G183" t="s">
        <v>1139</v>
      </c>
      <c r="H183">
        <v>1431</v>
      </c>
      <c r="I183">
        <v>947</v>
      </c>
      <c r="J183">
        <v>0.12508735150244579</v>
      </c>
      <c r="K183">
        <v>0.12565997888067579</v>
      </c>
      <c r="L183">
        <v>179</v>
      </c>
      <c r="M183">
        <v>119</v>
      </c>
      <c r="N183">
        <v>-0.33519553072625702</v>
      </c>
      <c r="O183">
        <v>-0.33822501747030048</v>
      </c>
      <c r="P183">
        <v>5.7262737822997005E-4</v>
      </c>
      <c r="Q183">
        <v>21</v>
      </c>
    </row>
    <row r="184" spans="1:17" x14ac:dyDescent="0.25">
      <c r="A184" t="s">
        <v>564</v>
      </c>
      <c r="B184" t="s">
        <v>30</v>
      </c>
      <c r="C184" t="s">
        <v>76</v>
      </c>
      <c r="D184" t="s">
        <v>600</v>
      </c>
      <c r="E184" t="s">
        <v>614</v>
      </c>
      <c r="F184" t="s">
        <v>615</v>
      </c>
      <c r="G184" t="s">
        <v>1140</v>
      </c>
      <c r="H184">
        <v>3804</v>
      </c>
      <c r="I184">
        <v>848</v>
      </c>
      <c r="J184">
        <v>3.6014721345951628E-2</v>
      </c>
      <c r="K184">
        <v>4.716981132075472E-2</v>
      </c>
      <c r="L184">
        <v>137</v>
      </c>
      <c r="M184">
        <v>40</v>
      </c>
      <c r="N184">
        <v>-0.70802919708029199</v>
      </c>
      <c r="O184">
        <v>-0.7770767613038907</v>
      </c>
      <c r="P184">
        <v>1.1155089974803091E-2</v>
      </c>
      <c r="Q184">
        <v>22</v>
      </c>
    </row>
    <row r="185" spans="1:17" x14ac:dyDescent="0.25">
      <c r="A185" t="s">
        <v>564</v>
      </c>
      <c r="B185" t="s">
        <v>30</v>
      </c>
      <c r="C185" t="s">
        <v>76</v>
      </c>
      <c r="D185" t="s">
        <v>610</v>
      </c>
      <c r="E185" t="s">
        <v>78</v>
      </c>
      <c r="F185" t="s">
        <v>611</v>
      </c>
      <c r="G185" t="s">
        <v>1141</v>
      </c>
      <c r="H185">
        <v>1114</v>
      </c>
      <c r="I185">
        <v>772</v>
      </c>
      <c r="J185">
        <v>0.21723518850987431</v>
      </c>
      <c r="K185">
        <v>0.2202072538860104</v>
      </c>
      <c r="L185">
        <v>242</v>
      </c>
      <c r="M185">
        <v>170</v>
      </c>
      <c r="N185">
        <v>-0.2975206611570248</v>
      </c>
      <c r="O185">
        <v>-0.30700179533213651</v>
      </c>
      <c r="P185">
        <v>2.9720653761360401E-3</v>
      </c>
      <c r="Q185">
        <v>23</v>
      </c>
    </row>
    <row r="186" spans="1:17" x14ac:dyDescent="0.25">
      <c r="A186" t="s">
        <v>564</v>
      </c>
      <c r="B186" t="s">
        <v>30</v>
      </c>
      <c r="C186" t="s">
        <v>76</v>
      </c>
      <c r="D186" t="s">
        <v>600</v>
      </c>
      <c r="E186" t="s">
        <v>612</v>
      </c>
      <c r="F186" t="s">
        <v>613</v>
      </c>
      <c r="G186" t="s">
        <v>1142</v>
      </c>
      <c r="H186">
        <v>1474</v>
      </c>
      <c r="I186">
        <v>770</v>
      </c>
      <c r="J186">
        <v>0.1350067842605156</v>
      </c>
      <c r="K186">
        <v>0.1142857142857143</v>
      </c>
      <c r="L186">
        <v>199</v>
      </c>
      <c r="M186">
        <v>88</v>
      </c>
      <c r="N186">
        <v>-0.55778894472361806</v>
      </c>
      <c r="O186">
        <v>-0.47761194029850751</v>
      </c>
      <c r="P186">
        <v>-2.0721069974801321E-2</v>
      </c>
      <c r="Q186">
        <v>24</v>
      </c>
    </row>
    <row r="187" spans="1:17" x14ac:dyDescent="0.25">
      <c r="A187" t="s">
        <v>564</v>
      </c>
      <c r="B187" t="s">
        <v>30</v>
      </c>
      <c r="C187" t="s">
        <v>76</v>
      </c>
      <c r="D187" t="s">
        <v>602</v>
      </c>
      <c r="E187" t="s">
        <v>628</v>
      </c>
      <c r="F187" t="s">
        <v>629</v>
      </c>
      <c r="G187" t="s">
        <v>1143</v>
      </c>
      <c r="H187">
        <v>1407</v>
      </c>
      <c r="I187">
        <v>750</v>
      </c>
      <c r="J187">
        <v>0.1023454157782516</v>
      </c>
      <c r="K187">
        <v>0.156</v>
      </c>
      <c r="L187">
        <v>144</v>
      </c>
      <c r="M187">
        <v>117</v>
      </c>
      <c r="N187">
        <v>-0.1875</v>
      </c>
      <c r="O187">
        <v>-0.46695095948827292</v>
      </c>
      <c r="P187">
        <v>5.3654584221748403E-2</v>
      </c>
      <c r="Q187">
        <v>25</v>
      </c>
    </row>
    <row r="188" spans="1:17" x14ac:dyDescent="0.25">
      <c r="A188" t="s">
        <v>564</v>
      </c>
      <c r="B188" t="s">
        <v>30</v>
      </c>
      <c r="C188" t="s">
        <v>76</v>
      </c>
      <c r="D188" t="s">
        <v>592</v>
      </c>
      <c r="E188" t="s">
        <v>624</v>
      </c>
      <c r="F188" t="s">
        <v>625</v>
      </c>
      <c r="G188" t="s">
        <v>1144</v>
      </c>
      <c r="H188">
        <v>3891</v>
      </c>
      <c r="I188">
        <v>603</v>
      </c>
      <c r="J188">
        <v>8.0956052428681577E-2</v>
      </c>
      <c r="K188">
        <v>9.9502487562189053E-3</v>
      </c>
      <c r="L188">
        <v>315</v>
      </c>
      <c r="M188">
        <v>6</v>
      </c>
      <c r="N188">
        <v>-0.98095238095238091</v>
      </c>
      <c r="O188">
        <v>-0.84502698535080956</v>
      </c>
      <c r="P188">
        <v>-7.1005803672462675E-2</v>
      </c>
      <c r="Q188">
        <v>26</v>
      </c>
    </row>
    <row r="189" spans="1:17" x14ac:dyDescent="0.25">
      <c r="A189" t="s">
        <v>564</v>
      </c>
      <c r="B189" t="s">
        <v>30</v>
      </c>
      <c r="C189" t="s">
        <v>76</v>
      </c>
      <c r="D189" t="s">
        <v>634</v>
      </c>
      <c r="E189" t="s">
        <v>78</v>
      </c>
      <c r="F189" t="s">
        <v>635</v>
      </c>
      <c r="G189" t="s">
        <v>1145</v>
      </c>
      <c r="H189">
        <v>2905</v>
      </c>
      <c r="I189">
        <v>597</v>
      </c>
      <c r="J189">
        <v>9.5697074010327024E-2</v>
      </c>
      <c r="K189">
        <v>6.5326633165829151E-2</v>
      </c>
      <c r="L189">
        <v>278</v>
      </c>
      <c r="M189">
        <v>39</v>
      </c>
      <c r="N189">
        <v>-0.85971223021582732</v>
      </c>
      <c r="O189">
        <v>-0.79449225473321861</v>
      </c>
      <c r="P189">
        <v>-3.0370440844497869E-2</v>
      </c>
      <c r="Q189">
        <v>27</v>
      </c>
    </row>
    <row r="190" spans="1:17" x14ac:dyDescent="0.25">
      <c r="A190" t="s">
        <v>564</v>
      </c>
      <c r="B190" t="s">
        <v>30</v>
      </c>
      <c r="C190" t="s">
        <v>76</v>
      </c>
      <c r="D190" t="s">
        <v>618</v>
      </c>
      <c r="E190" t="s">
        <v>78</v>
      </c>
      <c r="F190" t="s">
        <v>619</v>
      </c>
      <c r="G190" t="s">
        <v>1146</v>
      </c>
      <c r="H190">
        <v>457</v>
      </c>
      <c r="I190">
        <v>513</v>
      </c>
      <c r="J190">
        <v>5.9080962800875277E-2</v>
      </c>
      <c r="K190">
        <v>8.9668615984405453E-2</v>
      </c>
      <c r="L190">
        <v>27</v>
      </c>
      <c r="M190">
        <v>46</v>
      </c>
      <c r="N190">
        <v>0.70370370370370339</v>
      </c>
      <c r="O190">
        <v>0.12253829321663021</v>
      </c>
      <c r="P190">
        <v>3.058765318353017E-2</v>
      </c>
      <c r="Q190">
        <v>28</v>
      </c>
    </row>
    <row r="191" spans="1:17" x14ac:dyDescent="0.25">
      <c r="A191" t="s">
        <v>564</v>
      </c>
      <c r="B191" t="s">
        <v>30</v>
      </c>
      <c r="C191" t="s">
        <v>76</v>
      </c>
      <c r="D191" t="s">
        <v>620</v>
      </c>
      <c r="E191" t="s">
        <v>78</v>
      </c>
      <c r="F191" t="s">
        <v>621</v>
      </c>
      <c r="G191" t="s">
        <v>1147</v>
      </c>
      <c r="H191">
        <v>1248</v>
      </c>
      <c r="I191">
        <v>497</v>
      </c>
      <c r="J191">
        <v>0.21634615384615391</v>
      </c>
      <c r="K191">
        <v>0.16700201207243459</v>
      </c>
      <c r="L191">
        <v>270</v>
      </c>
      <c r="M191">
        <v>83</v>
      </c>
      <c r="N191">
        <v>-0.69259259259259254</v>
      </c>
      <c r="O191">
        <v>-0.60176282051282048</v>
      </c>
      <c r="P191">
        <v>-4.9344141773719229E-2</v>
      </c>
      <c r="Q191">
        <v>29</v>
      </c>
    </row>
    <row r="192" spans="1:17" x14ac:dyDescent="0.25">
      <c r="A192" t="s">
        <v>564</v>
      </c>
      <c r="B192" t="s">
        <v>30</v>
      </c>
      <c r="C192" t="s">
        <v>76</v>
      </c>
      <c r="D192" t="s">
        <v>626</v>
      </c>
      <c r="E192" t="s">
        <v>78</v>
      </c>
      <c r="F192" t="s">
        <v>627</v>
      </c>
      <c r="G192" t="s">
        <v>1148</v>
      </c>
      <c r="H192">
        <v>3994</v>
      </c>
      <c r="I192">
        <v>474</v>
      </c>
      <c r="J192">
        <v>6.9354031046569856E-2</v>
      </c>
      <c r="K192">
        <v>9.49367088607595E-2</v>
      </c>
      <c r="L192">
        <v>277</v>
      </c>
      <c r="M192">
        <v>45</v>
      </c>
      <c r="N192">
        <v>-0.83754512635379064</v>
      </c>
      <c r="O192">
        <v>-0.88132198297446174</v>
      </c>
      <c r="P192">
        <v>2.5582677814189641E-2</v>
      </c>
      <c r="Q192">
        <v>30</v>
      </c>
    </row>
    <row r="193" spans="1:17" x14ac:dyDescent="0.25">
      <c r="A193" t="s">
        <v>564</v>
      </c>
      <c r="B193" t="s">
        <v>30</v>
      </c>
      <c r="C193" t="s">
        <v>76</v>
      </c>
      <c r="D193" t="s">
        <v>81</v>
      </c>
      <c r="E193" t="s">
        <v>582</v>
      </c>
      <c r="F193" t="s">
        <v>583</v>
      </c>
      <c r="G193" t="s">
        <v>1149</v>
      </c>
      <c r="H193">
        <v>472</v>
      </c>
      <c r="I193">
        <v>462</v>
      </c>
      <c r="J193">
        <v>3.3898305084745763E-2</v>
      </c>
      <c r="K193">
        <v>2.3809523809523812E-2</v>
      </c>
      <c r="L193">
        <v>16</v>
      </c>
      <c r="M193">
        <v>11</v>
      </c>
      <c r="N193">
        <v>-0.3125</v>
      </c>
      <c r="O193">
        <v>-2.1186440677966101E-2</v>
      </c>
      <c r="P193">
        <v>-1.0088781275221949E-2</v>
      </c>
      <c r="Q193">
        <v>31</v>
      </c>
    </row>
    <row r="194" spans="1:17" x14ac:dyDescent="0.25">
      <c r="A194" t="s">
        <v>564</v>
      </c>
      <c r="B194" t="s">
        <v>30</v>
      </c>
      <c r="C194" t="s">
        <v>76</v>
      </c>
      <c r="D194" t="s">
        <v>644</v>
      </c>
      <c r="E194" t="s">
        <v>78</v>
      </c>
      <c r="F194" t="s">
        <v>645</v>
      </c>
      <c r="G194" t="s">
        <v>1150</v>
      </c>
      <c r="H194">
        <v>293</v>
      </c>
      <c r="I194">
        <v>367</v>
      </c>
      <c r="J194">
        <v>5.4607508532423209E-2</v>
      </c>
      <c r="K194">
        <v>2.7247956403269751E-2</v>
      </c>
      <c r="L194">
        <v>16</v>
      </c>
      <c r="M194">
        <v>10</v>
      </c>
      <c r="N194">
        <v>-0.375</v>
      </c>
      <c r="O194">
        <v>0.25255972696245732</v>
      </c>
      <c r="P194">
        <v>-2.7359552129153451E-2</v>
      </c>
      <c r="Q194">
        <v>32</v>
      </c>
    </row>
    <row r="195" spans="1:17" x14ac:dyDescent="0.25">
      <c r="A195" t="s">
        <v>564</v>
      </c>
      <c r="B195" t="s">
        <v>30</v>
      </c>
      <c r="C195" t="s">
        <v>76</v>
      </c>
      <c r="D195" t="s">
        <v>630</v>
      </c>
      <c r="E195" t="s">
        <v>78</v>
      </c>
      <c r="F195" t="s">
        <v>631</v>
      </c>
      <c r="G195" t="s">
        <v>1151</v>
      </c>
      <c r="H195">
        <v>844</v>
      </c>
      <c r="I195">
        <v>326</v>
      </c>
      <c r="J195">
        <v>1.066350710900474E-2</v>
      </c>
      <c r="L195">
        <v>9</v>
      </c>
      <c r="O195">
        <v>-0.61374407582938384</v>
      </c>
      <c r="Q195">
        <v>33</v>
      </c>
    </row>
    <row r="196" spans="1:17" x14ac:dyDescent="0.25">
      <c r="A196" t="s">
        <v>564</v>
      </c>
      <c r="B196" t="s">
        <v>30</v>
      </c>
      <c r="C196" t="s">
        <v>76</v>
      </c>
      <c r="D196" t="s">
        <v>632</v>
      </c>
      <c r="E196" t="s">
        <v>78</v>
      </c>
      <c r="F196" t="s">
        <v>633</v>
      </c>
      <c r="G196" t="s">
        <v>1152</v>
      </c>
      <c r="H196">
        <v>1389</v>
      </c>
      <c r="I196">
        <v>271</v>
      </c>
      <c r="J196">
        <v>5.0395968322534193E-3</v>
      </c>
      <c r="L196">
        <v>7</v>
      </c>
      <c r="O196">
        <v>-0.80489560835133189</v>
      </c>
      <c r="Q196">
        <v>34</v>
      </c>
    </row>
    <row r="197" spans="1:17" x14ac:dyDescent="0.25">
      <c r="A197" t="s">
        <v>564</v>
      </c>
      <c r="B197" t="s">
        <v>30</v>
      </c>
      <c r="C197" t="s">
        <v>76</v>
      </c>
      <c r="D197" t="s">
        <v>81</v>
      </c>
      <c r="E197" t="s">
        <v>622</v>
      </c>
      <c r="F197" t="s">
        <v>623</v>
      </c>
      <c r="G197" t="s">
        <v>1153</v>
      </c>
      <c r="H197">
        <v>1550</v>
      </c>
      <c r="I197">
        <v>264</v>
      </c>
      <c r="J197">
        <v>8.3870967741935479E-3</v>
      </c>
      <c r="K197">
        <v>1.136363636363636E-2</v>
      </c>
      <c r="L197">
        <v>13</v>
      </c>
      <c r="M197">
        <v>3</v>
      </c>
      <c r="N197">
        <v>-0.76923076923076916</v>
      </c>
      <c r="O197">
        <v>-0.82967741935483874</v>
      </c>
      <c r="P197">
        <v>2.976539589442816E-3</v>
      </c>
      <c r="Q197">
        <v>35</v>
      </c>
    </row>
    <row r="198" spans="1:17" x14ac:dyDescent="0.25">
      <c r="A198" t="s">
        <v>564</v>
      </c>
      <c r="B198" t="s">
        <v>30</v>
      </c>
      <c r="C198" t="s">
        <v>76</v>
      </c>
      <c r="D198" t="s">
        <v>602</v>
      </c>
      <c r="E198" t="s">
        <v>640</v>
      </c>
      <c r="F198" t="s">
        <v>641</v>
      </c>
      <c r="G198" t="s">
        <v>1154</v>
      </c>
      <c r="H198">
        <v>480</v>
      </c>
      <c r="I198">
        <v>261</v>
      </c>
      <c r="J198">
        <v>1.458333333333333E-2</v>
      </c>
      <c r="K198">
        <v>1.149425287356322E-2</v>
      </c>
      <c r="L198">
        <v>7</v>
      </c>
      <c r="M198">
        <v>3</v>
      </c>
      <c r="N198">
        <v>-0.57142857142857151</v>
      </c>
      <c r="O198">
        <v>-0.45624999999999999</v>
      </c>
      <c r="P198">
        <v>-3.0890804597701162E-3</v>
      </c>
      <c r="Q198">
        <v>36</v>
      </c>
    </row>
    <row r="199" spans="1:17" x14ac:dyDescent="0.25">
      <c r="A199" t="s">
        <v>564</v>
      </c>
      <c r="B199" t="s">
        <v>30</v>
      </c>
      <c r="C199" t="s">
        <v>76</v>
      </c>
      <c r="D199" t="s">
        <v>602</v>
      </c>
      <c r="E199" t="s">
        <v>650</v>
      </c>
      <c r="F199" t="s">
        <v>651</v>
      </c>
      <c r="G199" t="s">
        <v>1155</v>
      </c>
      <c r="H199">
        <v>580</v>
      </c>
      <c r="I199">
        <v>106</v>
      </c>
      <c r="J199">
        <v>0.27068965517241378</v>
      </c>
      <c r="K199">
        <v>0.25471698113207553</v>
      </c>
      <c r="L199">
        <v>157</v>
      </c>
      <c r="M199">
        <v>27</v>
      </c>
      <c r="N199">
        <v>-0.82802547770700641</v>
      </c>
      <c r="O199">
        <v>-0.8172413793103448</v>
      </c>
      <c r="P199">
        <v>-1.5972674040338329E-2</v>
      </c>
      <c r="Q199">
        <v>37</v>
      </c>
    </row>
    <row r="200" spans="1:17" x14ac:dyDescent="0.25">
      <c r="A200" t="s">
        <v>564</v>
      </c>
      <c r="B200" t="s">
        <v>30</v>
      </c>
      <c r="C200" t="s">
        <v>76</v>
      </c>
      <c r="D200" t="s">
        <v>602</v>
      </c>
      <c r="E200" t="s">
        <v>648</v>
      </c>
      <c r="F200" t="s">
        <v>649</v>
      </c>
      <c r="G200" t="s">
        <v>1156</v>
      </c>
      <c r="H200">
        <v>200</v>
      </c>
      <c r="I200">
        <v>103</v>
      </c>
      <c r="J200">
        <v>0.14499999999999999</v>
      </c>
      <c r="K200">
        <v>0.1067961165048544</v>
      </c>
      <c r="L200">
        <v>29</v>
      </c>
      <c r="M200">
        <v>11</v>
      </c>
      <c r="N200">
        <v>-0.62068965517241381</v>
      </c>
      <c r="O200">
        <v>-0.48499999999999999</v>
      </c>
      <c r="P200">
        <v>-3.8203883495145641E-2</v>
      </c>
      <c r="Q200">
        <v>38</v>
      </c>
    </row>
    <row r="201" spans="1:17" x14ac:dyDescent="0.25">
      <c r="A201" t="s">
        <v>564</v>
      </c>
      <c r="B201" t="s">
        <v>30</v>
      </c>
      <c r="C201" t="s">
        <v>76</v>
      </c>
      <c r="D201" t="s">
        <v>81</v>
      </c>
      <c r="E201" t="s">
        <v>646</v>
      </c>
      <c r="F201" t="s">
        <v>647</v>
      </c>
      <c r="G201" t="s">
        <v>1157</v>
      </c>
      <c r="H201">
        <v>413</v>
      </c>
      <c r="I201">
        <v>73</v>
      </c>
      <c r="J201">
        <v>8.4745762711864403E-2</v>
      </c>
      <c r="K201">
        <v>2.7397260273972601E-2</v>
      </c>
      <c r="L201">
        <v>35</v>
      </c>
      <c r="M201">
        <v>2</v>
      </c>
      <c r="N201">
        <v>-0.94285714285714284</v>
      </c>
      <c r="O201">
        <v>-0.82324455205811142</v>
      </c>
      <c r="P201">
        <v>-5.7348502437891802E-2</v>
      </c>
      <c r="Q201">
        <v>39</v>
      </c>
    </row>
    <row r="202" spans="1:17" x14ac:dyDescent="0.25">
      <c r="A202" t="s">
        <v>564</v>
      </c>
      <c r="B202" t="s">
        <v>30</v>
      </c>
      <c r="C202" t="s">
        <v>76</v>
      </c>
      <c r="D202" t="s">
        <v>634</v>
      </c>
      <c r="E202" t="s">
        <v>658</v>
      </c>
      <c r="F202" t="s">
        <v>659</v>
      </c>
      <c r="G202" t="s">
        <v>1158</v>
      </c>
      <c r="H202">
        <v>2442</v>
      </c>
      <c r="I202">
        <v>62</v>
      </c>
      <c r="J202">
        <v>0.10565110565110571</v>
      </c>
      <c r="K202">
        <v>0.1129032258064516</v>
      </c>
      <c r="L202">
        <v>258</v>
      </c>
      <c r="M202">
        <v>7</v>
      </c>
      <c r="N202">
        <v>-0.97286821705426352</v>
      </c>
      <c r="O202">
        <v>-0.97461097461097457</v>
      </c>
      <c r="P202">
        <v>7.25212015534596E-3</v>
      </c>
      <c r="Q202">
        <v>40</v>
      </c>
    </row>
    <row r="203" spans="1:17" x14ac:dyDescent="0.25">
      <c r="A203" t="s">
        <v>564</v>
      </c>
      <c r="B203" t="s">
        <v>30</v>
      </c>
      <c r="C203" t="s">
        <v>76</v>
      </c>
      <c r="D203" t="s">
        <v>654</v>
      </c>
      <c r="E203" t="s">
        <v>78</v>
      </c>
      <c r="F203" t="s">
        <v>655</v>
      </c>
      <c r="G203" t="s">
        <v>1159</v>
      </c>
      <c r="H203">
        <v>188</v>
      </c>
      <c r="I203">
        <v>61</v>
      </c>
      <c r="J203">
        <v>2.1276595744680851E-2</v>
      </c>
      <c r="K203">
        <v>1.6393442622950821E-2</v>
      </c>
      <c r="L203">
        <v>4</v>
      </c>
      <c r="M203">
        <v>1</v>
      </c>
      <c r="N203">
        <v>-0.75</v>
      </c>
      <c r="O203">
        <v>-0.67553191489361697</v>
      </c>
      <c r="P203">
        <v>-4.88315312173003E-3</v>
      </c>
      <c r="Q203">
        <v>41</v>
      </c>
    </row>
    <row r="204" spans="1:17" x14ac:dyDescent="0.25">
      <c r="A204" t="s">
        <v>564</v>
      </c>
      <c r="B204" t="s">
        <v>30</v>
      </c>
      <c r="C204" t="s">
        <v>76</v>
      </c>
      <c r="D204" t="s">
        <v>602</v>
      </c>
      <c r="E204" t="s">
        <v>652</v>
      </c>
      <c r="F204" t="s">
        <v>653</v>
      </c>
      <c r="G204" t="s">
        <v>1160</v>
      </c>
      <c r="H204">
        <v>169</v>
      </c>
      <c r="I204">
        <v>45</v>
      </c>
      <c r="J204">
        <v>5.9171597633136093E-3</v>
      </c>
      <c r="K204">
        <v>4.4444444444444453E-2</v>
      </c>
      <c r="L204">
        <v>1</v>
      </c>
      <c r="M204">
        <v>2</v>
      </c>
      <c r="N204">
        <v>1</v>
      </c>
      <c r="O204">
        <v>-0.73372781065088755</v>
      </c>
      <c r="P204">
        <v>3.8527284681130827E-2</v>
      </c>
      <c r="Q204">
        <v>42</v>
      </c>
    </row>
    <row r="205" spans="1:17" x14ac:dyDescent="0.25">
      <c r="A205" t="s">
        <v>564</v>
      </c>
      <c r="B205" t="s">
        <v>30</v>
      </c>
      <c r="C205" t="s">
        <v>76</v>
      </c>
      <c r="D205" t="s">
        <v>602</v>
      </c>
      <c r="E205" t="s">
        <v>666</v>
      </c>
      <c r="F205" t="s">
        <v>667</v>
      </c>
      <c r="G205" t="s">
        <v>1161</v>
      </c>
      <c r="I205">
        <v>39</v>
      </c>
      <c r="Q205">
        <v>43</v>
      </c>
    </row>
    <row r="206" spans="1:17" x14ac:dyDescent="0.25">
      <c r="A206" t="s">
        <v>564</v>
      </c>
      <c r="B206" t="s">
        <v>30</v>
      </c>
      <c r="C206" t="s">
        <v>76</v>
      </c>
      <c r="D206" t="s">
        <v>642</v>
      </c>
      <c r="E206" t="s">
        <v>78</v>
      </c>
      <c r="F206" t="s">
        <v>643</v>
      </c>
      <c r="G206" t="s">
        <v>1162</v>
      </c>
      <c r="H206">
        <v>2520</v>
      </c>
      <c r="I206">
        <v>36</v>
      </c>
      <c r="J206">
        <v>1.984126984126984E-3</v>
      </c>
      <c r="L206">
        <v>5</v>
      </c>
      <c r="O206">
        <v>-0.98571428571428577</v>
      </c>
      <c r="Q206">
        <v>44</v>
      </c>
    </row>
    <row r="207" spans="1:17" x14ac:dyDescent="0.25">
      <c r="A207" t="s">
        <v>564</v>
      </c>
      <c r="B207" t="s">
        <v>30</v>
      </c>
      <c r="C207" t="s">
        <v>76</v>
      </c>
      <c r="D207" t="s">
        <v>664</v>
      </c>
      <c r="E207" t="s">
        <v>78</v>
      </c>
      <c r="F207" t="s">
        <v>665</v>
      </c>
      <c r="G207" t="s">
        <v>1163</v>
      </c>
      <c r="H207">
        <v>340</v>
      </c>
      <c r="I207">
        <v>32</v>
      </c>
      <c r="J207">
        <v>5.8823529411764714E-3</v>
      </c>
      <c r="L207">
        <v>2</v>
      </c>
      <c r="O207">
        <v>-0.90588235294117647</v>
      </c>
      <c r="Q207">
        <v>45</v>
      </c>
    </row>
    <row r="208" spans="1:17" x14ac:dyDescent="0.25">
      <c r="A208" t="s">
        <v>564</v>
      </c>
      <c r="B208" t="s">
        <v>30</v>
      </c>
      <c r="C208" t="s">
        <v>76</v>
      </c>
      <c r="D208" t="s">
        <v>668</v>
      </c>
      <c r="E208" t="s">
        <v>78</v>
      </c>
      <c r="F208" t="s">
        <v>669</v>
      </c>
      <c r="G208" t="s">
        <v>1164</v>
      </c>
      <c r="H208">
        <v>55</v>
      </c>
      <c r="I208">
        <v>26</v>
      </c>
      <c r="J208">
        <v>1.8181818181818181E-2</v>
      </c>
      <c r="L208">
        <v>1</v>
      </c>
      <c r="O208">
        <v>-0.52727272727272723</v>
      </c>
      <c r="Q208">
        <v>46</v>
      </c>
    </row>
    <row r="209" spans="1:17" x14ac:dyDescent="0.25">
      <c r="A209" t="s">
        <v>564</v>
      </c>
      <c r="B209" t="s">
        <v>30</v>
      </c>
      <c r="C209" t="s">
        <v>76</v>
      </c>
      <c r="D209" t="s">
        <v>602</v>
      </c>
      <c r="E209" t="s">
        <v>670</v>
      </c>
      <c r="F209" t="s">
        <v>671</v>
      </c>
      <c r="G209" t="s">
        <v>1165</v>
      </c>
      <c r="H209">
        <v>23</v>
      </c>
      <c r="I209">
        <v>22</v>
      </c>
      <c r="J209">
        <v>0.34782608695652167</v>
      </c>
      <c r="K209">
        <v>0.40909090909090912</v>
      </c>
      <c r="L209">
        <v>8</v>
      </c>
      <c r="M209">
        <v>9</v>
      </c>
      <c r="N209">
        <v>0.12500000000000011</v>
      </c>
      <c r="O209">
        <v>-4.3478260869565223E-2</v>
      </c>
      <c r="P209">
        <v>6.1264822134387373E-2</v>
      </c>
      <c r="Q209">
        <v>47</v>
      </c>
    </row>
    <row r="210" spans="1:17" x14ac:dyDescent="0.25">
      <c r="A210" t="s">
        <v>564</v>
      </c>
      <c r="B210" t="s">
        <v>30</v>
      </c>
      <c r="C210" t="s">
        <v>76</v>
      </c>
      <c r="D210" t="s">
        <v>674</v>
      </c>
      <c r="E210" t="s">
        <v>78</v>
      </c>
      <c r="F210" t="s">
        <v>675</v>
      </c>
      <c r="G210" t="s">
        <v>1166</v>
      </c>
      <c r="H210">
        <v>37</v>
      </c>
      <c r="I210">
        <v>19</v>
      </c>
      <c r="J210">
        <v>5.4054054054054057E-2</v>
      </c>
      <c r="K210">
        <v>0.10526315789473679</v>
      </c>
      <c r="L210">
        <v>2</v>
      </c>
      <c r="M210">
        <v>2</v>
      </c>
      <c r="N210">
        <v>-1.3004999999999999E-16</v>
      </c>
      <c r="O210">
        <v>-0.48648648648648651</v>
      </c>
      <c r="P210">
        <v>5.1209103840682779E-2</v>
      </c>
      <c r="Q210">
        <v>48</v>
      </c>
    </row>
    <row r="211" spans="1:17" x14ac:dyDescent="0.25">
      <c r="A211" t="s">
        <v>564</v>
      </c>
      <c r="B211" t="s">
        <v>30</v>
      </c>
      <c r="C211" t="s">
        <v>76</v>
      </c>
      <c r="D211" t="s">
        <v>660</v>
      </c>
      <c r="E211" t="s">
        <v>78</v>
      </c>
      <c r="F211" t="s">
        <v>661</v>
      </c>
      <c r="G211" t="s">
        <v>1167</v>
      </c>
      <c r="H211">
        <v>183</v>
      </c>
      <c r="I211">
        <v>17</v>
      </c>
      <c r="J211">
        <v>6.0109289617486343E-2</v>
      </c>
      <c r="K211">
        <v>5.8823529411764712E-2</v>
      </c>
      <c r="L211">
        <v>11</v>
      </c>
      <c r="M211">
        <v>1</v>
      </c>
      <c r="N211">
        <v>-0.90909090909090906</v>
      </c>
      <c r="O211">
        <v>-0.90710382513661203</v>
      </c>
      <c r="P211">
        <v>-1.2857602057216311E-3</v>
      </c>
      <c r="Q211">
        <v>49</v>
      </c>
    </row>
    <row r="212" spans="1:17" x14ac:dyDescent="0.25">
      <c r="A212" t="s">
        <v>564</v>
      </c>
      <c r="B212" t="s">
        <v>30</v>
      </c>
      <c r="C212" t="s">
        <v>76</v>
      </c>
      <c r="D212" t="s">
        <v>676</v>
      </c>
      <c r="E212" t="s">
        <v>78</v>
      </c>
      <c r="F212" t="s">
        <v>677</v>
      </c>
      <c r="G212" t="s">
        <v>1168</v>
      </c>
      <c r="H212">
        <v>59</v>
      </c>
      <c r="I212">
        <v>11</v>
      </c>
      <c r="J212">
        <v>6.7796610169491525E-2</v>
      </c>
      <c r="K212">
        <v>0.1818181818181818</v>
      </c>
      <c r="L212">
        <v>4</v>
      </c>
      <c r="M212">
        <v>2</v>
      </c>
      <c r="N212">
        <v>-0.5</v>
      </c>
      <c r="O212">
        <v>-0.81355932203389836</v>
      </c>
      <c r="P212">
        <v>0.1140215716486903</v>
      </c>
      <c r="Q212">
        <v>50</v>
      </c>
    </row>
    <row r="213" spans="1:17" x14ac:dyDescent="0.25">
      <c r="A213" t="s">
        <v>564</v>
      </c>
      <c r="B213" t="s">
        <v>30</v>
      </c>
      <c r="C213" t="s">
        <v>76</v>
      </c>
      <c r="D213" t="s">
        <v>662</v>
      </c>
      <c r="E213" t="s">
        <v>78</v>
      </c>
      <c r="F213" t="s">
        <v>663</v>
      </c>
      <c r="G213" t="s">
        <v>1169</v>
      </c>
      <c r="H213">
        <v>12</v>
      </c>
      <c r="I213">
        <v>9</v>
      </c>
      <c r="J213">
        <v>8.3333333333333329E-2</v>
      </c>
      <c r="L213">
        <v>1</v>
      </c>
      <c r="O213">
        <v>-0.25</v>
      </c>
      <c r="Q213">
        <v>51</v>
      </c>
    </row>
    <row r="214" spans="1:17" x14ac:dyDescent="0.25">
      <c r="A214" t="s">
        <v>564</v>
      </c>
      <c r="B214" t="s">
        <v>30</v>
      </c>
      <c r="C214" t="s">
        <v>76</v>
      </c>
      <c r="D214" t="s">
        <v>81</v>
      </c>
      <c r="E214" t="s">
        <v>604</v>
      </c>
      <c r="F214" t="s">
        <v>605</v>
      </c>
      <c r="G214" t="s">
        <v>1170</v>
      </c>
      <c r="I214">
        <v>7</v>
      </c>
      <c r="Q214">
        <v>52</v>
      </c>
    </row>
    <row r="215" spans="1:17" x14ac:dyDescent="0.25">
      <c r="A215" t="s">
        <v>564</v>
      </c>
      <c r="B215" t="s">
        <v>30</v>
      </c>
      <c r="C215" t="s">
        <v>76</v>
      </c>
      <c r="D215" t="s">
        <v>672</v>
      </c>
      <c r="E215" t="s">
        <v>78</v>
      </c>
      <c r="F215" t="s">
        <v>673</v>
      </c>
      <c r="G215" t="s">
        <v>1171</v>
      </c>
      <c r="H215">
        <v>50</v>
      </c>
      <c r="I215">
        <v>7</v>
      </c>
      <c r="J215">
        <v>0.02</v>
      </c>
      <c r="L215">
        <v>1</v>
      </c>
      <c r="O215">
        <v>-0.86</v>
      </c>
      <c r="Q215">
        <v>53</v>
      </c>
    </row>
    <row r="216" spans="1:17" x14ac:dyDescent="0.25">
      <c r="A216" t="s">
        <v>564</v>
      </c>
      <c r="B216" t="s">
        <v>30</v>
      </c>
      <c r="C216" t="s">
        <v>76</v>
      </c>
      <c r="D216" t="s">
        <v>656</v>
      </c>
      <c r="E216" t="s">
        <v>78</v>
      </c>
      <c r="F216" t="s">
        <v>657</v>
      </c>
      <c r="G216" t="s">
        <v>1172</v>
      </c>
      <c r="H216">
        <v>5</v>
      </c>
      <c r="I216">
        <v>7</v>
      </c>
      <c r="O216">
        <v>0.4</v>
      </c>
      <c r="Q216">
        <v>54</v>
      </c>
    </row>
    <row r="217" spans="1:17" x14ac:dyDescent="0.25">
      <c r="A217" t="s">
        <v>564</v>
      </c>
      <c r="B217" t="s">
        <v>30</v>
      </c>
      <c r="C217" t="s">
        <v>76</v>
      </c>
      <c r="D217" t="s">
        <v>678</v>
      </c>
      <c r="E217" t="s">
        <v>78</v>
      </c>
      <c r="F217" t="s">
        <v>679</v>
      </c>
      <c r="G217" t="s">
        <v>1173</v>
      </c>
      <c r="H217">
        <v>272</v>
      </c>
      <c r="I217">
        <v>4</v>
      </c>
      <c r="J217">
        <v>6.25E-2</v>
      </c>
      <c r="L217">
        <v>17</v>
      </c>
      <c r="O217">
        <v>-0.98529411764705888</v>
      </c>
      <c r="Q217">
        <v>55</v>
      </c>
    </row>
    <row r="218" spans="1:17" x14ac:dyDescent="0.25">
      <c r="A218" t="s">
        <v>564</v>
      </c>
      <c r="B218" t="s">
        <v>30</v>
      </c>
      <c r="C218" t="s">
        <v>76</v>
      </c>
      <c r="D218" t="s">
        <v>680</v>
      </c>
      <c r="E218" t="s">
        <v>78</v>
      </c>
      <c r="F218" t="s">
        <v>681</v>
      </c>
      <c r="G218" t="s">
        <v>1174</v>
      </c>
      <c r="H218">
        <v>1</v>
      </c>
      <c r="I218">
        <v>2</v>
      </c>
      <c r="O218">
        <v>1</v>
      </c>
      <c r="Q218">
        <v>56</v>
      </c>
    </row>
    <row r="219" spans="1:17" x14ac:dyDescent="0.25">
      <c r="A219" t="s">
        <v>564</v>
      </c>
      <c r="B219" t="s">
        <v>30</v>
      </c>
      <c r="C219" t="s">
        <v>76</v>
      </c>
      <c r="D219" t="s">
        <v>682</v>
      </c>
      <c r="E219" t="s">
        <v>78</v>
      </c>
      <c r="F219" t="s">
        <v>683</v>
      </c>
      <c r="G219" t="s">
        <v>1175</v>
      </c>
      <c r="H219">
        <v>1</v>
      </c>
      <c r="I219">
        <v>1</v>
      </c>
      <c r="O219">
        <v>0</v>
      </c>
      <c r="Q219">
        <v>57</v>
      </c>
    </row>
    <row r="220" spans="1:17" x14ac:dyDescent="0.25">
      <c r="A220" t="s">
        <v>564</v>
      </c>
      <c r="B220" t="s">
        <v>30</v>
      </c>
      <c r="C220" t="s">
        <v>76</v>
      </c>
      <c r="D220" t="s">
        <v>684</v>
      </c>
      <c r="E220" t="s">
        <v>78</v>
      </c>
      <c r="F220" t="s">
        <v>685</v>
      </c>
      <c r="G220" t="s">
        <v>1176</v>
      </c>
      <c r="I220">
        <v>1</v>
      </c>
      <c r="Q220">
        <v>58</v>
      </c>
    </row>
    <row r="221" spans="1:17" x14ac:dyDescent="0.25">
      <c r="A221" t="s">
        <v>564</v>
      </c>
      <c r="B221" t="s">
        <v>30</v>
      </c>
      <c r="C221" t="s">
        <v>76</v>
      </c>
      <c r="D221" t="s">
        <v>967</v>
      </c>
      <c r="E221" t="s">
        <v>78</v>
      </c>
      <c r="F221" t="s">
        <v>968</v>
      </c>
      <c r="G221" t="s">
        <v>1177</v>
      </c>
      <c r="I221">
        <v>1</v>
      </c>
      <c r="Q221">
        <v>59</v>
      </c>
    </row>
    <row r="222" spans="1:17" x14ac:dyDescent="0.25">
      <c r="A222" t="s">
        <v>564</v>
      </c>
      <c r="B222" t="s">
        <v>30</v>
      </c>
      <c r="C222" t="s">
        <v>76</v>
      </c>
      <c r="D222" t="s">
        <v>1003</v>
      </c>
      <c r="E222" t="s">
        <v>78</v>
      </c>
      <c r="F222" t="s">
        <v>1004</v>
      </c>
      <c r="G222" t="s">
        <v>1178</v>
      </c>
      <c r="Q222">
        <v>60</v>
      </c>
    </row>
    <row r="223" spans="1:17" x14ac:dyDescent="0.25">
      <c r="A223" t="s">
        <v>564</v>
      </c>
      <c r="B223" t="s">
        <v>30</v>
      </c>
      <c r="C223" t="s">
        <v>76</v>
      </c>
      <c r="D223" t="s">
        <v>1015</v>
      </c>
      <c r="E223" t="s">
        <v>78</v>
      </c>
      <c r="F223" t="s">
        <v>1016</v>
      </c>
      <c r="G223" t="s">
        <v>1179</v>
      </c>
      <c r="Q223">
        <v>61</v>
      </c>
    </row>
    <row r="224" spans="1:17" x14ac:dyDescent="0.25">
      <c r="A224" t="s">
        <v>564</v>
      </c>
      <c r="B224" t="s">
        <v>30</v>
      </c>
      <c r="C224" t="s">
        <v>76</v>
      </c>
      <c r="D224" t="s">
        <v>1018</v>
      </c>
      <c r="E224" t="s">
        <v>78</v>
      </c>
      <c r="F224" t="s">
        <v>1019</v>
      </c>
      <c r="G224" t="s">
        <v>1180</v>
      </c>
      <c r="Q224">
        <v>62</v>
      </c>
    </row>
    <row r="225" spans="1:17" x14ac:dyDescent="0.25">
      <c r="A225" t="s">
        <v>564</v>
      </c>
      <c r="B225" t="s">
        <v>30</v>
      </c>
      <c r="C225" t="s">
        <v>76</v>
      </c>
      <c r="D225" t="s">
        <v>692</v>
      </c>
      <c r="E225" t="s">
        <v>78</v>
      </c>
      <c r="F225" t="s">
        <v>693</v>
      </c>
      <c r="G225" t="s">
        <v>1181</v>
      </c>
      <c r="H225">
        <v>20</v>
      </c>
      <c r="J225">
        <v>0.05</v>
      </c>
      <c r="L225">
        <v>1</v>
      </c>
      <c r="Q225">
        <v>63</v>
      </c>
    </row>
    <row r="226" spans="1:17" x14ac:dyDescent="0.25">
      <c r="A226" t="s">
        <v>564</v>
      </c>
      <c r="B226" t="s">
        <v>30</v>
      </c>
      <c r="C226" t="s">
        <v>76</v>
      </c>
      <c r="D226" t="s">
        <v>1027</v>
      </c>
      <c r="E226" t="s">
        <v>78</v>
      </c>
      <c r="F226" t="s">
        <v>1028</v>
      </c>
      <c r="G226" t="s">
        <v>1182</v>
      </c>
      <c r="Q226">
        <v>64</v>
      </c>
    </row>
    <row r="227" spans="1:17" x14ac:dyDescent="0.25">
      <c r="A227" t="s">
        <v>564</v>
      </c>
      <c r="B227" t="s">
        <v>30</v>
      </c>
      <c r="C227" t="s">
        <v>76</v>
      </c>
      <c r="D227" t="s">
        <v>1030</v>
      </c>
      <c r="E227" t="s">
        <v>78</v>
      </c>
      <c r="F227" t="s">
        <v>1031</v>
      </c>
      <c r="G227" t="s">
        <v>1183</v>
      </c>
      <c r="Q227">
        <v>65</v>
      </c>
    </row>
    <row r="228" spans="1:17" x14ac:dyDescent="0.25">
      <c r="A228" t="s">
        <v>564</v>
      </c>
      <c r="B228" t="s">
        <v>30</v>
      </c>
      <c r="C228" t="s">
        <v>76</v>
      </c>
      <c r="D228" t="s">
        <v>1033</v>
      </c>
      <c r="E228" t="s">
        <v>78</v>
      </c>
      <c r="F228" t="s">
        <v>1034</v>
      </c>
      <c r="G228" t="s">
        <v>1184</v>
      </c>
      <c r="Q228">
        <v>66</v>
      </c>
    </row>
    <row r="229" spans="1:17" x14ac:dyDescent="0.25">
      <c r="A229" t="s">
        <v>564</v>
      </c>
      <c r="B229" t="s">
        <v>30</v>
      </c>
      <c r="C229" t="s">
        <v>76</v>
      </c>
      <c r="D229" t="s">
        <v>1042</v>
      </c>
      <c r="E229" t="s">
        <v>78</v>
      </c>
      <c r="F229" t="s">
        <v>1043</v>
      </c>
      <c r="G229" t="s">
        <v>1185</v>
      </c>
      <c r="Q229">
        <v>67</v>
      </c>
    </row>
    <row r="230" spans="1:17" x14ac:dyDescent="0.25">
      <c r="A230" t="s">
        <v>564</v>
      </c>
      <c r="B230" t="s">
        <v>30</v>
      </c>
      <c r="C230" t="s">
        <v>76</v>
      </c>
      <c r="D230" t="s">
        <v>1048</v>
      </c>
      <c r="E230" t="s">
        <v>78</v>
      </c>
      <c r="F230" t="s">
        <v>1049</v>
      </c>
      <c r="G230" t="s">
        <v>1186</v>
      </c>
      <c r="Q230">
        <v>68</v>
      </c>
    </row>
    <row r="231" spans="1:17" x14ac:dyDescent="0.25">
      <c r="A231" t="s">
        <v>564</v>
      </c>
      <c r="B231" t="s">
        <v>30</v>
      </c>
      <c r="C231" t="s">
        <v>76</v>
      </c>
      <c r="D231" t="s">
        <v>1051</v>
      </c>
      <c r="E231" t="s">
        <v>78</v>
      </c>
      <c r="F231" t="s">
        <v>1052</v>
      </c>
      <c r="G231" t="s">
        <v>1187</v>
      </c>
      <c r="Q231">
        <v>69</v>
      </c>
    </row>
    <row r="232" spans="1:17" x14ac:dyDescent="0.25">
      <c r="A232" t="s">
        <v>564</v>
      </c>
      <c r="B232" t="s">
        <v>30</v>
      </c>
      <c r="C232" t="s">
        <v>76</v>
      </c>
      <c r="D232" t="s">
        <v>1054</v>
      </c>
      <c r="E232" t="s">
        <v>78</v>
      </c>
      <c r="F232" t="s">
        <v>1055</v>
      </c>
      <c r="G232" t="s">
        <v>1188</v>
      </c>
      <c r="Q232">
        <v>70</v>
      </c>
    </row>
    <row r="233" spans="1:17" x14ac:dyDescent="0.25">
      <c r="A233" t="s">
        <v>564</v>
      </c>
      <c r="B233" t="s">
        <v>30</v>
      </c>
      <c r="C233" t="s">
        <v>76</v>
      </c>
      <c r="D233" t="s">
        <v>1057</v>
      </c>
      <c r="E233" t="s">
        <v>78</v>
      </c>
      <c r="F233" t="s">
        <v>1058</v>
      </c>
      <c r="G233" t="s">
        <v>1189</v>
      </c>
      <c r="Q233">
        <v>71</v>
      </c>
    </row>
    <row r="234" spans="1:17" x14ac:dyDescent="0.25">
      <c r="A234" t="s">
        <v>564</v>
      </c>
      <c r="B234" t="s">
        <v>30</v>
      </c>
      <c r="C234" t="s">
        <v>76</v>
      </c>
      <c r="D234" t="s">
        <v>1060</v>
      </c>
      <c r="E234" t="s">
        <v>78</v>
      </c>
      <c r="F234" t="s">
        <v>1061</v>
      </c>
      <c r="G234" t="s">
        <v>1190</v>
      </c>
      <c r="Q234">
        <v>72</v>
      </c>
    </row>
    <row r="235" spans="1:17" x14ac:dyDescent="0.25">
      <c r="A235" t="s">
        <v>564</v>
      </c>
      <c r="B235" t="s">
        <v>30</v>
      </c>
      <c r="C235" t="s">
        <v>76</v>
      </c>
      <c r="D235" t="s">
        <v>1066</v>
      </c>
      <c r="E235" t="s">
        <v>78</v>
      </c>
      <c r="F235" t="s">
        <v>1067</v>
      </c>
      <c r="G235" t="s">
        <v>1191</v>
      </c>
      <c r="Q235">
        <v>73</v>
      </c>
    </row>
    <row r="236" spans="1:17" x14ac:dyDescent="0.25">
      <c r="A236" t="s">
        <v>564</v>
      </c>
      <c r="B236" t="s">
        <v>30</v>
      </c>
      <c r="C236" t="s">
        <v>76</v>
      </c>
      <c r="D236" t="s">
        <v>1072</v>
      </c>
      <c r="E236" t="s">
        <v>78</v>
      </c>
      <c r="F236" t="s">
        <v>1073</v>
      </c>
      <c r="G236" t="s">
        <v>1192</v>
      </c>
      <c r="Q236">
        <v>74</v>
      </c>
    </row>
    <row r="237" spans="1:17" x14ac:dyDescent="0.25">
      <c r="A237" t="s">
        <v>564</v>
      </c>
      <c r="B237" t="s">
        <v>30</v>
      </c>
      <c r="C237" t="s">
        <v>76</v>
      </c>
      <c r="D237" t="s">
        <v>1075</v>
      </c>
      <c r="E237" t="s">
        <v>78</v>
      </c>
      <c r="F237" t="s">
        <v>1076</v>
      </c>
      <c r="G237" t="s">
        <v>1193</v>
      </c>
      <c r="Q237">
        <v>75</v>
      </c>
    </row>
    <row r="238" spans="1:17" x14ac:dyDescent="0.25">
      <c r="A238" t="s">
        <v>564</v>
      </c>
      <c r="B238" t="s">
        <v>30</v>
      </c>
      <c r="C238" t="s">
        <v>76</v>
      </c>
      <c r="D238" t="s">
        <v>1078</v>
      </c>
      <c r="E238" t="s">
        <v>78</v>
      </c>
      <c r="F238" t="s">
        <v>1079</v>
      </c>
      <c r="G238" t="s">
        <v>1194</v>
      </c>
      <c r="Q238">
        <v>76</v>
      </c>
    </row>
    <row r="239" spans="1:17" x14ac:dyDescent="0.25">
      <c r="A239" t="s">
        <v>564</v>
      </c>
      <c r="B239" t="s">
        <v>30</v>
      </c>
      <c r="C239" t="s">
        <v>76</v>
      </c>
      <c r="D239" t="s">
        <v>1081</v>
      </c>
      <c r="E239" t="s">
        <v>78</v>
      </c>
      <c r="F239" t="s">
        <v>1082</v>
      </c>
      <c r="G239" t="s">
        <v>1195</v>
      </c>
      <c r="Q239">
        <v>77</v>
      </c>
    </row>
    <row r="240" spans="1:17" x14ac:dyDescent="0.25">
      <c r="A240" t="s">
        <v>564</v>
      </c>
      <c r="B240" t="s">
        <v>30</v>
      </c>
      <c r="C240" t="s">
        <v>76</v>
      </c>
      <c r="D240" t="s">
        <v>931</v>
      </c>
      <c r="E240" t="s">
        <v>78</v>
      </c>
      <c r="F240" t="s">
        <v>932</v>
      </c>
      <c r="G240" t="s">
        <v>1196</v>
      </c>
      <c r="Q240">
        <v>78</v>
      </c>
    </row>
    <row r="241" spans="1:17" x14ac:dyDescent="0.25">
      <c r="A241" t="s">
        <v>564</v>
      </c>
      <c r="B241" t="s">
        <v>30</v>
      </c>
      <c r="C241" t="s">
        <v>76</v>
      </c>
      <c r="D241" t="s">
        <v>634</v>
      </c>
      <c r="E241" t="s">
        <v>883</v>
      </c>
      <c r="F241" t="s">
        <v>884</v>
      </c>
      <c r="G241" t="s">
        <v>1197</v>
      </c>
      <c r="H241">
        <v>89</v>
      </c>
      <c r="J241">
        <v>6.741573033707865E-2</v>
      </c>
      <c r="L241">
        <v>6</v>
      </c>
      <c r="Q241">
        <v>79</v>
      </c>
    </row>
    <row r="242" spans="1:17" x14ac:dyDescent="0.25">
      <c r="A242" t="s">
        <v>564</v>
      </c>
      <c r="B242" t="s">
        <v>30</v>
      </c>
      <c r="C242" t="s">
        <v>76</v>
      </c>
      <c r="D242" t="s">
        <v>634</v>
      </c>
      <c r="E242" t="s">
        <v>880</v>
      </c>
      <c r="F242" t="s">
        <v>881</v>
      </c>
      <c r="G242" t="s">
        <v>1198</v>
      </c>
      <c r="H242">
        <v>148</v>
      </c>
      <c r="J242">
        <v>2.7027027027027029E-2</v>
      </c>
      <c r="L242">
        <v>4</v>
      </c>
      <c r="Q242">
        <v>80</v>
      </c>
    </row>
    <row r="243" spans="1:17" x14ac:dyDescent="0.25">
      <c r="A243" t="s">
        <v>564</v>
      </c>
      <c r="B243" t="s">
        <v>30</v>
      </c>
      <c r="C243" t="s">
        <v>76</v>
      </c>
      <c r="D243" t="s">
        <v>602</v>
      </c>
      <c r="E243" t="s">
        <v>876</v>
      </c>
      <c r="F243" t="s">
        <v>877</v>
      </c>
      <c r="G243" t="s">
        <v>1199</v>
      </c>
      <c r="Q243">
        <v>81</v>
      </c>
    </row>
    <row r="244" spans="1:17" x14ac:dyDescent="0.25">
      <c r="A244" t="s">
        <v>564</v>
      </c>
      <c r="B244" t="s">
        <v>30</v>
      </c>
      <c r="C244" t="s">
        <v>76</v>
      </c>
      <c r="D244" t="s">
        <v>602</v>
      </c>
      <c r="E244" t="s">
        <v>870</v>
      </c>
      <c r="F244" t="s">
        <v>871</v>
      </c>
      <c r="G244" t="s">
        <v>1200</v>
      </c>
      <c r="Q244">
        <v>82</v>
      </c>
    </row>
    <row r="245" spans="1:17" x14ac:dyDescent="0.25">
      <c r="A245" t="s">
        <v>564</v>
      </c>
      <c r="B245" t="s">
        <v>30</v>
      </c>
      <c r="C245" t="s">
        <v>76</v>
      </c>
      <c r="D245" t="s">
        <v>602</v>
      </c>
      <c r="E245" t="s">
        <v>867</v>
      </c>
      <c r="F245" t="s">
        <v>868</v>
      </c>
      <c r="G245" t="s">
        <v>1201</v>
      </c>
      <c r="Q245">
        <v>83</v>
      </c>
    </row>
    <row r="246" spans="1:17" x14ac:dyDescent="0.25">
      <c r="A246" t="s">
        <v>564</v>
      </c>
      <c r="B246" t="s">
        <v>30</v>
      </c>
      <c r="C246" t="s">
        <v>76</v>
      </c>
      <c r="D246" t="s">
        <v>602</v>
      </c>
      <c r="E246" t="s">
        <v>864</v>
      </c>
      <c r="F246" t="s">
        <v>865</v>
      </c>
      <c r="G246" t="s">
        <v>1202</v>
      </c>
      <c r="Q246">
        <v>84</v>
      </c>
    </row>
    <row r="247" spans="1:17" x14ac:dyDescent="0.25">
      <c r="A247" t="s">
        <v>564</v>
      </c>
      <c r="B247" t="s">
        <v>30</v>
      </c>
      <c r="C247" t="s">
        <v>76</v>
      </c>
      <c r="D247" t="s">
        <v>602</v>
      </c>
      <c r="E247" t="s">
        <v>854</v>
      </c>
      <c r="F247" t="s">
        <v>855</v>
      </c>
      <c r="G247" t="s">
        <v>1203</v>
      </c>
      <c r="H247">
        <v>1</v>
      </c>
      <c r="Q247">
        <v>85</v>
      </c>
    </row>
    <row r="248" spans="1:17" x14ac:dyDescent="0.25">
      <c r="A248" t="s">
        <v>564</v>
      </c>
      <c r="B248" t="s">
        <v>30</v>
      </c>
      <c r="C248" t="s">
        <v>76</v>
      </c>
      <c r="D248" t="s">
        <v>602</v>
      </c>
      <c r="E248" t="s">
        <v>1099</v>
      </c>
      <c r="F248" t="s">
        <v>1100</v>
      </c>
      <c r="G248" t="s">
        <v>1204</v>
      </c>
      <c r="Q248">
        <v>86</v>
      </c>
    </row>
    <row r="249" spans="1:17" x14ac:dyDescent="0.25">
      <c r="A249" t="s">
        <v>564</v>
      </c>
      <c r="B249" t="s">
        <v>30</v>
      </c>
      <c r="C249" t="s">
        <v>76</v>
      </c>
      <c r="D249" t="s">
        <v>602</v>
      </c>
      <c r="E249" t="s">
        <v>1090</v>
      </c>
      <c r="F249" t="s">
        <v>1091</v>
      </c>
      <c r="G249" t="s">
        <v>1205</v>
      </c>
      <c r="Q249">
        <v>87</v>
      </c>
    </row>
    <row r="250" spans="1:17" x14ac:dyDescent="0.25">
      <c r="A250" t="s">
        <v>564</v>
      </c>
      <c r="B250" t="s">
        <v>30</v>
      </c>
      <c r="C250" t="s">
        <v>76</v>
      </c>
      <c r="D250" t="s">
        <v>602</v>
      </c>
      <c r="E250" t="s">
        <v>1087</v>
      </c>
      <c r="F250" t="s">
        <v>1088</v>
      </c>
      <c r="G250" t="s">
        <v>1206</v>
      </c>
      <c r="Q250">
        <v>88</v>
      </c>
    </row>
    <row r="251" spans="1:17" x14ac:dyDescent="0.25">
      <c r="A251" t="s">
        <v>564</v>
      </c>
      <c r="B251" t="s">
        <v>30</v>
      </c>
      <c r="C251" t="s">
        <v>76</v>
      </c>
      <c r="D251" t="s">
        <v>81</v>
      </c>
      <c r="E251" t="s">
        <v>851</v>
      </c>
      <c r="F251" t="s">
        <v>852</v>
      </c>
      <c r="G251" t="s">
        <v>1207</v>
      </c>
      <c r="H251">
        <v>5</v>
      </c>
      <c r="Q251">
        <v>89</v>
      </c>
    </row>
    <row r="252" spans="1:17" x14ac:dyDescent="0.25">
      <c r="A252" t="s">
        <v>564</v>
      </c>
      <c r="B252" t="s">
        <v>30</v>
      </c>
      <c r="C252" t="s">
        <v>76</v>
      </c>
      <c r="D252" t="s">
        <v>686</v>
      </c>
      <c r="E252" t="s">
        <v>1084</v>
      </c>
      <c r="F252" t="s">
        <v>1085</v>
      </c>
      <c r="G252" t="s">
        <v>1208</v>
      </c>
      <c r="Q252">
        <v>90</v>
      </c>
    </row>
    <row r="253" spans="1:17" x14ac:dyDescent="0.25">
      <c r="A253" t="s">
        <v>564</v>
      </c>
      <c r="B253" t="s">
        <v>30</v>
      </c>
      <c r="C253" t="s">
        <v>76</v>
      </c>
      <c r="D253" t="s">
        <v>686</v>
      </c>
      <c r="E253" t="s">
        <v>1069</v>
      </c>
      <c r="F253" t="s">
        <v>1070</v>
      </c>
      <c r="G253" t="s">
        <v>1209</v>
      </c>
      <c r="Q253">
        <v>91</v>
      </c>
    </row>
    <row r="254" spans="1:17" x14ac:dyDescent="0.25">
      <c r="A254" t="s">
        <v>564</v>
      </c>
      <c r="B254" t="s">
        <v>30</v>
      </c>
      <c r="C254" t="s">
        <v>76</v>
      </c>
      <c r="D254" t="s">
        <v>686</v>
      </c>
      <c r="E254" t="s">
        <v>1063</v>
      </c>
      <c r="F254" t="s">
        <v>1064</v>
      </c>
      <c r="G254" t="s">
        <v>1210</v>
      </c>
      <c r="Q254">
        <v>92</v>
      </c>
    </row>
    <row r="255" spans="1:17" x14ac:dyDescent="0.25">
      <c r="A255" t="s">
        <v>564</v>
      </c>
      <c r="B255" t="s">
        <v>30</v>
      </c>
      <c r="C255" t="s">
        <v>76</v>
      </c>
      <c r="D255" t="s">
        <v>686</v>
      </c>
      <c r="E255" t="s">
        <v>1045</v>
      </c>
      <c r="F255" t="s">
        <v>1046</v>
      </c>
      <c r="G255" t="s">
        <v>1211</v>
      </c>
      <c r="Q255">
        <v>93</v>
      </c>
    </row>
    <row r="256" spans="1:17" x14ac:dyDescent="0.25">
      <c r="A256" t="s">
        <v>564</v>
      </c>
      <c r="B256" t="s">
        <v>30</v>
      </c>
      <c r="C256" t="s">
        <v>76</v>
      </c>
      <c r="D256" t="s">
        <v>686</v>
      </c>
      <c r="E256" t="s">
        <v>1039</v>
      </c>
      <c r="F256" t="s">
        <v>1040</v>
      </c>
      <c r="G256" t="s">
        <v>1212</v>
      </c>
      <c r="Q256">
        <v>94</v>
      </c>
    </row>
    <row r="257" spans="1:17" x14ac:dyDescent="0.25">
      <c r="A257" t="s">
        <v>564</v>
      </c>
      <c r="B257" t="s">
        <v>30</v>
      </c>
      <c r="C257" t="s">
        <v>76</v>
      </c>
      <c r="D257" t="s">
        <v>686</v>
      </c>
      <c r="E257" t="s">
        <v>1036</v>
      </c>
      <c r="F257" t="s">
        <v>1037</v>
      </c>
      <c r="G257" t="s">
        <v>1213</v>
      </c>
      <c r="Q257">
        <v>95</v>
      </c>
    </row>
    <row r="258" spans="1:17" x14ac:dyDescent="0.25">
      <c r="A258" t="s">
        <v>564</v>
      </c>
      <c r="B258" t="s">
        <v>30</v>
      </c>
      <c r="C258" t="s">
        <v>76</v>
      </c>
      <c r="D258" t="s">
        <v>686</v>
      </c>
      <c r="E258" t="s">
        <v>1024</v>
      </c>
      <c r="F258" t="s">
        <v>1025</v>
      </c>
      <c r="G258" t="s">
        <v>1214</v>
      </c>
      <c r="Q258">
        <v>96</v>
      </c>
    </row>
    <row r="259" spans="1:17" x14ac:dyDescent="0.25">
      <c r="A259" t="s">
        <v>564</v>
      </c>
      <c r="B259" t="s">
        <v>30</v>
      </c>
      <c r="C259" t="s">
        <v>76</v>
      </c>
      <c r="D259" t="s">
        <v>686</v>
      </c>
      <c r="E259" t="s">
        <v>1021</v>
      </c>
      <c r="F259" t="s">
        <v>1022</v>
      </c>
      <c r="G259" t="s">
        <v>1215</v>
      </c>
      <c r="Q259">
        <v>97</v>
      </c>
    </row>
    <row r="260" spans="1:17" x14ac:dyDescent="0.25">
      <c r="A260" t="s">
        <v>564</v>
      </c>
      <c r="B260" t="s">
        <v>30</v>
      </c>
      <c r="C260" t="s">
        <v>76</v>
      </c>
      <c r="D260" t="s">
        <v>686</v>
      </c>
      <c r="E260" t="s">
        <v>1012</v>
      </c>
      <c r="F260" t="s">
        <v>1013</v>
      </c>
      <c r="G260" t="s">
        <v>1216</v>
      </c>
      <c r="Q260">
        <v>98</v>
      </c>
    </row>
    <row r="261" spans="1:17" x14ac:dyDescent="0.25">
      <c r="A261" t="s">
        <v>564</v>
      </c>
      <c r="B261" t="s">
        <v>30</v>
      </c>
      <c r="C261" t="s">
        <v>76</v>
      </c>
      <c r="D261" t="s">
        <v>686</v>
      </c>
      <c r="E261" t="s">
        <v>1009</v>
      </c>
      <c r="F261" t="s">
        <v>1010</v>
      </c>
      <c r="G261" t="s">
        <v>1217</v>
      </c>
      <c r="Q261">
        <v>99</v>
      </c>
    </row>
    <row r="262" spans="1:17" x14ac:dyDescent="0.25">
      <c r="A262" t="s">
        <v>564</v>
      </c>
      <c r="B262" t="s">
        <v>30</v>
      </c>
      <c r="C262" t="s">
        <v>76</v>
      </c>
      <c r="D262" t="s">
        <v>686</v>
      </c>
      <c r="E262" t="s">
        <v>1006</v>
      </c>
      <c r="F262" t="s">
        <v>1007</v>
      </c>
      <c r="G262" t="s">
        <v>1218</v>
      </c>
      <c r="Q262">
        <v>100</v>
      </c>
    </row>
    <row r="263" spans="1:17" x14ac:dyDescent="0.25">
      <c r="A263" t="s">
        <v>564</v>
      </c>
      <c r="B263" t="s">
        <v>30</v>
      </c>
      <c r="C263" t="s">
        <v>76</v>
      </c>
      <c r="D263" t="s">
        <v>686</v>
      </c>
      <c r="E263" t="s">
        <v>991</v>
      </c>
      <c r="F263" t="s">
        <v>992</v>
      </c>
      <c r="G263" t="s">
        <v>1219</v>
      </c>
      <c r="Q263">
        <v>101</v>
      </c>
    </row>
    <row r="264" spans="1:17" x14ac:dyDescent="0.25">
      <c r="A264" t="s">
        <v>564</v>
      </c>
      <c r="B264" t="s">
        <v>30</v>
      </c>
      <c r="C264" t="s">
        <v>76</v>
      </c>
      <c r="D264" t="s">
        <v>686</v>
      </c>
      <c r="E264" t="s">
        <v>958</v>
      </c>
      <c r="F264" t="s">
        <v>959</v>
      </c>
      <c r="G264" t="s">
        <v>1220</v>
      </c>
      <c r="Q264">
        <v>102</v>
      </c>
    </row>
    <row r="265" spans="1:17" x14ac:dyDescent="0.25">
      <c r="A265" t="s">
        <v>564</v>
      </c>
      <c r="B265" t="s">
        <v>30</v>
      </c>
      <c r="C265" t="s">
        <v>76</v>
      </c>
      <c r="D265" t="s">
        <v>686</v>
      </c>
      <c r="E265" t="s">
        <v>952</v>
      </c>
      <c r="F265" t="s">
        <v>953</v>
      </c>
      <c r="G265" t="s">
        <v>1221</v>
      </c>
      <c r="Q265">
        <v>103</v>
      </c>
    </row>
    <row r="266" spans="1:17" x14ac:dyDescent="0.25">
      <c r="A266" t="s">
        <v>564</v>
      </c>
      <c r="B266" t="s">
        <v>30</v>
      </c>
      <c r="C266" t="s">
        <v>76</v>
      </c>
      <c r="D266" t="s">
        <v>686</v>
      </c>
      <c r="E266" t="s">
        <v>940</v>
      </c>
      <c r="F266" t="s">
        <v>941</v>
      </c>
      <c r="G266" t="s">
        <v>1222</v>
      </c>
      <c r="Q266">
        <v>104</v>
      </c>
    </row>
    <row r="267" spans="1:17" x14ac:dyDescent="0.25">
      <c r="A267" t="s">
        <v>564</v>
      </c>
      <c r="B267" t="s">
        <v>30</v>
      </c>
      <c r="C267" t="s">
        <v>76</v>
      </c>
      <c r="D267" t="s">
        <v>686</v>
      </c>
      <c r="E267" t="s">
        <v>937</v>
      </c>
      <c r="F267" t="s">
        <v>938</v>
      </c>
      <c r="G267" t="s">
        <v>1223</v>
      </c>
      <c r="Q267">
        <v>105</v>
      </c>
    </row>
    <row r="268" spans="1:17" x14ac:dyDescent="0.25">
      <c r="A268" t="s">
        <v>564</v>
      </c>
      <c r="B268" t="s">
        <v>30</v>
      </c>
      <c r="C268" t="s">
        <v>76</v>
      </c>
      <c r="D268" t="s">
        <v>686</v>
      </c>
      <c r="E268" t="s">
        <v>934</v>
      </c>
      <c r="F268" t="s">
        <v>935</v>
      </c>
      <c r="G268" t="s">
        <v>1224</v>
      </c>
      <c r="Q268">
        <v>106</v>
      </c>
    </row>
    <row r="269" spans="1:17" x14ac:dyDescent="0.25">
      <c r="A269" t="s">
        <v>564</v>
      </c>
      <c r="B269" t="s">
        <v>30</v>
      </c>
      <c r="C269" t="s">
        <v>76</v>
      </c>
      <c r="D269" t="s">
        <v>686</v>
      </c>
      <c r="E269" t="s">
        <v>924</v>
      </c>
      <c r="F269" t="s">
        <v>925</v>
      </c>
      <c r="G269" t="s">
        <v>1225</v>
      </c>
      <c r="Q269">
        <v>107</v>
      </c>
    </row>
    <row r="270" spans="1:17" x14ac:dyDescent="0.25">
      <c r="A270" t="s">
        <v>564</v>
      </c>
      <c r="B270" t="s">
        <v>30</v>
      </c>
      <c r="C270" t="s">
        <v>76</v>
      </c>
      <c r="D270" t="s">
        <v>686</v>
      </c>
      <c r="E270" t="s">
        <v>921</v>
      </c>
      <c r="F270" t="s">
        <v>922</v>
      </c>
      <c r="G270" t="s">
        <v>1226</v>
      </c>
      <c r="Q270">
        <v>108</v>
      </c>
    </row>
    <row r="271" spans="1:17" x14ac:dyDescent="0.25">
      <c r="A271" t="s">
        <v>564</v>
      </c>
      <c r="B271" t="s">
        <v>30</v>
      </c>
      <c r="C271" t="s">
        <v>76</v>
      </c>
      <c r="D271" t="s">
        <v>686</v>
      </c>
      <c r="E271" t="s">
        <v>915</v>
      </c>
      <c r="F271" t="s">
        <v>916</v>
      </c>
      <c r="G271" t="s">
        <v>1227</v>
      </c>
      <c r="Q271">
        <v>109</v>
      </c>
    </row>
    <row r="272" spans="1:17" x14ac:dyDescent="0.25">
      <c r="A272" t="s">
        <v>564</v>
      </c>
      <c r="B272" t="s">
        <v>30</v>
      </c>
      <c r="C272" t="s">
        <v>76</v>
      </c>
      <c r="D272" t="s">
        <v>686</v>
      </c>
      <c r="E272" t="s">
        <v>909</v>
      </c>
      <c r="F272" t="s">
        <v>910</v>
      </c>
      <c r="G272" t="s">
        <v>1228</v>
      </c>
      <c r="Q272">
        <v>110</v>
      </c>
    </row>
    <row r="273" spans="1:17" x14ac:dyDescent="0.25">
      <c r="A273" t="s">
        <v>564</v>
      </c>
      <c r="B273" t="s">
        <v>30</v>
      </c>
      <c r="C273" t="s">
        <v>76</v>
      </c>
      <c r="D273" t="s">
        <v>686</v>
      </c>
      <c r="E273" t="s">
        <v>894</v>
      </c>
      <c r="F273" t="s">
        <v>895</v>
      </c>
      <c r="G273" t="s">
        <v>1229</v>
      </c>
      <c r="H273">
        <v>1</v>
      </c>
      <c r="Q273">
        <v>111</v>
      </c>
    </row>
    <row r="274" spans="1:17" x14ac:dyDescent="0.25">
      <c r="A274" t="s">
        <v>564</v>
      </c>
      <c r="B274" t="s">
        <v>30</v>
      </c>
      <c r="C274" t="s">
        <v>76</v>
      </c>
      <c r="D274" t="s">
        <v>897</v>
      </c>
      <c r="E274" t="s">
        <v>78</v>
      </c>
      <c r="F274" t="s">
        <v>898</v>
      </c>
      <c r="G274" t="s">
        <v>1230</v>
      </c>
      <c r="Q274">
        <v>112</v>
      </c>
    </row>
    <row r="275" spans="1:17" x14ac:dyDescent="0.25">
      <c r="A275" t="s">
        <v>564</v>
      </c>
      <c r="B275" t="s">
        <v>30</v>
      </c>
      <c r="C275" t="s">
        <v>76</v>
      </c>
      <c r="D275" t="s">
        <v>900</v>
      </c>
      <c r="E275" t="s">
        <v>78</v>
      </c>
      <c r="F275" t="s">
        <v>901</v>
      </c>
      <c r="G275" t="s">
        <v>1231</v>
      </c>
      <c r="Q275">
        <v>113</v>
      </c>
    </row>
    <row r="276" spans="1:17" x14ac:dyDescent="0.25">
      <c r="A276" t="s">
        <v>564</v>
      </c>
      <c r="B276" t="s">
        <v>30</v>
      </c>
      <c r="C276" t="s">
        <v>76</v>
      </c>
      <c r="D276" t="s">
        <v>903</v>
      </c>
      <c r="E276" t="s">
        <v>78</v>
      </c>
      <c r="F276" t="s">
        <v>904</v>
      </c>
      <c r="G276" t="s">
        <v>1232</v>
      </c>
      <c r="H276">
        <v>1</v>
      </c>
      <c r="Q276">
        <v>114</v>
      </c>
    </row>
    <row r="277" spans="1:17" x14ac:dyDescent="0.25">
      <c r="A277" t="s">
        <v>564</v>
      </c>
      <c r="B277" t="s">
        <v>30</v>
      </c>
      <c r="C277" t="s">
        <v>76</v>
      </c>
      <c r="D277" t="s">
        <v>906</v>
      </c>
      <c r="E277" t="s">
        <v>78</v>
      </c>
      <c r="F277" t="s">
        <v>907</v>
      </c>
      <c r="G277" t="s">
        <v>1233</v>
      </c>
      <c r="Q277">
        <v>115</v>
      </c>
    </row>
    <row r="278" spans="1:17" x14ac:dyDescent="0.25">
      <c r="A278" t="s">
        <v>564</v>
      </c>
      <c r="B278" t="s">
        <v>30</v>
      </c>
      <c r="C278" t="s">
        <v>76</v>
      </c>
      <c r="D278" t="s">
        <v>912</v>
      </c>
      <c r="E278" t="s">
        <v>78</v>
      </c>
      <c r="F278" t="s">
        <v>913</v>
      </c>
      <c r="G278" t="s">
        <v>1234</v>
      </c>
      <c r="Q278">
        <v>116</v>
      </c>
    </row>
    <row r="279" spans="1:17" x14ac:dyDescent="0.25">
      <c r="A279" t="s">
        <v>564</v>
      </c>
      <c r="B279" t="s">
        <v>30</v>
      </c>
      <c r="C279" t="s">
        <v>76</v>
      </c>
      <c r="D279" t="s">
        <v>918</v>
      </c>
      <c r="E279" t="s">
        <v>78</v>
      </c>
      <c r="F279" t="s">
        <v>919</v>
      </c>
      <c r="G279" t="s">
        <v>1235</v>
      </c>
      <c r="Q279">
        <v>117</v>
      </c>
    </row>
    <row r="280" spans="1:17" x14ac:dyDescent="0.25">
      <c r="A280" t="s">
        <v>564</v>
      </c>
      <c r="B280" t="s">
        <v>30</v>
      </c>
      <c r="C280" t="s">
        <v>76</v>
      </c>
      <c r="D280" t="s">
        <v>927</v>
      </c>
      <c r="E280" t="s">
        <v>78</v>
      </c>
      <c r="F280" t="s">
        <v>928</v>
      </c>
      <c r="G280" t="s">
        <v>1236</v>
      </c>
      <c r="Q280">
        <v>118</v>
      </c>
    </row>
    <row r="281" spans="1:17" x14ac:dyDescent="0.25">
      <c r="A281" t="s">
        <v>564</v>
      </c>
      <c r="B281" t="s">
        <v>30</v>
      </c>
      <c r="C281" t="s">
        <v>76</v>
      </c>
      <c r="D281" t="s">
        <v>690</v>
      </c>
      <c r="E281" t="s">
        <v>78</v>
      </c>
      <c r="F281" t="s">
        <v>691</v>
      </c>
      <c r="G281" t="s">
        <v>1237</v>
      </c>
      <c r="H281">
        <v>2</v>
      </c>
      <c r="Q281">
        <v>119</v>
      </c>
    </row>
    <row r="282" spans="1:17" x14ac:dyDescent="0.25">
      <c r="A282" t="s">
        <v>564</v>
      </c>
      <c r="B282" t="s">
        <v>30</v>
      </c>
      <c r="C282" t="s">
        <v>76</v>
      </c>
      <c r="D282" t="s">
        <v>943</v>
      </c>
      <c r="E282" t="s">
        <v>78</v>
      </c>
      <c r="F282" t="s">
        <v>944</v>
      </c>
      <c r="G282" t="s">
        <v>1238</v>
      </c>
      <c r="Q282">
        <v>120</v>
      </c>
    </row>
    <row r="283" spans="1:17" x14ac:dyDescent="0.25">
      <c r="A283" t="s">
        <v>564</v>
      </c>
      <c r="B283" t="s">
        <v>30</v>
      </c>
      <c r="C283" t="s">
        <v>76</v>
      </c>
      <c r="D283" t="s">
        <v>946</v>
      </c>
      <c r="E283" t="s">
        <v>78</v>
      </c>
      <c r="F283" t="s">
        <v>947</v>
      </c>
      <c r="G283" t="s">
        <v>1239</v>
      </c>
      <c r="Q283">
        <v>121</v>
      </c>
    </row>
    <row r="284" spans="1:17" x14ac:dyDescent="0.25">
      <c r="A284" t="s">
        <v>564</v>
      </c>
      <c r="B284" t="s">
        <v>30</v>
      </c>
      <c r="C284" t="s">
        <v>76</v>
      </c>
      <c r="D284" t="s">
        <v>949</v>
      </c>
      <c r="E284" t="s">
        <v>78</v>
      </c>
      <c r="F284" t="s">
        <v>950</v>
      </c>
      <c r="G284" t="s">
        <v>1240</v>
      </c>
      <c r="Q284">
        <v>122</v>
      </c>
    </row>
    <row r="285" spans="1:17" x14ac:dyDescent="0.25">
      <c r="A285" t="s">
        <v>564</v>
      </c>
      <c r="B285" t="s">
        <v>30</v>
      </c>
      <c r="C285" t="s">
        <v>76</v>
      </c>
      <c r="D285" t="s">
        <v>955</v>
      </c>
      <c r="E285" t="s">
        <v>78</v>
      </c>
      <c r="F285" t="s">
        <v>956</v>
      </c>
      <c r="G285" t="s">
        <v>1241</v>
      </c>
      <c r="Q285">
        <v>123</v>
      </c>
    </row>
    <row r="286" spans="1:17" x14ac:dyDescent="0.25">
      <c r="A286" t="s">
        <v>564</v>
      </c>
      <c r="B286" t="s">
        <v>30</v>
      </c>
      <c r="C286" t="s">
        <v>76</v>
      </c>
      <c r="D286" t="s">
        <v>961</v>
      </c>
      <c r="E286" t="s">
        <v>78</v>
      </c>
      <c r="F286" t="s">
        <v>962</v>
      </c>
      <c r="G286" t="s">
        <v>1242</v>
      </c>
      <c r="Q286">
        <v>124</v>
      </c>
    </row>
    <row r="287" spans="1:17" x14ac:dyDescent="0.25">
      <c r="A287" t="s">
        <v>564</v>
      </c>
      <c r="B287" t="s">
        <v>30</v>
      </c>
      <c r="C287" t="s">
        <v>76</v>
      </c>
      <c r="D287" t="s">
        <v>964</v>
      </c>
      <c r="E287" t="s">
        <v>78</v>
      </c>
      <c r="F287" t="s">
        <v>965</v>
      </c>
      <c r="G287" t="s">
        <v>1243</v>
      </c>
      <c r="Q287">
        <v>125</v>
      </c>
    </row>
    <row r="288" spans="1:17" x14ac:dyDescent="0.25">
      <c r="A288" t="s">
        <v>564</v>
      </c>
      <c r="B288" t="s">
        <v>30</v>
      </c>
      <c r="C288" t="s">
        <v>76</v>
      </c>
      <c r="D288" t="s">
        <v>970</v>
      </c>
      <c r="E288" t="s">
        <v>78</v>
      </c>
      <c r="F288" t="s">
        <v>971</v>
      </c>
      <c r="G288" t="s">
        <v>1244</v>
      </c>
      <c r="Q288">
        <v>126</v>
      </c>
    </row>
    <row r="289" spans="1:17" x14ac:dyDescent="0.25">
      <c r="A289" t="s">
        <v>564</v>
      </c>
      <c r="B289" t="s">
        <v>30</v>
      </c>
      <c r="C289" t="s">
        <v>76</v>
      </c>
      <c r="D289" t="s">
        <v>973</v>
      </c>
      <c r="E289" t="s">
        <v>78</v>
      </c>
      <c r="F289" t="s">
        <v>974</v>
      </c>
      <c r="G289" t="s">
        <v>1245</v>
      </c>
      <c r="Q289">
        <v>127</v>
      </c>
    </row>
    <row r="290" spans="1:17" x14ac:dyDescent="0.25">
      <c r="A290" t="s">
        <v>564</v>
      </c>
      <c r="B290" t="s">
        <v>30</v>
      </c>
      <c r="C290" t="s">
        <v>76</v>
      </c>
      <c r="D290" t="s">
        <v>976</v>
      </c>
      <c r="E290" t="s">
        <v>78</v>
      </c>
      <c r="F290" t="s">
        <v>977</v>
      </c>
      <c r="G290" t="s">
        <v>1246</v>
      </c>
      <c r="Q290">
        <v>128</v>
      </c>
    </row>
    <row r="291" spans="1:17" x14ac:dyDescent="0.25">
      <c r="A291" t="s">
        <v>564</v>
      </c>
      <c r="B291" t="s">
        <v>30</v>
      </c>
      <c r="C291" t="s">
        <v>76</v>
      </c>
      <c r="D291" t="s">
        <v>979</v>
      </c>
      <c r="E291" t="s">
        <v>78</v>
      </c>
      <c r="F291" t="s">
        <v>980</v>
      </c>
      <c r="G291" t="s">
        <v>1247</v>
      </c>
      <c r="H291">
        <v>1</v>
      </c>
      <c r="Q291">
        <v>129</v>
      </c>
    </row>
    <row r="292" spans="1:17" x14ac:dyDescent="0.25">
      <c r="A292" t="s">
        <v>564</v>
      </c>
      <c r="B292" t="s">
        <v>30</v>
      </c>
      <c r="C292" t="s">
        <v>76</v>
      </c>
      <c r="D292" t="s">
        <v>982</v>
      </c>
      <c r="E292" t="s">
        <v>78</v>
      </c>
      <c r="F292" t="s">
        <v>983</v>
      </c>
      <c r="G292" t="s">
        <v>1248</v>
      </c>
      <c r="Q292">
        <v>130</v>
      </c>
    </row>
    <row r="293" spans="1:17" x14ac:dyDescent="0.25">
      <c r="A293" t="s">
        <v>564</v>
      </c>
      <c r="B293" t="s">
        <v>30</v>
      </c>
      <c r="C293" t="s">
        <v>76</v>
      </c>
      <c r="D293" t="s">
        <v>985</v>
      </c>
      <c r="E293" t="s">
        <v>78</v>
      </c>
      <c r="F293" t="s">
        <v>986</v>
      </c>
      <c r="G293" t="s">
        <v>1249</v>
      </c>
      <c r="Q293">
        <v>131</v>
      </c>
    </row>
    <row r="294" spans="1:17" x14ac:dyDescent="0.25">
      <c r="A294" t="s">
        <v>564</v>
      </c>
      <c r="B294" t="s">
        <v>30</v>
      </c>
      <c r="C294" t="s">
        <v>76</v>
      </c>
      <c r="D294" t="s">
        <v>988</v>
      </c>
      <c r="E294" t="s">
        <v>78</v>
      </c>
      <c r="F294" t="s">
        <v>989</v>
      </c>
      <c r="G294" t="s">
        <v>1250</v>
      </c>
      <c r="Q294">
        <v>132</v>
      </c>
    </row>
    <row r="295" spans="1:17" x14ac:dyDescent="0.25">
      <c r="A295" t="s">
        <v>564</v>
      </c>
      <c r="B295" t="s">
        <v>30</v>
      </c>
      <c r="C295" t="s">
        <v>76</v>
      </c>
      <c r="D295" t="s">
        <v>994</v>
      </c>
      <c r="E295" t="s">
        <v>78</v>
      </c>
      <c r="F295" t="s">
        <v>995</v>
      </c>
      <c r="G295" t="s">
        <v>1251</v>
      </c>
      <c r="Q295">
        <v>133</v>
      </c>
    </row>
    <row r="296" spans="1:17" x14ac:dyDescent="0.25">
      <c r="A296" t="s">
        <v>564</v>
      </c>
      <c r="B296" t="s">
        <v>30</v>
      </c>
      <c r="C296" t="s">
        <v>76</v>
      </c>
      <c r="D296" t="s">
        <v>997</v>
      </c>
      <c r="E296" t="s">
        <v>78</v>
      </c>
      <c r="F296" t="s">
        <v>998</v>
      </c>
      <c r="G296" t="s">
        <v>1252</v>
      </c>
      <c r="Q296">
        <v>134</v>
      </c>
    </row>
    <row r="297" spans="1:17" x14ac:dyDescent="0.25">
      <c r="A297" t="s">
        <v>564</v>
      </c>
      <c r="B297" t="s">
        <v>30</v>
      </c>
      <c r="C297" t="s">
        <v>76</v>
      </c>
      <c r="D297" t="s">
        <v>1000</v>
      </c>
      <c r="E297" t="s">
        <v>78</v>
      </c>
      <c r="F297" t="s">
        <v>1001</v>
      </c>
      <c r="G297" t="s">
        <v>1253</v>
      </c>
      <c r="Q297">
        <v>135</v>
      </c>
    </row>
    <row r="298" spans="1:17" x14ac:dyDescent="0.25">
      <c r="A298" t="s">
        <v>564</v>
      </c>
      <c r="B298" t="s">
        <v>30</v>
      </c>
      <c r="C298" t="s">
        <v>76</v>
      </c>
      <c r="D298" t="s">
        <v>1093</v>
      </c>
      <c r="E298" t="s">
        <v>78</v>
      </c>
      <c r="F298" t="s">
        <v>1094</v>
      </c>
      <c r="G298" t="s">
        <v>1254</v>
      </c>
      <c r="Q298">
        <v>136</v>
      </c>
    </row>
    <row r="299" spans="1:17" x14ac:dyDescent="0.25">
      <c r="A299" t="s">
        <v>564</v>
      </c>
      <c r="B299" t="s">
        <v>30</v>
      </c>
      <c r="C299" t="s">
        <v>76</v>
      </c>
      <c r="D299" t="s">
        <v>1096</v>
      </c>
      <c r="E299" t="s">
        <v>78</v>
      </c>
      <c r="F299" t="s">
        <v>1097</v>
      </c>
      <c r="G299" t="s">
        <v>1255</v>
      </c>
      <c r="Q299">
        <v>137</v>
      </c>
    </row>
    <row r="300" spans="1:17" x14ac:dyDescent="0.25">
      <c r="A300" t="s">
        <v>564</v>
      </c>
      <c r="B300" t="s">
        <v>30</v>
      </c>
      <c r="C300" t="s">
        <v>76</v>
      </c>
      <c r="D300" t="s">
        <v>688</v>
      </c>
      <c r="E300" t="s">
        <v>78</v>
      </c>
      <c r="F300" t="s">
        <v>689</v>
      </c>
      <c r="G300" t="s">
        <v>1256</v>
      </c>
      <c r="Q300">
        <v>138</v>
      </c>
    </row>
    <row r="301" spans="1:17" x14ac:dyDescent="0.25">
      <c r="A301" t="s">
        <v>564</v>
      </c>
      <c r="B301" t="s">
        <v>30</v>
      </c>
      <c r="C301" t="s">
        <v>76</v>
      </c>
      <c r="D301" t="s">
        <v>858</v>
      </c>
      <c r="E301" t="s">
        <v>78</v>
      </c>
      <c r="F301" t="s">
        <v>859</v>
      </c>
      <c r="G301" t="s">
        <v>1257</v>
      </c>
      <c r="Q301">
        <v>139</v>
      </c>
    </row>
    <row r="302" spans="1:17" x14ac:dyDescent="0.25">
      <c r="A302" t="s">
        <v>564</v>
      </c>
      <c r="B302" t="s">
        <v>30</v>
      </c>
      <c r="C302" t="s">
        <v>76</v>
      </c>
      <c r="D302" t="s">
        <v>861</v>
      </c>
      <c r="E302" t="s">
        <v>78</v>
      </c>
      <c r="F302" t="s">
        <v>862</v>
      </c>
      <c r="G302" t="s">
        <v>1258</v>
      </c>
      <c r="Q302">
        <v>140</v>
      </c>
    </row>
    <row r="303" spans="1:17" x14ac:dyDescent="0.25">
      <c r="A303" t="s">
        <v>564</v>
      </c>
      <c r="B303" t="s">
        <v>30</v>
      </c>
      <c r="C303" t="s">
        <v>76</v>
      </c>
      <c r="D303" t="s">
        <v>873</v>
      </c>
      <c r="E303" t="s">
        <v>78</v>
      </c>
      <c r="F303" t="s">
        <v>874</v>
      </c>
      <c r="G303" t="s">
        <v>1259</v>
      </c>
      <c r="Q303">
        <v>141</v>
      </c>
    </row>
    <row r="304" spans="1:17" x14ac:dyDescent="0.25">
      <c r="A304" t="s">
        <v>564</v>
      </c>
      <c r="B304" t="s">
        <v>30</v>
      </c>
      <c r="C304" t="s">
        <v>76</v>
      </c>
      <c r="D304" t="s">
        <v>694</v>
      </c>
      <c r="E304" t="s">
        <v>78</v>
      </c>
      <c r="F304" t="s">
        <v>695</v>
      </c>
      <c r="G304" t="s">
        <v>1260</v>
      </c>
      <c r="H304">
        <v>406</v>
      </c>
      <c r="J304">
        <v>0.16009852216748771</v>
      </c>
      <c r="L304">
        <v>65</v>
      </c>
      <c r="Q304">
        <v>142</v>
      </c>
    </row>
    <row r="305" spans="1:18" x14ac:dyDescent="0.25">
      <c r="A305" t="s">
        <v>564</v>
      </c>
      <c r="B305" t="s">
        <v>30</v>
      </c>
      <c r="C305" t="s">
        <v>76</v>
      </c>
      <c r="D305" t="s">
        <v>886</v>
      </c>
      <c r="E305" t="s">
        <v>78</v>
      </c>
      <c r="F305" t="s">
        <v>887</v>
      </c>
      <c r="G305" t="s">
        <v>1261</v>
      </c>
      <c r="Q305">
        <v>143</v>
      </c>
    </row>
    <row r="306" spans="1:18" x14ac:dyDescent="0.25">
      <c r="A306" t="s">
        <v>564</v>
      </c>
      <c r="B306" t="s">
        <v>30</v>
      </c>
      <c r="C306" t="s">
        <v>76</v>
      </c>
      <c r="D306" t="s">
        <v>890</v>
      </c>
      <c r="E306" t="s">
        <v>78</v>
      </c>
      <c r="F306" t="s">
        <v>891</v>
      </c>
      <c r="G306" t="s">
        <v>1262</v>
      </c>
      <c r="Q306">
        <v>144</v>
      </c>
    </row>
    <row r="307" spans="1:18" x14ac:dyDescent="0.25">
      <c r="A307" t="s">
        <v>564</v>
      </c>
      <c r="B307" t="s">
        <v>30</v>
      </c>
      <c r="C307" t="s">
        <v>76</v>
      </c>
      <c r="D307" t="s">
        <v>686</v>
      </c>
      <c r="E307" t="s">
        <v>78</v>
      </c>
      <c r="F307" t="s">
        <v>687</v>
      </c>
      <c r="G307" t="s">
        <v>1263</v>
      </c>
      <c r="H307">
        <v>1</v>
      </c>
      <c r="Q307">
        <v>145</v>
      </c>
    </row>
    <row r="308" spans="1:18" x14ac:dyDescent="0.25">
      <c r="A308" t="s">
        <v>564</v>
      </c>
      <c r="B308" t="s">
        <v>30</v>
      </c>
      <c r="C308" t="s">
        <v>59</v>
      </c>
      <c r="D308" t="s">
        <v>78</v>
      </c>
      <c r="E308" t="s">
        <v>78</v>
      </c>
      <c r="F308" t="s">
        <v>696</v>
      </c>
      <c r="G308" t="s">
        <v>1264</v>
      </c>
      <c r="H308">
        <v>354034</v>
      </c>
      <c r="I308">
        <v>165174</v>
      </c>
      <c r="J308">
        <v>2.7731799770643498E-2</v>
      </c>
      <c r="K308">
        <v>3.0343758702943559E-2</v>
      </c>
      <c r="L308">
        <v>9818</v>
      </c>
      <c r="M308">
        <v>5012</v>
      </c>
      <c r="N308">
        <v>-0.48950906498268493</v>
      </c>
      <c r="O308">
        <v>-0.53345158939536885</v>
      </c>
      <c r="P308">
        <v>2.6119589323000628E-3</v>
      </c>
      <c r="Q308">
        <v>1</v>
      </c>
    </row>
    <row r="309" spans="1:18" x14ac:dyDescent="0.25">
      <c r="A309" t="s">
        <v>564</v>
      </c>
      <c r="B309" t="s">
        <v>30</v>
      </c>
      <c r="C309" t="s">
        <v>59</v>
      </c>
      <c r="D309" t="s">
        <v>60</v>
      </c>
      <c r="E309" t="s">
        <v>78</v>
      </c>
      <c r="F309" t="s">
        <v>697</v>
      </c>
      <c r="G309" t="s">
        <v>1265</v>
      </c>
      <c r="H309">
        <v>338160</v>
      </c>
      <c r="I309">
        <v>146353</v>
      </c>
      <c r="J309">
        <v>1.990477880293352E-2</v>
      </c>
      <c r="K309">
        <v>2.357314165066654E-2</v>
      </c>
      <c r="L309">
        <v>6731</v>
      </c>
      <c r="M309">
        <v>3450</v>
      </c>
      <c r="N309">
        <v>-0.48744614470361008</v>
      </c>
      <c r="O309">
        <v>-0.56720783061272773</v>
      </c>
      <c r="P309">
        <v>3.6683628477330171E-3</v>
      </c>
      <c r="Q309">
        <v>2</v>
      </c>
    </row>
    <row r="310" spans="1:18" x14ac:dyDescent="0.25">
      <c r="A310" t="s">
        <v>564</v>
      </c>
      <c r="B310" t="s">
        <v>30</v>
      </c>
      <c r="C310" t="s">
        <v>59</v>
      </c>
      <c r="D310" t="s">
        <v>60</v>
      </c>
      <c r="E310" t="s">
        <v>61</v>
      </c>
      <c r="F310" t="s">
        <v>698</v>
      </c>
      <c r="G310" t="s">
        <v>1266</v>
      </c>
      <c r="H310">
        <v>156033</v>
      </c>
      <c r="I310">
        <v>66808</v>
      </c>
      <c r="J310">
        <v>2.6411079707497769E-2</v>
      </c>
      <c r="K310">
        <v>3.1912345826847092E-2</v>
      </c>
      <c r="L310">
        <v>4121</v>
      </c>
      <c r="M310">
        <v>2132</v>
      </c>
      <c r="N310">
        <v>-0.48264984227129343</v>
      </c>
      <c r="O310">
        <v>-0.57183416328597159</v>
      </c>
      <c r="P310">
        <v>5.5012661193493129E-3</v>
      </c>
      <c r="Q310">
        <v>3</v>
      </c>
      <c r="R310">
        <v>1</v>
      </c>
    </row>
    <row r="311" spans="1:18" x14ac:dyDescent="0.25">
      <c r="A311" t="s">
        <v>564</v>
      </c>
      <c r="B311" t="s">
        <v>30</v>
      </c>
      <c r="C311" t="s">
        <v>59</v>
      </c>
      <c r="D311" t="s">
        <v>60</v>
      </c>
      <c r="E311" t="s">
        <v>62</v>
      </c>
      <c r="F311" t="s">
        <v>699</v>
      </c>
      <c r="G311" t="s">
        <v>1267</v>
      </c>
      <c r="H311">
        <v>162867</v>
      </c>
      <c r="I311">
        <v>53476</v>
      </c>
      <c r="J311">
        <v>4.316405410549712E-3</v>
      </c>
      <c r="K311">
        <v>1.0658987209215349E-3</v>
      </c>
      <c r="L311">
        <v>703</v>
      </c>
      <c r="M311">
        <v>57</v>
      </c>
      <c r="N311">
        <v>-0.91891891891891886</v>
      </c>
      <c r="O311">
        <v>-0.67165846979437205</v>
      </c>
      <c r="P311">
        <v>-3.2505066896281768E-3</v>
      </c>
      <c r="Q311">
        <v>4</v>
      </c>
      <c r="R311">
        <v>2</v>
      </c>
    </row>
    <row r="312" spans="1:18" x14ac:dyDescent="0.25">
      <c r="A312" t="s">
        <v>564</v>
      </c>
      <c r="B312" t="s">
        <v>30</v>
      </c>
      <c r="C312" t="s">
        <v>59</v>
      </c>
      <c r="D312" t="s">
        <v>60</v>
      </c>
      <c r="E312" t="s">
        <v>63</v>
      </c>
      <c r="F312" t="s">
        <v>702</v>
      </c>
      <c r="G312" t="s">
        <v>1268</v>
      </c>
      <c r="H312">
        <v>44189</v>
      </c>
      <c r="I312">
        <v>37046</v>
      </c>
      <c r="J312">
        <v>4.6934757518839527E-2</v>
      </c>
      <c r="K312">
        <v>3.5820331479781892E-2</v>
      </c>
      <c r="L312">
        <v>2074</v>
      </c>
      <c r="M312">
        <v>1327</v>
      </c>
      <c r="N312">
        <v>-0.36017357762777252</v>
      </c>
      <c r="O312">
        <v>-0.16164656362443139</v>
      </c>
      <c r="P312">
        <v>-1.1114426039057639E-2</v>
      </c>
      <c r="Q312">
        <v>5</v>
      </c>
      <c r="R312">
        <v>3</v>
      </c>
    </row>
    <row r="313" spans="1:18" x14ac:dyDescent="0.25">
      <c r="A313" t="s">
        <v>564</v>
      </c>
      <c r="B313" t="s">
        <v>30</v>
      </c>
      <c r="C313" t="s">
        <v>59</v>
      </c>
      <c r="D313" t="s">
        <v>68</v>
      </c>
      <c r="E313" t="s">
        <v>78</v>
      </c>
      <c r="F313" t="s">
        <v>700</v>
      </c>
      <c r="G313" t="s">
        <v>1269</v>
      </c>
      <c r="H313">
        <v>317</v>
      </c>
      <c r="I313">
        <v>10891</v>
      </c>
      <c r="O313">
        <v>33.356466876971609</v>
      </c>
      <c r="Q313">
        <v>6</v>
      </c>
    </row>
    <row r="314" spans="1:18" x14ac:dyDescent="0.25">
      <c r="A314" t="s">
        <v>564</v>
      </c>
      <c r="B314" t="s">
        <v>30</v>
      </c>
      <c r="C314" t="s">
        <v>59</v>
      </c>
      <c r="D314" t="s">
        <v>68</v>
      </c>
      <c r="E314" t="s">
        <v>69</v>
      </c>
      <c r="F314" t="s">
        <v>701</v>
      </c>
      <c r="G314" t="s">
        <v>1270</v>
      </c>
      <c r="I314">
        <v>10523</v>
      </c>
      <c r="Q314">
        <v>7</v>
      </c>
      <c r="R314">
        <v>10</v>
      </c>
    </row>
    <row r="315" spans="1:18" x14ac:dyDescent="0.25">
      <c r="A315" t="s">
        <v>564</v>
      </c>
      <c r="B315" t="s">
        <v>30</v>
      </c>
      <c r="C315" t="s">
        <v>59</v>
      </c>
      <c r="D315" t="s">
        <v>64</v>
      </c>
      <c r="E315" t="s">
        <v>78</v>
      </c>
      <c r="F315" t="s">
        <v>703</v>
      </c>
      <c r="G315" t="s">
        <v>1271</v>
      </c>
      <c r="H315">
        <v>12664</v>
      </c>
      <c r="I315">
        <v>9381</v>
      </c>
      <c r="J315">
        <v>0.1689829437776374</v>
      </c>
      <c r="K315">
        <v>0.1345272359023558</v>
      </c>
      <c r="L315">
        <v>2140</v>
      </c>
      <c r="M315">
        <v>1262</v>
      </c>
      <c r="N315">
        <v>-0.41028037383177568</v>
      </c>
      <c r="O315">
        <v>-0.25923878711307652</v>
      </c>
      <c r="P315">
        <v>-3.4455707875281578E-2</v>
      </c>
      <c r="Q315">
        <v>8</v>
      </c>
    </row>
    <row r="316" spans="1:18" x14ac:dyDescent="0.25">
      <c r="A316" t="s">
        <v>564</v>
      </c>
      <c r="B316" t="s">
        <v>30</v>
      </c>
      <c r="C316" t="s">
        <v>59</v>
      </c>
      <c r="D316" t="s">
        <v>64</v>
      </c>
      <c r="E316" t="s">
        <v>65</v>
      </c>
      <c r="F316" t="s">
        <v>704</v>
      </c>
      <c r="G316" t="s">
        <v>1272</v>
      </c>
      <c r="H316">
        <v>12494</v>
      </c>
      <c r="I316">
        <v>9283</v>
      </c>
      <c r="J316">
        <v>0.169921562349928</v>
      </c>
      <c r="K316">
        <v>0.1348701928255952</v>
      </c>
      <c r="L316">
        <v>2123</v>
      </c>
      <c r="M316">
        <v>1252</v>
      </c>
      <c r="N316">
        <v>-0.41026848798869531</v>
      </c>
      <c r="O316">
        <v>-0.25700336161357451</v>
      </c>
      <c r="P316">
        <v>-3.5051369524332791E-2</v>
      </c>
      <c r="Q316">
        <v>9</v>
      </c>
      <c r="R316">
        <v>4</v>
      </c>
    </row>
    <row r="317" spans="1:18" x14ac:dyDescent="0.25">
      <c r="A317" t="s">
        <v>564</v>
      </c>
      <c r="B317" t="s">
        <v>30</v>
      </c>
      <c r="C317" t="s">
        <v>59</v>
      </c>
      <c r="D317" t="s">
        <v>72</v>
      </c>
      <c r="E317" t="s">
        <v>78</v>
      </c>
      <c r="F317" t="s">
        <v>705</v>
      </c>
      <c r="G317" t="s">
        <v>1273</v>
      </c>
      <c r="H317">
        <v>14593</v>
      </c>
      <c r="I317">
        <v>7706</v>
      </c>
      <c r="J317">
        <v>9.7443979990406354E-2</v>
      </c>
      <c r="K317">
        <v>6.2029587334544507E-2</v>
      </c>
      <c r="L317">
        <v>1422</v>
      </c>
      <c r="M317">
        <v>478</v>
      </c>
      <c r="N317">
        <v>-0.66385372714486635</v>
      </c>
      <c r="O317">
        <v>-0.47193860069896532</v>
      </c>
      <c r="P317">
        <v>-3.5414392655861833E-2</v>
      </c>
      <c r="Q317">
        <v>10</v>
      </c>
    </row>
    <row r="318" spans="1:18" x14ac:dyDescent="0.25">
      <c r="A318" t="s">
        <v>564</v>
      </c>
      <c r="B318" t="s">
        <v>30</v>
      </c>
      <c r="C318" t="s">
        <v>59</v>
      </c>
      <c r="D318" t="s">
        <v>72</v>
      </c>
      <c r="E318" t="s">
        <v>73</v>
      </c>
      <c r="F318" t="s">
        <v>706</v>
      </c>
      <c r="G318" t="s">
        <v>1274</v>
      </c>
      <c r="H318">
        <v>10204</v>
      </c>
      <c r="I318">
        <v>6185</v>
      </c>
      <c r="J318">
        <v>0.13935711485691879</v>
      </c>
      <c r="K318">
        <v>7.72837510105093E-2</v>
      </c>
      <c r="L318">
        <v>1422</v>
      </c>
      <c r="M318">
        <v>478</v>
      </c>
      <c r="N318">
        <v>-0.66385372714486635</v>
      </c>
      <c r="O318">
        <v>-0.39386515092120739</v>
      </c>
      <c r="P318">
        <v>-6.2073363846409553E-2</v>
      </c>
      <c r="Q318">
        <v>11</v>
      </c>
      <c r="R318">
        <v>6</v>
      </c>
    </row>
    <row r="319" spans="1:18" x14ac:dyDescent="0.25">
      <c r="A319" t="s">
        <v>564</v>
      </c>
      <c r="B319" t="s">
        <v>30</v>
      </c>
      <c r="C319" t="s">
        <v>59</v>
      </c>
      <c r="D319" t="s">
        <v>72</v>
      </c>
      <c r="E319" t="s">
        <v>74</v>
      </c>
      <c r="F319" t="s">
        <v>708</v>
      </c>
      <c r="G319" t="s">
        <v>1275</v>
      </c>
      <c r="H319">
        <v>4349</v>
      </c>
      <c r="I319">
        <v>1494</v>
      </c>
      <c r="O319">
        <v>-0.65647275235686364</v>
      </c>
      <c r="Q319">
        <v>12</v>
      </c>
    </row>
    <row r="320" spans="1:18" x14ac:dyDescent="0.25">
      <c r="A320" t="s">
        <v>564</v>
      </c>
      <c r="B320" t="s">
        <v>30</v>
      </c>
      <c r="C320" t="s">
        <v>59</v>
      </c>
      <c r="D320" t="s">
        <v>68</v>
      </c>
      <c r="E320" t="s">
        <v>70</v>
      </c>
      <c r="F320" t="s">
        <v>707</v>
      </c>
      <c r="G320" t="s">
        <v>1276</v>
      </c>
      <c r="H320">
        <v>317</v>
      </c>
      <c r="I320">
        <v>389</v>
      </c>
      <c r="O320">
        <v>0.22712933753943221</v>
      </c>
      <c r="Q320">
        <v>13</v>
      </c>
      <c r="R320">
        <v>9</v>
      </c>
    </row>
    <row r="321" spans="1:18" x14ac:dyDescent="0.25">
      <c r="A321" t="s">
        <v>564</v>
      </c>
      <c r="B321" t="s">
        <v>30</v>
      </c>
      <c r="C321" t="s">
        <v>59</v>
      </c>
      <c r="D321" t="s">
        <v>64</v>
      </c>
      <c r="E321" t="s">
        <v>67</v>
      </c>
      <c r="F321" t="s">
        <v>709</v>
      </c>
      <c r="G321" t="s">
        <v>1277</v>
      </c>
      <c r="H321">
        <v>214</v>
      </c>
      <c r="I321">
        <v>111</v>
      </c>
      <c r="J321">
        <v>8.4112149532710276E-2</v>
      </c>
      <c r="K321">
        <v>9.0090090090090086E-2</v>
      </c>
      <c r="L321">
        <v>18</v>
      </c>
      <c r="M321">
        <v>10</v>
      </c>
      <c r="N321">
        <v>-0.44444444444444442</v>
      </c>
      <c r="O321">
        <v>-0.48130841121495332</v>
      </c>
      <c r="P321">
        <v>5.97794055737981E-3</v>
      </c>
      <c r="Q321">
        <v>14</v>
      </c>
      <c r="R321">
        <v>5</v>
      </c>
    </row>
    <row r="322" spans="1:18" x14ac:dyDescent="0.25">
      <c r="A322" t="s">
        <v>564</v>
      </c>
      <c r="B322" t="s">
        <v>30</v>
      </c>
      <c r="C322" t="s">
        <v>59</v>
      </c>
      <c r="D322" t="s">
        <v>72</v>
      </c>
      <c r="E322" t="s">
        <v>75</v>
      </c>
      <c r="F322" t="s">
        <v>710</v>
      </c>
      <c r="G322" t="s">
        <v>1278</v>
      </c>
      <c r="H322">
        <v>70</v>
      </c>
      <c r="I322">
        <v>48</v>
      </c>
      <c r="O322">
        <v>-0.31428571428571428</v>
      </c>
      <c r="Q322">
        <v>15</v>
      </c>
      <c r="R322">
        <v>7</v>
      </c>
    </row>
    <row r="323" spans="1:18" x14ac:dyDescent="0.25">
      <c r="A323" t="s">
        <v>564</v>
      </c>
      <c r="B323" t="s">
        <v>30</v>
      </c>
      <c r="C323" t="s">
        <v>59</v>
      </c>
      <c r="D323" t="s">
        <v>72</v>
      </c>
      <c r="E323" t="s">
        <v>352</v>
      </c>
      <c r="F323" t="s">
        <v>1117</v>
      </c>
      <c r="G323" t="s">
        <v>1279</v>
      </c>
      <c r="H323">
        <v>40</v>
      </c>
      <c r="Q323">
        <v>16</v>
      </c>
      <c r="R323">
        <v>8</v>
      </c>
    </row>
  </sheetData>
  <phoneticPr fontId="22"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72"/>
  <sheetViews>
    <sheetView workbookViewId="0">
      <selection activeCell="J50" sqref="J50"/>
    </sheetView>
  </sheetViews>
  <sheetFormatPr defaultColWidth="8.81640625" defaultRowHeight="14" x14ac:dyDescent="0.25"/>
  <cols>
    <col min="7" max="7" width="66.453125" bestFit="1" customWidth="1"/>
  </cols>
  <sheetData>
    <row r="1" spans="1:21" x14ac:dyDescent="0.25">
      <c r="A1" t="s">
        <v>482</v>
      </c>
      <c r="B1" t="s">
        <v>1280</v>
      </c>
      <c r="C1" t="s">
        <v>1281</v>
      </c>
      <c r="D1" t="s">
        <v>1282</v>
      </c>
      <c r="E1" t="s">
        <v>1283</v>
      </c>
      <c r="F1" t="s">
        <v>137</v>
      </c>
      <c r="G1" t="s">
        <v>1284</v>
      </c>
      <c r="H1" t="s">
        <v>1285</v>
      </c>
      <c r="I1" t="s">
        <v>1286</v>
      </c>
      <c r="J1" t="s">
        <v>17</v>
      </c>
      <c r="K1" t="s">
        <v>1287</v>
      </c>
      <c r="L1" t="s">
        <v>490</v>
      </c>
      <c r="M1" t="s">
        <v>18</v>
      </c>
      <c r="N1" t="s">
        <v>1288</v>
      </c>
      <c r="O1" t="s">
        <v>491</v>
      </c>
      <c r="P1" t="s">
        <v>22</v>
      </c>
      <c r="Q1" t="s">
        <v>1289</v>
      </c>
      <c r="R1" t="s">
        <v>495</v>
      </c>
      <c r="S1" t="s">
        <v>1290</v>
      </c>
      <c r="T1" t="s">
        <v>1291</v>
      </c>
      <c r="U1" t="s">
        <v>468</v>
      </c>
    </row>
    <row r="2" spans="1:21" x14ac:dyDescent="0.25">
      <c r="A2" t="s">
        <v>564</v>
      </c>
      <c r="B2" t="s">
        <v>28</v>
      </c>
      <c r="C2" t="s">
        <v>1292</v>
      </c>
      <c r="D2" t="s">
        <v>1293</v>
      </c>
      <c r="E2" t="s">
        <v>1292</v>
      </c>
      <c r="F2">
        <v>1</v>
      </c>
      <c r="G2" t="s">
        <v>1294</v>
      </c>
      <c r="H2" t="s">
        <v>1295</v>
      </c>
      <c r="I2">
        <v>1</v>
      </c>
      <c r="J2">
        <v>1156627</v>
      </c>
      <c r="K2">
        <v>3194644</v>
      </c>
      <c r="L2">
        <v>-0.63794802045751742</v>
      </c>
      <c r="M2">
        <v>1022</v>
      </c>
      <c r="N2">
        <v>3433</v>
      </c>
      <c r="O2">
        <v>-0.70230119429070781</v>
      </c>
      <c r="P2">
        <v>1132</v>
      </c>
      <c r="Q2">
        <v>931</v>
      </c>
      <c r="R2">
        <v>0.21616873362949379</v>
      </c>
      <c r="S2" s="195" t="s">
        <v>1296</v>
      </c>
      <c r="T2" t="s">
        <v>1297</v>
      </c>
    </row>
    <row r="3" spans="1:21" x14ac:dyDescent="0.25">
      <c r="A3" t="s">
        <v>564</v>
      </c>
      <c r="B3" t="s">
        <v>28</v>
      </c>
      <c r="C3" t="s">
        <v>1298</v>
      </c>
      <c r="D3" t="s">
        <v>1299</v>
      </c>
      <c r="E3" t="s">
        <v>1298</v>
      </c>
      <c r="F3">
        <v>2</v>
      </c>
      <c r="G3" t="s">
        <v>1300</v>
      </c>
      <c r="H3" t="s">
        <v>1301</v>
      </c>
      <c r="I3">
        <v>2</v>
      </c>
      <c r="J3">
        <v>434946</v>
      </c>
      <c r="K3">
        <v>769460</v>
      </c>
      <c r="L3">
        <v>-0.43473918129822342</v>
      </c>
      <c r="M3">
        <v>464</v>
      </c>
      <c r="N3">
        <v>945</v>
      </c>
      <c r="O3">
        <v>-0.508994708994709</v>
      </c>
      <c r="P3">
        <v>937</v>
      </c>
      <c r="Q3">
        <v>814</v>
      </c>
      <c r="R3">
        <v>0.1512316242956441</v>
      </c>
      <c r="S3" s="195" t="s">
        <v>1302</v>
      </c>
      <c r="T3" t="s">
        <v>1303</v>
      </c>
    </row>
    <row r="4" spans="1:21" x14ac:dyDescent="0.25">
      <c r="A4" t="s">
        <v>564</v>
      </c>
      <c r="B4" t="s">
        <v>28</v>
      </c>
      <c r="C4" t="s">
        <v>1304</v>
      </c>
      <c r="D4" t="s">
        <v>1305</v>
      </c>
      <c r="E4" t="s">
        <v>1304</v>
      </c>
      <c r="F4">
        <v>3</v>
      </c>
      <c r="G4" t="s">
        <v>1306</v>
      </c>
      <c r="H4" t="s">
        <v>1307</v>
      </c>
      <c r="I4">
        <v>3</v>
      </c>
      <c r="J4">
        <v>419360</v>
      </c>
      <c r="K4">
        <v>648507</v>
      </c>
      <c r="L4">
        <v>-0.35334498923927882</v>
      </c>
      <c r="M4">
        <v>358</v>
      </c>
      <c r="N4">
        <v>715</v>
      </c>
      <c r="O4">
        <v>-0.49930069930069931</v>
      </c>
      <c r="P4">
        <v>1171</v>
      </c>
      <c r="Q4">
        <v>907</v>
      </c>
      <c r="R4">
        <v>0.29150372260870289</v>
      </c>
      <c r="S4" s="195" t="s">
        <v>1308</v>
      </c>
      <c r="T4" t="s">
        <v>1309</v>
      </c>
    </row>
    <row r="5" spans="1:21" x14ac:dyDescent="0.25">
      <c r="A5" t="s">
        <v>564</v>
      </c>
      <c r="B5" t="s">
        <v>28</v>
      </c>
      <c r="C5" t="s">
        <v>1310</v>
      </c>
      <c r="D5" t="s">
        <v>1311</v>
      </c>
      <c r="E5" t="s">
        <v>1312</v>
      </c>
      <c r="F5">
        <v>4</v>
      </c>
      <c r="G5" t="s">
        <v>1313</v>
      </c>
      <c r="H5" t="s">
        <v>1314</v>
      </c>
      <c r="I5">
        <v>15</v>
      </c>
      <c r="J5">
        <v>273554</v>
      </c>
      <c r="K5">
        <v>141812</v>
      </c>
      <c r="L5">
        <v>0.92899258072291091</v>
      </c>
      <c r="M5">
        <v>178</v>
      </c>
      <c r="N5">
        <v>102</v>
      </c>
      <c r="O5">
        <v>0.74509803921568629</v>
      </c>
      <c r="P5">
        <v>1537</v>
      </c>
      <c r="Q5">
        <v>1390</v>
      </c>
      <c r="R5">
        <v>0.1053777709760501</v>
      </c>
      <c r="S5" s="195" t="s">
        <v>1315</v>
      </c>
      <c r="T5" t="s">
        <v>1316</v>
      </c>
    </row>
    <row r="6" spans="1:21" x14ac:dyDescent="0.25">
      <c r="A6" t="s">
        <v>564</v>
      </c>
      <c r="B6" t="s">
        <v>28</v>
      </c>
      <c r="C6" t="s">
        <v>1317</v>
      </c>
      <c r="D6" t="s">
        <v>1318</v>
      </c>
      <c r="E6" t="s">
        <v>28</v>
      </c>
      <c r="F6">
        <v>5</v>
      </c>
      <c r="G6" t="s">
        <v>1319</v>
      </c>
      <c r="H6" t="s">
        <v>1320</v>
      </c>
      <c r="J6">
        <v>235129</v>
      </c>
      <c r="M6">
        <v>2</v>
      </c>
      <c r="P6">
        <v>117565</v>
      </c>
      <c r="S6" s="195" t="s">
        <v>1321</v>
      </c>
      <c r="T6" t="s">
        <v>1322</v>
      </c>
    </row>
    <row r="7" spans="1:21" x14ac:dyDescent="0.25">
      <c r="A7" t="s">
        <v>564</v>
      </c>
      <c r="B7" t="s">
        <v>28</v>
      </c>
      <c r="C7" t="s">
        <v>1323</v>
      </c>
      <c r="D7" t="s">
        <v>1324</v>
      </c>
      <c r="E7" t="s">
        <v>1325</v>
      </c>
      <c r="F7">
        <v>6</v>
      </c>
      <c r="G7" t="s">
        <v>1326</v>
      </c>
      <c r="H7" t="s">
        <v>1327</v>
      </c>
      <c r="I7">
        <v>7</v>
      </c>
      <c r="J7">
        <v>184176</v>
      </c>
      <c r="K7">
        <v>271933</v>
      </c>
      <c r="L7">
        <v>-0.32271529034596158</v>
      </c>
      <c r="M7">
        <v>171</v>
      </c>
      <c r="N7">
        <v>358</v>
      </c>
      <c r="O7">
        <v>-0.52234636871508378</v>
      </c>
      <c r="P7">
        <v>1077</v>
      </c>
      <c r="Q7">
        <v>760</v>
      </c>
      <c r="R7">
        <v>0.41794108804763591</v>
      </c>
      <c r="S7" s="195" t="s">
        <v>1328</v>
      </c>
      <c r="T7" t="s">
        <v>1329</v>
      </c>
    </row>
    <row r="8" spans="1:21" x14ac:dyDescent="0.25">
      <c r="A8" t="s">
        <v>564</v>
      </c>
      <c r="B8" t="s">
        <v>28</v>
      </c>
      <c r="C8" t="s">
        <v>1325</v>
      </c>
      <c r="D8" t="s">
        <v>1330</v>
      </c>
      <c r="E8" t="s">
        <v>28</v>
      </c>
      <c r="F8">
        <v>7</v>
      </c>
      <c r="G8" t="s">
        <v>1331</v>
      </c>
      <c r="H8" t="s">
        <v>1332</v>
      </c>
      <c r="J8">
        <v>171815</v>
      </c>
      <c r="M8">
        <v>141</v>
      </c>
      <c r="P8">
        <v>1219</v>
      </c>
      <c r="S8" s="195" t="s">
        <v>1333</v>
      </c>
      <c r="T8" t="s">
        <v>1334</v>
      </c>
    </row>
    <row r="9" spans="1:21" x14ac:dyDescent="0.25">
      <c r="A9" t="s">
        <v>564</v>
      </c>
      <c r="B9" t="s">
        <v>28</v>
      </c>
      <c r="C9" t="s">
        <v>1335</v>
      </c>
      <c r="D9" t="s">
        <v>1336</v>
      </c>
      <c r="E9" t="s">
        <v>1335</v>
      </c>
      <c r="F9">
        <v>8</v>
      </c>
      <c r="G9" t="s">
        <v>1337</v>
      </c>
      <c r="H9" t="s">
        <v>1338</v>
      </c>
      <c r="I9">
        <v>8</v>
      </c>
      <c r="J9">
        <v>152942</v>
      </c>
      <c r="K9">
        <v>254800</v>
      </c>
      <c r="L9">
        <v>-0.39975691510360661</v>
      </c>
      <c r="M9">
        <v>45</v>
      </c>
      <c r="N9">
        <v>99</v>
      </c>
      <c r="O9">
        <v>-0.54545454545454541</v>
      </c>
      <c r="P9">
        <v>3399</v>
      </c>
      <c r="Q9">
        <v>2574</v>
      </c>
      <c r="R9">
        <v>0.32053478677206548</v>
      </c>
      <c r="S9" s="195" t="s">
        <v>1339</v>
      </c>
      <c r="T9" t="s">
        <v>1340</v>
      </c>
    </row>
    <row r="10" spans="1:21" x14ac:dyDescent="0.25">
      <c r="A10" t="s">
        <v>564</v>
      </c>
      <c r="B10" t="s">
        <v>28</v>
      </c>
      <c r="C10" t="s">
        <v>1341</v>
      </c>
      <c r="D10" t="s">
        <v>1342</v>
      </c>
      <c r="E10" t="s">
        <v>1343</v>
      </c>
      <c r="F10">
        <v>9</v>
      </c>
      <c r="G10" t="s">
        <v>1344</v>
      </c>
      <c r="H10" t="s">
        <v>1345</v>
      </c>
      <c r="I10">
        <v>11</v>
      </c>
      <c r="J10">
        <v>139850</v>
      </c>
      <c r="K10">
        <v>219419</v>
      </c>
      <c r="L10">
        <v>-0.36263452296828652</v>
      </c>
      <c r="M10">
        <v>84</v>
      </c>
      <c r="N10">
        <v>135</v>
      </c>
      <c r="O10">
        <v>-0.37777777777777782</v>
      </c>
      <c r="P10">
        <v>1665</v>
      </c>
      <c r="Q10">
        <v>1625</v>
      </c>
      <c r="R10">
        <v>2.43373738009682E-2</v>
      </c>
      <c r="S10" s="195" t="s">
        <v>1346</v>
      </c>
      <c r="T10" t="s">
        <v>1347</v>
      </c>
    </row>
    <row r="11" spans="1:21" x14ac:dyDescent="0.25">
      <c r="A11" t="s">
        <v>564</v>
      </c>
      <c r="B11" t="s">
        <v>28</v>
      </c>
      <c r="C11" t="s">
        <v>1348</v>
      </c>
      <c r="D11" t="s">
        <v>1349</v>
      </c>
      <c r="E11" t="s">
        <v>28</v>
      </c>
      <c r="F11">
        <v>10</v>
      </c>
      <c r="G11" t="s">
        <v>1350</v>
      </c>
      <c r="H11" t="s">
        <v>1351</v>
      </c>
      <c r="J11">
        <v>128164</v>
      </c>
      <c r="M11">
        <v>63</v>
      </c>
      <c r="P11">
        <v>2034</v>
      </c>
      <c r="S11" s="195" t="s">
        <v>1352</v>
      </c>
      <c r="T11" t="s">
        <v>1353</v>
      </c>
    </row>
    <row r="12" spans="1:21" x14ac:dyDescent="0.25">
      <c r="A12" t="s">
        <v>564</v>
      </c>
      <c r="B12" t="s">
        <v>28</v>
      </c>
      <c r="C12" t="s">
        <v>1343</v>
      </c>
      <c r="D12" t="s">
        <v>1354</v>
      </c>
      <c r="E12" t="s">
        <v>28</v>
      </c>
      <c r="F12">
        <v>11</v>
      </c>
      <c r="G12" t="s">
        <v>1355</v>
      </c>
      <c r="H12" t="s">
        <v>1356</v>
      </c>
      <c r="J12">
        <v>110180</v>
      </c>
      <c r="M12">
        <v>62</v>
      </c>
      <c r="P12">
        <v>1777</v>
      </c>
      <c r="S12" s="195" t="s">
        <v>1357</v>
      </c>
      <c r="T12" t="s">
        <v>1358</v>
      </c>
    </row>
    <row r="13" spans="1:21" x14ac:dyDescent="0.25">
      <c r="A13" t="s">
        <v>564</v>
      </c>
      <c r="B13" t="s">
        <v>28</v>
      </c>
      <c r="C13" t="s">
        <v>1359</v>
      </c>
      <c r="D13" t="s">
        <v>1360</v>
      </c>
      <c r="E13" t="s">
        <v>1341</v>
      </c>
      <c r="F13">
        <v>12</v>
      </c>
      <c r="G13" t="s">
        <v>1361</v>
      </c>
      <c r="H13" t="s">
        <v>1362</v>
      </c>
      <c r="I13">
        <v>9</v>
      </c>
      <c r="J13">
        <v>107809</v>
      </c>
      <c r="K13">
        <v>245943</v>
      </c>
      <c r="L13">
        <v>-0.56165222713853868</v>
      </c>
      <c r="M13">
        <v>69</v>
      </c>
      <c r="N13">
        <v>210</v>
      </c>
      <c r="O13">
        <v>-0.67142857142857137</v>
      </c>
      <c r="P13">
        <v>1562</v>
      </c>
      <c r="Q13">
        <v>1171</v>
      </c>
      <c r="R13">
        <v>0.33410191740444739</v>
      </c>
      <c r="S13" s="195" t="s">
        <v>1363</v>
      </c>
      <c r="T13" t="s">
        <v>1364</v>
      </c>
    </row>
    <row r="14" spans="1:21" x14ac:dyDescent="0.25">
      <c r="A14" t="s">
        <v>564</v>
      </c>
      <c r="B14" t="s">
        <v>28</v>
      </c>
      <c r="C14" t="s">
        <v>1365</v>
      </c>
      <c r="D14" t="s">
        <v>1366</v>
      </c>
      <c r="E14" t="s">
        <v>1359</v>
      </c>
      <c r="F14">
        <v>13</v>
      </c>
      <c r="G14" t="s">
        <v>1367</v>
      </c>
      <c r="H14" t="s">
        <v>1368</v>
      </c>
      <c r="I14">
        <v>12</v>
      </c>
      <c r="J14">
        <v>86216</v>
      </c>
      <c r="K14">
        <v>187404</v>
      </c>
      <c r="L14">
        <v>-0.53994457959519515</v>
      </c>
      <c r="M14">
        <v>27</v>
      </c>
      <c r="N14">
        <v>74</v>
      </c>
      <c r="O14">
        <v>-0.63513513513513509</v>
      </c>
      <c r="P14">
        <v>3193</v>
      </c>
      <c r="Q14">
        <v>2532</v>
      </c>
      <c r="R14">
        <v>0.26089263370205762</v>
      </c>
      <c r="S14" s="195" t="s">
        <v>1369</v>
      </c>
      <c r="T14" t="s">
        <v>1370</v>
      </c>
    </row>
    <row r="15" spans="1:21" x14ac:dyDescent="0.25">
      <c r="A15" t="s">
        <v>564</v>
      </c>
      <c r="B15" t="s">
        <v>28</v>
      </c>
      <c r="C15" t="s">
        <v>1371</v>
      </c>
      <c r="D15" t="s">
        <v>1372</v>
      </c>
      <c r="E15" t="s">
        <v>1310</v>
      </c>
      <c r="F15">
        <v>14</v>
      </c>
      <c r="G15" t="s">
        <v>1373</v>
      </c>
      <c r="H15" t="s">
        <v>1374</v>
      </c>
      <c r="I15">
        <v>4</v>
      </c>
      <c r="J15">
        <v>85620</v>
      </c>
      <c r="K15">
        <v>533512</v>
      </c>
      <c r="L15">
        <v>-0.83951617181029015</v>
      </c>
      <c r="M15">
        <v>42</v>
      </c>
      <c r="N15">
        <v>281</v>
      </c>
      <c r="O15">
        <v>-0.85053380782918153</v>
      </c>
      <c r="P15">
        <v>2039</v>
      </c>
      <c r="Q15">
        <v>1899</v>
      </c>
      <c r="R15">
        <v>7.3713231459725109E-2</v>
      </c>
      <c r="S15" s="195" t="s">
        <v>1375</v>
      </c>
      <c r="T15" t="s">
        <v>1376</v>
      </c>
    </row>
    <row r="16" spans="1:21" x14ac:dyDescent="0.25">
      <c r="A16" t="s">
        <v>564</v>
      </c>
      <c r="B16" t="s">
        <v>28</v>
      </c>
      <c r="C16" t="s">
        <v>1312</v>
      </c>
      <c r="D16" t="s">
        <v>1377</v>
      </c>
      <c r="E16" t="s">
        <v>1348</v>
      </c>
      <c r="F16">
        <v>15</v>
      </c>
      <c r="G16" t="s">
        <v>1378</v>
      </c>
      <c r="H16" t="s">
        <v>1379</v>
      </c>
      <c r="I16">
        <v>10</v>
      </c>
      <c r="J16">
        <v>80338</v>
      </c>
      <c r="K16">
        <v>221710</v>
      </c>
      <c r="L16">
        <v>-0.63764412844838636</v>
      </c>
      <c r="M16">
        <v>13</v>
      </c>
      <c r="N16">
        <v>41</v>
      </c>
      <c r="O16">
        <v>-0.68292682926829273</v>
      </c>
      <c r="P16">
        <v>6180</v>
      </c>
      <c r="Q16">
        <v>5408</v>
      </c>
      <c r="R16">
        <v>0.1428146718166276</v>
      </c>
      <c r="S16" s="195" t="s">
        <v>1380</v>
      </c>
      <c r="T16" t="s">
        <v>1381</v>
      </c>
    </row>
    <row r="17" spans="1:20" x14ac:dyDescent="0.25">
      <c r="A17" t="s">
        <v>564</v>
      </c>
      <c r="B17" t="s">
        <v>28</v>
      </c>
      <c r="C17" t="s">
        <v>1382</v>
      </c>
      <c r="D17" t="s">
        <v>1383</v>
      </c>
      <c r="E17" t="s">
        <v>1323</v>
      </c>
      <c r="F17">
        <v>16</v>
      </c>
      <c r="G17" t="s">
        <v>1384</v>
      </c>
      <c r="H17" t="s">
        <v>1385</v>
      </c>
      <c r="I17">
        <v>6</v>
      </c>
      <c r="J17">
        <v>79891</v>
      </c>
      <c r="K17">
        <v>360607</v>
      </c>
      <c r="L17">
        <v>-0.77845445724476459</v>
      </c>
      <c r="M17">
        <v>17</v>
      </c>
      <c r="N17">
        <v>87</v>
      </c>
      <c r="O17">
        <v>-0.8045977011494253</v>
      </c>
      <c r="P17">
        <v>4699</v>
      </c>
      <c r="Q17">
        <v>4145</v>
      </c>
      <c r="R17">
        <v>0.13379189527679289</v>
      </c>
      <c r="S17" s="195" t="s">
        <v>1386</v>
      </c>
      <c r="T17" t="s">
        <v>1309</v>
      </c>
    </row>
    <row r="18" spans="1:20" x14ac:dyDescent="0.25">
      <c r="A18" t="s">
        <v>564</v>
      </c>
      <c r="B18" t="s">
        <v>28</v>
      </c>
      <c r="C18" t="s">
        <v>1387</v>
      </c>
      <c r="D18" t="s">
        <v>1388</v>
      </c>
      <c r="E18" t="s">
        <v>28</v>
      </c>
      <c r="F18">
        <v>17</v>
      </c>
      <c r="G18" t="s">
        <v>1389</v>
      </c>
      <c r="H18" t="s">
        <v>1390</v>
      </c>
      <c r="J18">
        <v>78757</v>
      </c>
      <c r="M18">
        <v>104</v>
      </c>
      <c r="P18">
        <v>757</v>
      </c>
      <c r="S18" t="s">
        <v>1391</v>
      </c>
    </row>
    <row r="19" spans="1:20" x14ac:dyDescent="0.25">
      <c r="A19" t="s">
        <v>564</v>
      </c>
      <c r="B19" t="s">
        <v>28</v>
      </c>
      <c r="C19" t="s">
        <v>1392</v>
      </c>
      <c r="D19" t="s">
        <v>1393</v>
      </c>
      <c r="E19" t="s">
        <v>1394</v>
      </c>
      <c r="F19">
        <v>18</v>
      </c>
      <c r="G19" t="s">
        <v>1395</v>
      </c>
      <c r="H19" t="s">
        <v>1396</v>
      </c>
      <c r="I19">
        <v>29</v>
      </c>
      <c r="J19">
        <v>64761</v>
      </c>
      <c r="K19">
        <v>8796</v>
      </c>
      <c r="L19">
        <v>6.3625216007276038</v>
      </c>
      <c r="M19">
        <v>45</v>
      </c>
      <c r="N19">
        <v>6</v>
      </c>
      <c r="O19">
        <v>6.5</v>
      </c>
      <c r="P19">
        <v>1439</v>
      </c>
      <c r="Q19">
        <v>1466</v>
      </c>
      <c r="R19">
        <v>-1.833045323631954E-2</v>
      </c>
      <c r="S19" t="s">
        <v>1397</v>
      </c>
    </row>
    <row r="20" spans="1:20" x14ac:dyDescent="0.25">
      <c r="A20" t="s">
        <v>564</v>
      </c>
      <c r="B20" t="s">
        <v>28</v>
      </c>
      <c r="C20" t="s">
        <v>1398</v>
      </c>
      <c r="D20" t="s">
        <v>1399</v>
      </c>
      <c r="E20" t="s">
        <v>1387</v>
      </c>
      <c r="F20">
        <v>19</v>
      </c>
      <c r="G20" t="s">
        <v>1400</v>
      </c>
      <c r="H20" t="s">
        <v>1401</v>
      </c>
      <c r="I20">
        <v>17</v>
      </c>
      <c r="J20">
        <v>52473</v>
      </c>
      <c r="K20">
        <v>92245</v>
      </c>
      <c r="L20">
        <v>-0.43115381417388671</v>
      </c>
      <c r="M20">
        <v>7</v>
      </c>
      <c r="N20">
        <v>17</v>
      </c>
      <c r="O20">
        <v>-0.58823529411764708</v>
      </c>
      <c r="P20">
        <v>7496</v>
      </c>
      <c r="Q20">
        <v>5426</v>
      </c>
      <c r="R20">
        <v>0.38148359414913252</v>
      </c>
      <c r="S20" t="s">
        <v>1402</v>
      </c>
    </row>
    <row r="21" spans="1:20" x14ac:dyDescent="0.25">
      <c r="A21" t="s">
        <v>564</v>
      </c>
      <c r="B21" t="s">
        <v>28</v>
      </c>
      <c r="C21" t="s">
        <v>1403</v>
      </c>
      <c r="D21" t="s">
        <v>1404</v>
      </c>
      <c r="E21" t="s">
        <v>1365</v>
      </c>
      <c r="F21">
        <v>20</v>
      </c>
      <c r="G21" t="s">
        <v>1405</v>
      </c>
      <c r="H21" t="s">
        <v>1406</v>
      </c>
      <c r="I21">
        <v>13</v>
      </c>
      <c r="J21">
        <v>42739</v>
      </c>
      <c r="K21">
        <v>170729</v>
      </c>
      <c r="L21">
        <v>-0.74967007711447753</v>
      </c>
      <c r="M21">
        <v>15</v>
      </c>
      <c r="N21">
        <v>71</v>
      </c>
      <c r="O21">
        <v>-0.78873239436619713</v>
      </c>
      <c r="P21">
        <v>2849</v>
      </c>
      <c r="Q21">
        <v>2405</v>
      </c>
      <c r="R21">
        <v>0.18489496832480631</v>
      </c>
      <c r="S21" t="s">
        <v>1407</v>
      </c>
    </row>
    <row r="22" spans="1:20" x14ac:dyDescent="0.25">
      <c r="A22" t="s">
        <v>564</v>
      </c>
      <c r="B22" t="s">
        <v>28</v>
      </c>
      <c r="C22" t="s">
        <v>1408</v>
      </c>
      <c r="D22" t="s">
        <v>1409</v>
      </c>
      <c r="E22" t="s">
        <v>1317</v>
      </c>
      <c r="F22">
        <v>21</v>
      </c>
      <c r="G22" t="s">
        <v>1410</v>
      </c>
      <c r="H22" t="s">
        <v>1411</v>
      </c>
      <c r="I22">
        <v>5</v>
      </c>
      <c r="J22">
        <v>38928</v>
      </c>
      <c r="K22">
        <v>387837</v>
      </c>
      <c r="L22">
        <v>-0.8996280322342326</v>
      </c>
      <c r="M22">
        <v>13</v>
      </c>
      <c r="N22">
        <v>149</v>
      </c>
      <c r="O22">
        <v>-0.91275167785234901</v>
      </c>
      <c r="P22">
        <v>2994</v>
      </c>
      <c r="Q22">
        <v>2603</v>
      </c>
      <c r="R22">
        <v>0.1504171690076416</v>
      </c>
      <c r="S22" s="195" t="s">
        <v>1412</v>
      </c>
      <c r="T22" t="s">
        <v>1358</v>
      </c>
    </row>
    <row r="23" spans="1:20" x14ac:dyDescent="0.25">
      <c r="A23" t="s">
        <v>564</v>
      </c>
      <c r="B23" t="s">
        <v>28</v>
      </c>
      <c r="C23" t="s">
        <v>1413</v>
      </c>
      <c r="D23" t="s">
        <v>1414</v>
      </c>
      <c r="E23" t="s">
        <v>28</v>
      </c>
      <c r="F23">
        <v>22</v>
      </c>
      <c r="G23" t="s">
        <v>1415</v>
      </c>
      <c r="H23" t="s">
        <v>1416</v>
      </c>
      <c r="J23">
        <v>34496</v>
      </c>
      <c r="M23">
        <v>6</v>
      </c>
      <c r="P23">
        <v>5749</v>
      </c>
      <c r="S23" t="s">
        <v>1417</v>
      </c>
    </row>
    <row r="24" spans="1:20" x14ac:dyDescent="0.25">
      <c r="A24" t="s">
        <v>564</v>
      </c>
      <c r="B24" t="s">
        <v>28</v>
      </c>
      <c r="C24" t="s">
        <v>1418</v>
      </c>
      <c r="D24" t="s">
        <v>1419</v>
      </c>
      <c r="E24" t="s">
        <v>1420</v>
      </c>
      <c r="F24">
        <v>23</v>
      </c>
      <c r="G24" t="s">
        <v>1421</v>
      </c>
      <c r="H24" t="s">
        <v>1422</v>
      </c>
      <c r="I24">
        <v>73</v>
      </c>
      <c r="J24">
        <v>34152</v>
      </c>
      <c r="K24">
        <v>0</v>
      </c>
      <c r="M24">
        <v>7</v>
      </c>
      <c r="N24">
        <v>0</v>
      </c>
      <c r="P24">
        <v>4879</v>
      </c>
      <c r="S24" t="s">
        <v>1423</v>
      </c>
    </row>
    <row r="25" spans="1:20" x14ac:dyDescent="0.25">
      <c r="A25" t="s">
        <v>564</v>
      </c>
      <c r="B25" t="s">
        <v>28</v>
      </c>
      <c r="C25" t="s">
        <v>1424</v>
      </c>
      <c r="D25" t="s">
        <v>1425</v>
      </c>
      <c r="E25" t="s">
        <v>1382</v>
      </c>
      <c r="F25">
        <v>24</v>
      </c>
      <c r="G25" t="s">
        <v>1426</v>
      </c>
      <c r="H25" t="s">
        <v>1427</v>
      </c>
      <c r="I25">
        <v>16</v>
      </c>
      <c r="J25">
        <v>31796</v>
      </c>
      <c r="K25">
        <v>122000</v>
      </c>
      <c r="L25">
        <v>-0.73937611572864792</v>
      </c>
      <c r="M25">
        <v>21</v>
      </c>
      <c r="N25">
        <v>65</v>
      </c>
      <c r="O25">
        <v>-0.67692307692307696</v>
      </c>
      <c r="P25">
        <v>1514</v>
      </c>
      <c r="Q25">
        <v>1877</v>
      </c>
      <c r="R25">
        <v>-0.19330702487438639</v>
      </c>
      <c r="S25" t="s">
        <v>1428</v>
      </c>
    </row>
    <row r="26" spans="1:20" x14ac:dyDescent="0.25">
      <c r="A26" t="s">
        <v>564</v>
      </c>
      <c r="B26" t="s">
        <v>28</v>
      </c>
      <c r="C26" t="s">
        <v>1429</v>
      </c>
      <c r="D26" t="s">
        <v>1430</v>
      </c>
      <c r="E26" t="s">
        <v>1431</v>
      </c>
      <c r="F26">
        <v>25</v>
      </c>
      <c r="G26" t="s">
        <v>1432</v>
      </c>
      <c r="H26" t="s">
        <v>1433</v>
      </c>
      <c r="I26">
        <v>26</v>
      </c>
      <c r="J26">
        <v>26356</v>
      </c>
      <c r="K26">
        <v>16763</v>
      </c>
      <c r="L26">
        <v>0.57225256976438277</v>
      </c>
      <c r="M26">
        <v>11</v>
      </c>
      <c r="N26">
        <v>4</v>
      </c>
      <c r="O26">
        <v>1.75</v>
      </c>
      <c r="P26">
        <v>2396</v>
      </c>
      <c r="Q26">
        <v>4191</v>
      </c>
      <c r="R26">
        <v>-0.42827179281295169</v>
      </c>
      <c r="S26" t="s">
        <v>1434</v>
      </c>
    </row>
    <row r="27" spans="1:20" x14ac:dyDescent="0.25">
      <c r="A27" t="s">
        <v>564</v>
      </c>
      <c r="B27" t="s">
        <v>28</v>
      </c>
      <c r="C27" t="s">
        <v>1431</v>
      </c>
      <c r="D27" t="s">
        <v>1435</v>
      </c>
      <c r="E27" t="s">
        <v>1436</v>
      </c>
      <c r="F27">
        <v>26</v>
      </c>
      <c r="G27" t="s">
        <v>1437</v>
      </c>
      <c r="H27" t="s">
        <v>1438</v>
      </c>
      <c r="I27">
        <v>32</v>
      </c>
      <c r="J27">
        <v>24047</v>
      </c>
      <c r="K27">
        <v>1457</v>
      </c>
      <c r="L27">
        <v>15.502247445460849</v>
      </c>
      <c r="M27">
        <v>15</v>
      </c>
      <c r="N27">
        <v>1</v>
      </c>
      <c r="O27">
        <v>14</v>
      </c>
      <c r="P27">
        <v>1603</v>
      </c>
      <c r="Q27">
        <v>1457</v>
      </c>
      <c r="R27">
        <v>0.10014982969738979</v>
      </c>
      <c r="S27" t="s">
        <v>1439</v>
      </c>
    </row>
    <row r="28" spans="1:20" x14ac:dyDescent="0.25">
      <c r="A28" t="s">
        <v>564</v>
      </c>
      <c r="B28" t="s">
        <v>28</v>
      </c>
      <c r="C28" t="s">
        <v>1440</v>
      </c>
      <c r="D28" t="s">
        <v>1441</v>
      </c>
      <c r="E28" t="s">
        <v>1429</v>
      </c>
      <c r="F28">
        <v>27</v>
      </c>
      <c r="G28" t="s">
        <v>1442</v>
      </c>
      <c r="H28" t="s">
        <v>1443</v>
      </c>
      <c r="I28">
        <v>25</v>
      </c>
      <c r="J28">
        <v>23068</v>
      </c>
      <c r="K28">
        <v>24531</v>
      </c>
      <c r="L28">
        <v>-5.9643807684358612E-2</v>
      </c>
      <c r="M28">
        <v>11</v>
      </c>
      <c r="N28">
        <v>8</v>
      </c>
      <c r="O28">
        <v>0.375</v>
      </c>
      <c r="P28">
        <v>2097</v>
      </c>
      <c r="Q28">
        <v>3066</v>
      </c>
      <c r="R28">
        <v>-0.31610458740680619</v>
      </c>
      <c r="S28" t="s">
        <v>1444</v>
      </c>
    </row>
    <row r="29" spans="1:20" x14ac:dyDescent="0.25">
      <c r="A29" t="s">
        <v>564</v>
      </c>
      <c r="B29" t="s">
        <v>28</v>
      </c>
      <c r="C29" t="s">
        <v>1445</v>
      </c>
      <c r="D29" t="s">
        <v>1446</v>
      </c>
      <c r="E29" t="s">
        <v>28</v>
      </c>
      <c r="F29">
        <v>28</v>
      </c>
      <c r="G29" t="s">
        <v>1447</v>
      </c>
      <c r="H29" t="s">
        <v>1448</v>
      </c>
      <c r="J29">
        <v>23060</v>
      </c>
      <c r="M29">
        <v>10</v>
      </c>
      <c r="P29">
        <v>2306</v>
      </c>
      <c r="S29" t="s">
        <v>1449</v>
      </c>
    </row>
    <row r="30" spans="1:20" x14ac:dyDescent="0.25">
      <c r="A30" t="s">
        <v>564</v>
      </c>
      <c r="B30" t="s">
        <v>28</v>
      </c>
      <c r="C30" t="s">
        <v>1394</v>
      </c>
      <c r="D30" t="s">
        <v>1450</v>
      </c>
      <c r="E30" t="s">
        <v>28</v>
      </c>
      <c r="F30">
        <v>29</v>
      </c>
      <c r="G30" t="s">
        <v>1451</v>
      </c>
      <c r="H30" t="s">
        <v>1452</v>
      </c>
      <c r="J30">
        <v>20300</v>
      </c>
      <c r="M30">
        <v>13</v>
      </c>
      <c r="P30">
        <v>1562</v>
      </c>
      <c r="S30" t="s">
        <v>1453</v>
      </c>
    </row>
    <row r="31" spans="1:20" x14ac:dyDescent="0.25">
      <c r="A31" t="s">
        <v>564</v>
      </c>
      <c r="B31" t="s">
        <v>28</v>
      </c>
      <c r="C31" t="s">
        <v>1454</v>
      </c>
      <c r="D31" t="s">
        <v>1455</v>
      </c>
      <c r="E31" t="s">
        <v>28</v>
      </c>
      <c r="F31">
        <v>30</v>
      </c>
      <c r="G31" t="s">
        <v>1456</v>
      </c>
      <c r="H31" t="s">
        <v>1457</v>
      </c>
      <c r="J31">
        <v>17416</v>
      </c>
      <c r="M31">
        <v>4</v>
      </c>
      <c r="P31">
        <v>4354</v>
      </c>
      <c r="S31" t="s">
        <v>1458</v>
      </c>
    </row>
    <row r="32" spans="1:20" x14ac:dyDescent="0.25">
      <c r="A32" t="s">
        <v>564</v>
      </c>
      <c r="B32" t="s">
        <v>28</v>
      </c>
      <c r="C32" t="s">
        <v>1459</v>
      </c>
      <c r="D32" t="s">
        <v>1460</v>
      </c>
      <c r="E32" t="s">
        <v>1461</v>
      </c>
      <c r="F32">
        <v>31</v>
      </c>
      <c r="G32" t="s">
        <v>1462</v>
      </c>
      <c r="H32" t="s">
        <v>1463</v>
      </c>
      <c r="I32">
        <v>77</v>
      </c>
      <c r="J32">
        <v>12830</v>
      </c>
      <c r="K32">
        <v>0</v>
      </c>
      <c r="M32">
        <v>4</v>
      </c>
      <c r="N32">
        <v>0</v>
      </c>
      <c r="P32">
        <v>3208</v>
      </c>
      <c r="S32" t="s">
        <v>1464</v>
      </c>
    </row>
    <row r="33" spans="1:19" x14ac:dyDescent="0.25">
      <c r="A33" t="s">
        <v>564</v>
      </c>
      <c r="B33" t="s">
        <v>28</v>
      </c>
      <c r="C33" t="s">
        <v>1436</v>
      </c>
      <c r="D33" t="s">
        <v>1465</v>
      </c>
      <c r="E33" t="s">
        <v>28</v>
      </c>
      <c r="F33">
        <v>32</v>
      </c>
      <c r="G33" t="s">
        <v>1466</v>
      </c>
      <c r="H33" t="s">
        <v>1467</v>
      </c>
      <c r="J33">
        <v>8728</v>
      </c>
      <c r="M33">
        <v>6</v>
      </c>
      <c r="P33">
        <v>1455</v>
      </c>
      <c r="S33" t="s">
        <v>1468</v>
      </c>
    </row>
    <row r="34" spans="1:19" x14ac:dyDescent="0.25">
      <c r="A34" t="s">
        <v>564</v>
      </c>
      <c r="B34" t="s">
        <v>28</v>
      </c>
      <c r="C34" t="s">
        <v>1469</v>
      </c>
      <c r="D34" t="s">
        <v>1470</v>
      </c>
      <c r="E34" t="s">
        <v>1471</v>
      </c>
      <c r="F34">
        <v>33</v>
      </c>
      <c r="G34" t="s">
        <v>1472</v>
      </c>
      <c r="H34" t="s">
        <v>1473</v>
      </c>
      <c r="I34">
        <v>67</v>
      </c>
      <c r="J34">
        <v>7794</v>
      </c>
      <c r="K34">
        <v>0</v>
      </c>
      <c r="M34">
        <v>4</v>
      </c>
      <c r="N34">
        <v>0</v>
      </c>
      <c r="P34">
        <v>1949</v>
      </c>
      <c r="S34" t="s">
        <v>1474</v>
      </c>
    </row>
    <row r="35" spans="1:19" x14ac:dyDescent="0.25">
      <c r="A35" t="s">
        <v>564</v>
      </c>
      <c r="B35" t="s">
        <v>28</v>
      </c>
      <c r="C35" t="s">
        <v>1475</v>
      </c>
      <c r="D35" t="s">
        <v>1476</v>
      </c>
      <c r="E35" t="s">
        <v>1403</v>
      </c>
      <c r="F35">
        <v>34</v>
      </c>
      <c r="G35" t="s">
        <v>1477</v>
      </c>
      <c r="H35" t="s">
        <v>1478</v>
      </c>
      <c r="I35">
        <v>20</v>
      </c>
      <c r="J35">
        <v>6925</v>
      </c>
      <c r="K35">
        <v>53903</v>
      </c>
      <c r="L35">
        <v>-0.87152963036894837</v>
      </c>
      <c r="M35">
        <v>5</v>
      </c>
      <c r="N35">
        <v>49</v>
      </c>
      <c r="O35">
        <v>-0.89795918367346939</v>
      </c>
      <c r="P35">
        <v>1385</v>
      </c>
      <c r="Q35">
        <v>1100</v>
      </c>
      <c r="R35">
        <v>0.25900962238430619</v>
      </c>
      <c r="S35" t="s">
        <v>1479</v>
      </c>
    </row>
    <row r="36" spans="1:19" x14ac:dyDescent="0.25">
      <c r="A36" t="s">
        <v>564</v>
      </c>
      <c r="B36" t="s">
        <v>28</v>
      </c>
      <c r="C36" t="s">
        <v>1480</v>
      </c>
      <c r="D36" t="s">
        <v>1481</v>
      </c>
      <c r="E36" t="s">
        <v>28</v>
      </c>
      <c r="F36">
        <v>35</v>
      </c>
      <c r="G36" t="s">
        <v>1482</v>
      </c>
      <c r="H36" t="s">
        <v>1483</v>
      </c>
      <c r="J36">
        <v>5540</v>
      </c>
      <c r="M36">
        <v>2</v>
      </c>
      <c r="P36">
        <v>2770</v>
      </c>
      <c r="S36" t="s">
        <v>1484</v>
      </c>
    </row>
    <row r="37" spans="1:19" x14ac:dyDescent="0.25">
      <c r="A37" t="s">
        <v>564</v>
      </c>
      <c r="B37" t="s">
        <v>28</v>
      </c>
      <c r="C37" t="s">
        <v>1485</v>
      </c>
      <c r="D37" t="s">
        <v>1486</v>
      </c>
      <c r="E37" t="s">
        <v>1445</v>
      </c>
      <c r="F37">
        <v>36</v>
      </c>
      <c r="G37" t="s">
        <v>1487</v>
      </c>
      <c r="H37" t="s">
        <v>1488</v>
      </c>
      <c r="I37">
        <v>28</v>
      </c>
      <c r="J37">
        <v>4698</v>
      </c>
      <c r="K37">
        <v>12020</v>
      </c>
      <c r="L37">
        <v>-0.60914361018855623</v>
      </c>
      <c r="M37">
        <v>3</v>
      </c>
      <c r="N37">
        <v>7</v>
      </c>
      <c r="O37">
        <v>-0.5714285714285714</v>
      </c>
      <c r="P37">
        <v>1566</v>
      </c>
      <c r="Q37">
        <v>1717</v>
      </c>
      <c r="R37">
        <v>-8.8001757106631079E-2</v>
      </c>
      <c r="S37" t="s">
        <v>1489</v>
      </c>
    </row>
    <row r="38" spans="1:19" x14ac:dyDescent="0.25">
      <c r="A38" t="s">
        <v>564</v>
      </c>
      <c r="B38" t="s">
        <v>28</v>
      </c>
      <c r="C38" t="s">
        <v>1490</v>
      </c>
      <c r="D38" t="s">
        <v>1491</v>
      </c>
      <c r="E38" t="s">
        <v>28</v>
      </c>
      <c r="F38">
        <v>37</v>
      </c>
      <c r="G38" t="s">
        <v>1492</v>
      </c>
      <c r="H38" t="s">
        <v>1493</v>
      </c>
      <c r="J38">
        <v>1321</v>
      </c>
      <c r="M38">
        <v>1</v>
      </c>
      <c r="P38">
        <v>1321</v>
      </c>
      <c r="S38" t="s">
        <v>1494</v>
      </c>
    </row>
    <row r="39" spans="1:19" x14ac:dyDescent="0.25">
      <c r="A39" t="s">
        <v>564</v>
      </c>
      <c r="B39" t="s">
        <v>28</v>
      </c>
      <c r="C39" t="s">
        <v>1495</v>
      </c>
      <c r="D39" t="s">
        <v>1496</v>
      </c>
      <c r="E39" t="s">
        <v>28</v>
      </c>
      <c r="F39">
        <v>38</v>
      </c>
      <c r="G39" t="s">
        <v>1497</v>
      </c>
      <c r="H39" t="s">
        <v>1498</v>
      </c>
      <c r="S39" t="s">
        <v>1499</v>
      </c>
    </row>
    <row r="40" spans="1:19" x14ac:dyDescent="0.25">
      <c r="A40" t="s">
        <v>564</v>
      </c>
      <c r="B40" t="s">
        <v>28</v>
      </c>
      <c r="C40" t="s">
        <v>1500</v>
      </c>
      <c r="D40" t="s">
        <v>1501</v>
      </c>
      <c r="E40" t="s">
        <v>1454</v>
      </c>
      <c r="F40">
        <v>39</v>
      </c>
      <c r="G40" t="s">
        <v>1502</v>
      </c>
      <c r="H40" t="s">
        <v>1503</v>
      </c>
      <c r="I40">
        <v>30</v>
      </c>
      <c r="K40">
        <v>8103</v>
      </c>
      <c r="N40">
        <v>2</v>
      </c>
      <c r="Q40">
        <v>4052</v>
      </c>
      <c r="S40" t="s">
        <v>1504</v>
      </c>
    </row>
    <row r="41" spans="1:19" x14ac:dyDescent="0.25">
      <c r="A41" t="s">
        <v>564</v>
      </c>
      <c r="B41" t="s">
        <v>28</v>
      </c>
      <c r="C41" t="s">
        <v>1505</v>
      </c>
      <c r="D41" t="s">
        <v>1506</v>
      </c>
      <c r="E41" t="s">
        <v>1440</v>
      </c>
      <c r="F41">
        <v>40</v>
      </c>
      <c r="G41" t="s">
        <v>1507</v>
      </c>
      <c r="H41" t="s">
        <v>1508</v>
      </c>
      <c r="I41">
        <v>27</v>
      </c>
      <c r="K41">
        <v>13433</v>
      </c>
      <c r="N41">
        <v>2</v>
      </c>
      <c r="Q41">
        <v>6717</v>
      </c>
      <c r="S41" t="s">
        <v>1509</v>
      </c>
    </row>
    <row r="42" spans="1:19" x14ac:dyDescent="0.25">
      <c r="A42" t="s">
        <v>564</v>
      </c>
      <c r="B42" t="s">
        <v>28</v>
      </c>
      <c r="C42" t="s">
        <v>1510</v>
      </c>
      <c r="D42" t="s">
        <v>1511</v>
      </c>
      <c r="E42" t="s">
        <v>1512</v>
      </c>
      <c r="F42">
        <v>41</v>
      </c>
      <c r="G42" t="s">
        <v>1513</v>
      </c>
      <c r="H42" t="s">
        <v>1514</v>
      </c>
      <c r="I42">
        <v>78</v>
      </c>
      <c r="K42">
        <v>0</v>
      </c>
      <c r="N42">
        <v>0</v>
      </c>
      <c r="S42" t="s">
        <v>1515</v>
      </c>
    </row>
    <row r="43" spans="1:19" x14ac:dyDescent="0.25">
      <c r="A43" t="s">
        <v>564</v>
      </c>
      <c r="B43" t="s">
        <v>28</v>
      </c>
      <c r="C43" t="s">
        <v>1516</v>
      </c>
      <c r="D43" t="s">
        <v>1517</v>
      </c>
      <c r="E43" t="s">
        <v>1485</v>
      </c>
      <c r="F43">
        <v>42</v>
      </c>
      <c r="G43" t="s">
        <v>1518</v>
      </c>
      <c r="H43" t="s">
        <v>1519</v>
      </c>
      <c r="I43">
        <v>36</v>
      </c>
      <c r="K43">
        <v>0</v>
      </c>
      <c r="N43">
        <v>0</v>
      </c>
      <c r="S43" t="s">
        <v>1520</v>
      </c>
    </row>
    <row r="44" spans="1:19" x14ac:dyDescent="0.25">
      <c r="A44" t="s">
        <v>564</v>
      </c>
      <c r="B44" t="s">
        <v>28</v>
      </c>
      <c r="C44" t="s">
        <v>1521</v>
      </c>
      <c r="D44" t="s">
        <v>1522</v>
      </c>
      <c r="E44" t="s">
        <v>1523</v>
      </c>
      <c r="F44">
        <v>43</v>
      </c>
      <c r="G44" t="s">
        <v>1524</v>
      </c>
      <c r="H44" t="s">
        <v>1525</v>
      </c>
      <c r="I44">
        <v>80</v>
      </c>
      <c r="K44">
        <v>0</v>
      </c>
      <c r="N44">
        <v>0</v>
      </c>
      <c r="S44" t="s">
        <v>1526</v>
      </c>
    </row>
    <row r="45" spans="1:19" x14ac:dyDescent="0.25">
      <c r="A45" t="s">
        <v>564</v>
      </c>
      <c r="B45" t="s">
        <v>28</v>
      </c>
      <c r="C45" t="s">
        <v>1527</v>
      </c>
      <c r="D45" t="s">
        <v>1528</v>
      </c>
      <c r="E45" t="s">
        <v>28</v>
      </c>
      <c r="F45">
        <v>44</v>
      </c>
      <c r="G45" t="s">
        <v>1529</v>
      </c>
      <c r="H45" t="s">
        <v>1530</v>
      </c>
      <c r="S45" t="s">
        <v>1531</v>
      </c>
    </row>
    <row r="46" spans="1:19" x14ac:dyDescent="0.25">
      <c r="A46" t="s">
        <v>564</v>
      </c>
      <c r="B46" t="s">
        <v>28</v>
      </c>
      <c r="C46" t="s">
        <v>1532</v>
      </c>
      <c r="D46" t="s">
        <v>1533</v>
      </c>
      <c r="E46" t="s">
        <v>1534</v>
      </c>
      <c r="F46">
        <v>45</v>
      </c>
      <c r="G46" t="s">
        <v>1535</v>
      </c>
      <c r="H46" t="s">
        <v>1536</v>
      </c>
      <c r="I46">
        <v>48</v>
      </c>
      <c r="K46">
        <v>0</v>
      </c>
      <c r="N46">
        <v>0</v>
      </c>
      <c r="S46" t="s">
        <v>1537</v>
      </c>
    </row>
    <row r="47" spans="1:19" x14ac:dyDescent="0.25">
      <c r="A47" t="s">
        <v>564</v>
      </c>
      <c r="B47" t="s">
        <v>28</v>
      </c>
      <c r="C47" t="s">
        <v>1538</v>
      </c>
      <c r="D47" t="s">
        <v>1539</v>
      </c>
      <c r="E47" t="s">
        <v>1540</v>
      </c>
      <c r="F47">
        <v>46</v>
      </c>
      <c r="G47" t="s">
        <v>1541</v>
      </c>
      <c r="H47" t="s">
        <v>1542</v>
      </c>
      <c r="I47">
        <v>60</v>
      </c>
      <c r="K47">
        <v>0</v>
      </c>
      <c r="N47">
        <v>0</v>
      </c>
      <c r="S47" t="s">
        <v>1543</v>
      </c>
    </row>
    <row r="48" spans="1:19" x14ac:dyDescent="0.25">
      <c r="A48" t="s">
        <v>564</v>
      </c>
      <c r="B48" t="s">
        <v>28</v>
      </c>
      <c r="C48" t="s">
        <v>1544</v>
      </c>
      <c r="D48" t="s">
        <v>1545</v>
      </c>
      <c r="E48" t="s">
        <v>1546</v>
      </c>
      <c r="F48">
        <v>47</v>
      </c>
      <c r="G48" t="s">
        <v>1547</v>
      </c>
      <c r="H48" t="s">
        <v>1548</v>
      </c>
      <c r="I48">
        <v>85</v>
      </c>
      <c r="K48">
        <v>0</v>
      </c>
      <c r="N48">
        <v>0</v>
      </c>
      <c r="S48" t="s">
        <v>1549</v>
      </c>
    </row>
    <row r="49" spans="1:19" x14ac:dyDescent="0.25">
      <c r="A49" t="s">
        <v>564</v>
      </c>
      <c r="B49" t="s">
        <v>28</v>
      </c>
      <c r="C49" t="s">
        <v>1534</v>
      </c>
      <c r="D49" t="s">
        <v>1550</v>
      </c>
      <c r="E49" t="s">
        <v>28</v>
      </c>
      <c r="F49">
        <v>48</v>
      </c>
      <c r="G49" t="s">
        <v>1551</v>
      </c>
      <c r="H49" t="s">
        <v>1552</v>
      </c>
      <c r="S49" t="s">
        <v>1553</v>
      </c>
    </row>
    <row r="50" spans="1:19" x14ac:dyDescent="0.25">
      <c r="A50" t="s">
        <v>564</v>
      </c>
      <c r="B50" t="s">
        <v>28</v>
      </c>
      <c r="C50" t="s">
        <v>1554</v>
      </c>
      <c r="D50" t="s">
        <v>1555</v>
      </c>
      <c r="E50" t="s">
        <v>1495</v>
      </c>
      <c r="F50">
        <v>49</v>
      </c>
      <c r="G50" t="s">
        <v>1556</v>
      </c>
      <c r="H50" t="s">
        <v>1557</v>
      </c>
      <c r="I50">
        <v>38</v>
      </c>
      <c r="K50">
        <v>0</v>
      </c>
      <c r="N50">
        <v>0</v>
      </c>
      <c r="S50" t="s">
        <v>1558</v>
      </c>
    </row>
    <row r="51" spans="1:19" x14ac:dyDescent="0.25">
      <c r="A51" t="s">
        <v>564</v>
      </c>
      <c r="B51" t="s">
        <v>28</v>
      </c>
      <c r="C51" t="s">
        <v>1559</v>
      </c>
      <c r="D51" t="s">
        <v>1560</v>
      </c>
      <c r="E51" t="s">
        <v>1561</v>
      </c>
      <c r="F51">
        <v>50</v>
      </c>
      <c r="G51" t="s">
        <v>1562</v>
      </c>
      <c r="H51" t="s">
        <v>1563</v>
      </c>
      <c r="I51">
        <v>70</v>
      </c>
      <c r="K51">
        <v>0</v>
      </c>
      <c r="N51">
        <v>0</v>
      </c>
      <c r="S51" t="s">
        <v>1564</v>
      </c>
    </row>
    <row r="52" spans="1:19" x14ac:dyDescent="0.25">
      <c r="A52" t="s">
        <v>564</v>
      </c>
      <c r="B52" t="s">
        <v>28</v>
      </c>
      <c r="C52" t="s">
        <v>1565</v>
      </c>
      <c r="D52" t="s">
        <v>1566</v>
      </c>
      <c r="E52" t="s">
        <v>1567</v>
      </c>
      <c r="F52">
        <v>51</v>
      </c>
      <c r="G52" t="s">
        <v>1568</v>
      </c>
      <c r="H52" t="s">
        <v>1569</v>
      </c>
      <c r="I52">
        <v>54</v>
      </c>
      <c r="K52">
        <v>0</v>
      </c>
      <c r="N52">
        <v>0</v>
      </c>
      <c r="S52" t="s">
        <v>1570</v>
      </c>
    </row>
    <row r="53" spans="1:19" x14ac:dyDescent="0.25">
      <c r="A53" t="s">
        <v>564</v>
      </c>
      <c r="B53" t="s">
        <v>28</v>
      </c>
      <c r="C53" t="s">
        <v>1571</v>
      </c>
      <c r="D53" t="s">
        <v>1572</v>
      </c>
      <c r="E53" t="s">
        <v>1573</v>
      </c>
      <c r="F53">
        <v>52</v>
      </c>
      <c r="G53" t="s">
        <v>1574</v>
      </c>
      <c r="H53" t="s">
        <v>1575</v>
      </c>
      <c r="I53">
        <v>81</v>
      </c>
      <c r="K53">
        <v>0</v>
      </c>
      <c r="N53">
        <v>0</v>
      </c>
      <c r="S53" t="s">
        <v>1576</v>
      </c>
    </row>
    <row r="54" spans="1:19" x14ac:dyDescent="0.25">
      <c r="A54" t="s">
        <v>564</v>
      </c>
      <c r="B54" t="s">
        <v>28</v>
      </c>
      <c r="C54" t="s">
        <v>1577</v>
      </c>
      <c r="D54" t="s">
        <v>1578</v>
      </c>
      <c r="E54" t="s">
        <v>1579</v>
      </c>
      <c r="F54">
        <v>53</v>
      </c>
      <c r="G54" t="s">
        <v>1580</v>
      </c>
      <c r="H54" t="s">
        <v>1581</v>
      </c>
      <c r="I54">
        <v>82</v>
      </c>
      <c r="K54">
        <v>0</v>
      </c>
      <c r="N54">
        <v>0</v>
      </c>
      <c r="S54" t="s">
        <v>1582</v>
      </c>
    </row>
    <row r="55" spans="1:19" x14ac:dyDescent="0.25">
      <c r="A55" t="s">
        <v>564</v>
      </c>
      <c r="B55" t="s">
        <v>28</v>
      </c>
      <c r="C55" t="s">
        <v>1567</v>
      </c>
      <c r="D55" t="s">
        <v>1583</v>
      </c>
      <c r="E55" t="s">
        <v>1584</v>
      </c>
      <c r="F55">
        <v>54</v>
      </c>
      <c r="G55" t="s">
        <v>1585</v>
      </c>
      <c r="H55" t="s">
        <v>1586</v>
      </c>
      <c r="I55">
        <v>68</v>
      </c>
      <c r="K55">
        <v>0</v>
      </c>
      <c r="N55">
        <v>0</v>
      </c>
      <c r="S55" t="s">
        <v>1587</v>
      </c>
    </row>
    <row r="56" spans="1:19" x14ac:dyDescent="0.25">
      <c r="A56" t="s">
        <v>564</v>
      </c>
      <c r="B56" t="s">
        <v>28</v>
      </c>
      <c r="C56" t="s">
        <v>1588</v>
      </c>
      <c r="D56" t="s">
        <v>1589</v>
      </c>
      <c r="E56" t="s">
        <v>28</v>
      </c>
      <c r="F56">
        <v>55</v>
      </c>
      <c r="G56" t="s">
        <v>1590</v>
      </c>
      <c r="H56" t="s">
        <v>1591</v>
      </c>
      <c r="S56" t="s">
        <v>1592</v>
      </c>
    </row>
    <row r="57" spans="1:19" x14ac:dyDescent="0.25">
      <c r="A57" t="s">
        <v>564</v>
      </c>
      <c r="B57" t="s">
        <v>28</v>
      </c>
      <c r="C57" t="s">
        <v>1593</v>
      </c>
      <c r="D57" t="s">
        <v>1594</v>
      </c>
      <c r="E57" t="s">
        <v>1595</v>
      </c>
      <c r="F57">
        <v>56</v>
      </c>
      <c r="G57" t="s">
        <v>1596</v>
      </c>
      <c r="H57" t="s">
        <v>1597</v>
      </c>
      <c r="I57">
        <v>75</v>
      </c>
      <c r="K57">
        <v>0</v>
      </c>
      <c r="N57">
        <v>0</v>
      </c>
      <c r="S57" t="s">
        <v>1598</v>
      </c>
    </row>
    <row r="58" spans="1:19" x14ac:dyDescent="0.25">
      <c r="A58" t="s">
        <v>564</v>
      </c>
      <c r="B58" t="s">
        <v>28</v>
      </c>
      <c r="C58" t="s">
        <v>1599</v>
      </c>
      <c r="D58" t="s">
        <v>1600</v>
      </c>
      <c r="E58" t="s">
        <v>1538</v>
      </c>
      <c r="F58">
        <v>57</v>
      </c>
      <c r="G58" t="s">
        <v>1601</v>
      </c>
      <c r="H58" t="s">
        <v>1602</v>
      </c>
      <c r="I58">
        <v>46</v>
      </c>
      <c r="K58">
        <v>0</v>
      </c>
      <c r="N58">
        <v>0</v>
      </c>
      <c r="S58" t="s">
        <v>1603</v>
      </c>
    </row>
    <row r="59" spans="1:19" x14ac:dyDescent="0.25">
      <c r="A59" t="s">
        <v>564</v>
      </c>
      <c r="B59" t="s">
        <v>28</v>
      </c>
      <c r="C59" t="s">
        <v>1604</v>
      </c>
      <c r="D59" t="s">
        <v>1605</v>
      </c>
      <c r="E59" t="s">
        <v>1469</v>
      </c>
      <c r="F59">
        <v>58</v>
      </c>
      <c r="G59" t="s">
        <v>1606</v>
      </c>
      <c r="H59" t="s">
        <v>1607</v>
      </c>
      <c r="I59">
        <v>33</v>
      </c>
      <c r="K59">
        <v>0</v>
      </c>
      <c r="N59">
        <v>0</v>
      </c>
      <c r="S59" t="s">
        <v>1608</v>
      </c>
    </row>
    <row r="60" spans="1:19" x14ac:dyDescent="0.25">
      <c r="A60" t="s">
        <v>564</v>
      </c>
      <c r="B60" t="s">
        <v>28</v>
      </c>
      <c r="C60" t="s">
        <v>1609</v>
      </c>
      <c r="D60" t="s">
        <v>1610</v>
      </c>
      <c r="E60" t="s">
        <v>28</v>
      </c>
      <c r="F60">
        <v>59</v>
      </c>
      <c r="G60" t="s">
        <v>1611</v>
      </c>
      <c r="H60" t="s">
        <v>1612</v>
      </c>
      <c r="S60" t="s">
        <v>1613</v>
      </c>
    </row>
    <row r="61" spans="1:19" x14ac:dyDescent="0.25">
      <c r="A61" t="s">
        <v>564</v>
      </c>
      <c r="B61" t="s">
        <v>28</v>
      </c>
      <c r="C61" t="s">
        <v>1540</v>
      </c>
      <c r="D61" t="s">
        <v>1614</v>
      </c>
      <c r="E61" t="s">
        <v>1505</v>
      </c>
      <c r="F61">
        <v>60</v>
      </c>
      <c r="G61" t="s">
        <v>1615</v>
      </c>
      <c r="H61" t="s">
        <v>1616</v>
      </c>
      <c r="I61">
        <v>40</v>
      </c>
      <c r="K61">
        <v>0</v>
      </c>
      <c r="N61">
        <v>0</v>
      </c>
      <c r="S61" t="s">
        <v>1617</v>
      </c>
    </row>
    <row r="62" spans="1:19" x14ac:dyDescent="0.25">
      <c r="A62" t="s">
        <v>564</v>
      </c>
      <c r="B62" t="s">
        <v>28</v>
      </c>
      <c r="C62" t="s">
        <v>1618</v>
      </c>
      <c r="D62" t="s">
        <v>1619</v>
      </c>
      <c r="E62" t="s">
        <v>1565</v>
      </c>
      <c r="F62">
        <v>61</v>
      </c>
      <c r="G62" t="s">
        <v>1620</v>
      </c>
      <c r="H62" t="s">
        <v>1621</v>
      </c>
      <c r="I62">
        <v>51</v>
      </c>
      <c r="K62">
        <v>0</v>
      </c>
      <c r="N62">
        <v>0</v>
      </c>
      <c r="S62" t="s">
        <v>1622</v>
      </c>
    </row>
    <row r="63" spans="1:19" x14ac:dyDescent="0.25">
      <c r="A63" t="s">
        <v>564</v>
      </c>
      <c r="B63" t="s">
        <v>28</v>
      </c>
      <c r="C63" t="s">
        <v>1623</v>
      </c>
      <c r="D63" t="s">
        <v>1624</v>
      </c>
      <c r="E63" t="s">
        <v>1593</v>
      </c>
      <c r="F63">
        <v>62</v>
      </c>
      <c r="G63" t="s">
        <v>1625</v>
      </c>
      <c r="H63" t="s">
        <v>1626</v>
      </c>
      <c r="I63">
        <v>56</v>
      </c>
      <c r="K63">
        <v>0</v>
      </c>
      <c r="N63">
        <v>0</v>
      </c>
      <c r="S63" t="s">
        <v>1627</v>
      </c>
    </row>
    <row r="64" spans="1:19" x14ac:dyDescent="0.25">
      <c r="A64" t="s">
        <v>564</v>
      </c>
      <c r="B64" t="s">
        <v>28</v>
      </c>
      <c r="C64" t="s">
        <v>1628</v>
      </c>
      <c r="D64" t="s">
        <v>1629</v>
      </c>
      <c r="E64" t="s">
        <v>1554</v>
      </c>
      <c r="F64">
        <v>63</v>
      </c>
      <c r="G64" t="s">
        <v>1630</v>
      </c>
      <c r="H64" t="s">
        <v>1631</v>
      </c>
      <c r="I64">
        <v>49</v>
      </c>
      <c r="K64">
        <v>0</v>
      </c>
      <c r="N64">
        <v>0</v>
      </c>
      <c r="S64" t="s">
        <v>1632</v>
      </c>
    </row>
    <row r="65" spans="1:19" x14ac:dyDescent="0.25">
      <c r="A65" t="s">
        <v>564</v>
      </c>
      <c r="B65" t="s">
        <v>28</v>
      </c>
      <c r="C65" t="s">
        <v>1633</v>
      </c>
      <c r="D65" t="s">
        <v>1634</v>
      </c>
      <c r="E65" t="s">
        <v>1413</v>
      </c>
      <c r="F65">
        <v>64</v>
      </c>
      <c r="G65" t="s">
        <v>1635</v>
      </c>
      <c r="H65" t="s">
        <v>1636</v>
      </c>
      <c r="I65">
        <v>22</v>
      </c>
      <c r="K65">
        <v>49453</v>
      </c>
      <c r="N65">
        <v>22</v>
      </c>
      <c r="Q65">
        <v>2248</v>
      </c>
      <c r="S65" t="s">
        <v>1637</v>
      </c>
    </row>
    <row r="66" spans="1:19" x14ac:dyDescent="0.25">
      <c r="A66" t="s">
        <v>564</v>
      </c>
      <c r="B66" t="s">
        <v>28</v>
      </c>
      <c r="C66" t="s">
        <v>1638</v>
      </c>
      <c r="D66" t="s">
        <v>1639</v>
      </c>
      <c r="E66" t="s">
        <v>1418</v>
      </c>
      <c r="F66">
        <v>65</v>
      </c>
      <c r="G66" t="s">
        <v>1640</v>
      </c>
      <c r="H66" t="s">
        <v>1641</v>
      </c>
      <c r="I66">
        <v>23</v>
      </c>
      <c r="K66">
        <v>37810</v>
      </c>
      <c r="N66">
        <v>27</v>
      </c>
      <c r="Q66">
        <v>1400</v>
      </c>
      <c r="S66" t="s">
        <v>1642</v>
      </c>
    </row>
    <row r="67" spans="1:19" x14ac:dyDescent="0.25">
      <c r="A67" t="s">
        <v>564</v>
      </c>
      <c r="B67" t="s">
        <v>28</v>
      </c>
      <c r="C67" t="s">
        <v>1643</v>
      </c>
      <c r="D67" t="s">
        <v>1644</v>
      </c>
      <c r="E67" t="s">
        <v>28</v>
      </c>
      <c r="F67">
        <v>66</v>
      </c>
      <c r="G67" t="s">
        <v>1645</v>
      </c>
      <c r="H67" t="s">
        <v>1646</v>
      </c>
      <c r="S67" t="s">
        <v>1647</v>
      </c>
    </row>
    <row r="68" spans="1:19" x14ac:dyDescent="0.25">
      <c r="A68" t="s">
        <v>564</v>
      </c>
      <c r="B68" t="s">
        <v>28</v>
      </c>
      <c r="C68" t="s">
        <v>1471</v>
      </c>
      <c r="D68" t="s">
        <v>1648</v>
      </c>
      <c r="E68" t="s">
        <v>1649</v>
      </c>
      <c r="F68">
        <v>67</v>
      </c>
      <c r="G68" t="s">
        <v>1650</v>
      </c>
      <c r="H68" t="s">
        <v>1651</v>
      </c>
      <c r="I68">
        <v>76</v>
      </c>
      <c r="K68">
        <v>0</v>
      </c>
      <c r="N68">
        <v>0</v>
      </c>
      <c r="S68" t="s">
        <v>1652</v>
      </c>
    </row>
    <row r="69" spans="1:19" x14ac:dyDescent="0.25">
      <c r="A69" t="s">
        <v>564</v>
      </c>
      <c r="B69" t="s">
        <v>28</v>
      </c>
      <c r="C69" t="s">
        <v>1584</v>
      </c>
      <c r="D69" t="s">
        <v>1653</v>
      </c>
      <c r="E69" t="s">
        <v>1654</v>
      </c>
      <c r="F69">
        <v>68</v>
      </c>
      <c r="G69" t="s">
        <v>1655</v>
      </c>
      <c r="H69" t="s">
        <v>1656</v>
      </c>
      <c r="I69">
        <v>71</v>
      </c>
      <c r="K69">
        <v>0</v>
      </c>
      <c r="N69">
        <v>0</v>
      </c>
      <c r="S69" t="s">
        <v>1657</v>
      </c>
    </row>
    <row r="70" spans="1:19" x14ac:dyDescent="0.25">
      <c r="A70" t="s">
        <v>564</v>
      </c>
      <c r="B70" t="s">
        <v>28</v>
      </c>
      <c r="C70" t="s">
        <v>1658</v>
      </c>
      <c r="D70" t="s">
        <v>1659</v>
      </c>
      <c r="E70" t="s">
        <v>1392</v>
      </c>
      <c r="F70">
        <v>69</v>
      </c>
      <c r="G70" t="s">
        <v>1660</v>
      </c>
      <c r="H70" t="s">
        <v>1661</v>
      </c>
      <c r="I70">
        <v>18</v>
      </c>
      <c r="K70">
        <v>57627</v>
      </c>
      <c r="N70">
        <v>70</v>
      </c>
      <c r="Q70">
        <v>823</v>
      </c>
      <c r="S70" t="s">
        <v>1662</v>
      </c>
    </row>
    <row r="71" spans="1:19" x14ac:dyDescent="0.25">
      <c r="A71" t="s">
        <v>564</v>
      </c>
      <c r="B71" t="s">
        <v>28</v>
      </c>
      <c r="C71" t="s">
        <v>1561</v>
      </c>
      <c r="D71" t="s">
        <v>1663</v>
      </c>
      <c r="E71" t="s">
        <v>1599</v>
      </c>
      <c r="F71">
        <v>70</v>
      </c>
      <c r="G71" t="s">
        <v>1664</v>
      </c>
      <c r="H71" t="s">
        <v>1665</v>
      </c>
      <c r="I71">
        <v>57</v>
      </c>
      <c r="K71">
        <v>0</v>
      </c>
      <c r="N71">
        <v>0</v>
      </c>
      <c r="S71" t="s">
        <v>1666</v>
      </c>
    </row>
    <row r="72" spans="1:19" x14ac:dyDescent="0.25">
      <c r="A72" t="s">
        <v>564</v>
      </c>
      <c r="B72" t="s">
        <v>28</v>
      </c>
      <c r="C72" t="s">
        <v>1654</v>
      </c>
      <c r="D72" t="s">
        <v>1667</v>
      </c>
      <c r="E72" t="s">
        <v>1643</v>
      </c>
      <c r="F72">
        <v>71</v>
      </c>
      <c r="G72" t="s">
        <v>1668</v>
      </c>
      <c r="H72" t="s">
        <v>1669</v>
      </c>
      <c r="I72">
        <v>66</v>
      </c>
      <c r="K72">
        <v>0</v>
      </c>
      <c r="N72">
        <v>0</v>
      </c>
      <c r="S72" t="s">
        <v>1670</v>
      </c>
    </row>
    <row r="73" spans="1:19" x14ac:dyDescent="0.25">
      <c r="A73" t="s">
        <v>564</v>
      </c>
      <c r="B73" t="s">
        <v>28</v>
      </c>
      <c r="C73" t="s">
        <v>1671</v>
      </c>
      <c r="D73" t="s">
        <v>1672</v>
      </c>
      <c r="E73" t="s">
        <v>1475</v>
      </c>
      <c r="F73">
        <v>72</v>
      </c>
      <c r="G73" t="s">
        <v>1673</v>
      </c>
      <c r="H73" t="s">
        <v>1674</v>
      </c>
      <c r="I73">
        <v>34</v>
      </c>
      <c r="K73">
        <v>0</v>
      </c>
      <c r="N73">
        <v>0</v>
      </c>
      <c r="S73" t="s">
        <v>1675</v>
      </c>
    </row>
    <row r="74" spans="1:19" x14ac:dyDescent="0.25">
      <c r="A74" t="s">
        <v>564</v>
      </c>
      <c r="B74" t="s">
        <v>28</v>
      </c>
      <c r="C74" t="s">
        <v>1420</v>
      </c>
      <c r="D74" t="s">
        <v>1676</v>
      </c>
      <c r="E74" t="s">
        <v>1490</v>
      </c>
      <c r="F74">
        <v>73</v>
      </c>
      <c r="G74" t="s">
        <v>1677</v>
      </c>
      <c r="H74" t="s">
        <v>1678</v>
      </c>
      <c r="I74">
        <v>37</v>
      </c>
      <c r="K74">
        <v>0</v>
      </c>
      <c r="N74">
        <v>0</v>
      </c>
      <c r="S74" t="s">
        <v>1679</v>
      </c>
    </row>
    <row r="75" spans="1:19" x14ac:dyDescent="0.25">
      <c r="A75" t="s">
        <v>564</v>
      </c>
      <c r="B75" t="s">
        <v>28</v>
      </c>
      <c r="C75" t="s">
        <v>1680</v>
      </c>
      <c r="D75" t="s">
        <v>1681</v>
      </c>
      <c r="E75" t="s">
        <v>1658</v>
      </c>
      <c r="F75">
        <v>74</v>
      </c>
      <c r="G75" t="s">
        <v>1682</v>
      </c>
      <c r="H75" t="s">
        <v>1683</v>
      </c>
      <c r="I75">
        <v>69</v>
      </c>
      <c r="K75">
        <v>0</v>
      </c>
      <c r="N75">
        <v>0</v>
      </c>
      <c r="S75" t="s">
        <v>1684</v>
      </c>
    </row>
    <row r="76" spans="1:19" x14ac:dyDescent="0.25">
      <c r="A76" t="s">
        <v>564</v>
      </c>
      <c r="B76" t="s">
        <v>28</v>
      </c>
      <c r="C76" t="s">
        <v>1595</v>
      </c>
      <c r="D76" t="s">
        <v>1685</v>
      </c>
      <c r="E76" t="s">
        <v>1480</v>
      </c>
      <c r="F76">
        <v>75</v>
      </c>
      <c r="G76" t="s">
        <v>1686</v>
      </c>
      <c r="H76" t="s">
        <v>1687</v>
      </c>
      <c r="I76">
        <v>35</v>
      </c>
      <c r="K76">
        <v>0</v>
      </c>
      <c r="N76">
        <v>0</v>
      </c>
      <c r="S76" t="s">
        <v>1688</v>
      </c>
    </row>
    <row r="77" spans="1:19" x14ac:dyDescent="0.25">
      <c r="A77" t="s">
        <v>564</v>
      </c>
      <c r="B77" t="s">
        <v>28</v>
      </c>
      <c r="C77" t="s">
        <v>1649</v>
      </c>
      <c r="D77" t="s">
        <v>1689</v>
      </c>
      <c r="E77" t="s">
        <v>1690</v>
      </c>
      <c r="F77">
        <v>76</v>
      </c>
      <c r="G77" t="s">
        <v>1691</v>
      </c>
      <c r="H77" t="s">
        <v>1692</v>
      </c>
      <c r="I77">
        <v>83</v>
      </c>
      <c r="K77">
        <v>0</v>
      </c>
      <c r="N77">
        <v>0</v>
      </c>
      <c r="S77" t="s">
        <v>1693</v>
      </c>
    </row>
    <row r="78" spans="1:19" x14ac:dyDescent="0.25">
      <c r="A78" t="s">
        <v>564</v>
      </c>
      <c r="B78" t="s">
        <v>28</v>
      </c>
      <c r="C78" t="s">
        <v>1461</v>
      </c>
      <c r="D78" t="s">
        <v>1694</v>
      </c>
      <c r="E78" t="s">
        <v>1628</v>
      </c>
      <c r="F78">
        <v>77</v>
      </c>
      <c r="G78" t="s">
        <v>1695</v>
      </c>
      <c r="H78" t="s">
        <v>1696</v>
      </c>
      <c r="I78">
        <v>63</v>
      </c>
      <c r="K78">
        <v>0</v>
      </c>
      <c r="N78">
        <v>0</v>
      </c>
      <c r="S78" t="s">
        <v>1697</v>
      </c>
    </row>
    <row r="79" spans="1:19" x14ac:dyDescent="0.25">
      <c r="A79" t="s">
        <v>564</v>
      </c>
      <c r="B79" t="s">
        <v>28</v>
      </c>
      <c r="C79" t="s">
        <v>1512</v>
      </c>
      <c r="D79" t="s">
        <v>1698</v>
      </c>
      <c r="E79" t="s">
        <v>1680</v>
      </c>
      <c r="F79">
        <v>78</v>
      </c>
      <c r="G79" t="s">
        <v>1699</v>
      </c>
      <c r="H79" t="s">
        <v>1700</v>
      </c>
      <c r="I79">
        <v>74</v>
      </c>
      <c r="K79">
        <v>0</v>
      </c>
      <c r="N79">
        <v>0</v>
      </c>
      <c r="S79" t="s">
        <v>1701</v>
      </c>
    </row>
    <row r="80" spans="1:19" x14ac:dyDescent="0.25">
      <c r="A80" t="s">
        <v>564</v>
      </c>
      <c r="B80" t="s">
        <v>28</v>
      </c>
      <c r="C80" t="s">
        <v>1702</v>
      </c>
      <c r="D80" t="s">
        <v>1703</v>
      </c>
      <c r="E80" t="s">
        <v>1398</v>
      </c>
      <c r="F80">
        <v>79</v>
      </c>
      <c r="G80" t="s">
        <v>1704</v>
      </c>
      <c r="H80" t="s">
        <v>1705</v>
      </c>
      <c r="I80">
        <v>19</v>
      </c>
      <c r="K80">
        <v>55005</v>
      </c>
      <c r="N80">
        <v>25</v>
      </c>
      <c r="Q80">
        <v>2200</v>
      </c>
      <c r="S80" t="s">
        <v>1706</v>
      </c>
    </row>
    <row r="81" spans="1:19" x14ac:dyDescent="0.25">
      <c r="A81" t="s">
        <v>564</v>
      </c>
      <c r="B81" t="s">
        <v>28</v>
      </c>
      <c r="C81" t="s">
        <v>1523</v>
      </c>
      <c r="D81" t="s">
        <v>1707</v>
      </c>
      <c r="E81" t="s">
        <v>1708</v>
      </c>
      <c r="F81">
        <v>80</v>
      </c>
      <c r="G81" t="s">
        <v>1709</v>
      </c>
      <c r="H81" t="s">
        <v>1710</v>
      </c>
      <c r="I81">
        <v>87</v>
      </c>
      <c r="K81">
        <v>0</v>
      </c>
      <c r="N81">
        <v>0</v>
      </c>
      <c r="S81" t="s">
        <v>1711</v>
      </c>
    </row>
    <row r="82" spans="1:19" x14ac:dyDescent="0.25">
      <c r="A82" t="s">
        <v>564</v>
      </c>
      <c r="B82" t="s">
        <v>28</v>
      </c>
      <c r="C82" t="s">
        <v>1573</v>
      </c>
      <c r="D82" t="s">
        <v>1712</v>
      </c>
      <c r="E82" t="s">
        <v>1623</v>
      </c>
      <c r="F82">
        <v>81</v>
      </c>
      <c r="G82" t="s">
        <v>1713</v>
      </c>
      <c r="H82" t="s">
        <v>1714</v>
      </c>
      <c r="I82">
        <v>62</v>
      </c>
      <c r="K82">
        <v>0</v>
      </c>
      <c r="N82">
        <v>0</v>
      </c>
      <c r="S82" t="s">
        <v>1715</v>
      </c>
    </row>
    <row r="83" spans="1:19" x14ac:dyDescent="0.25">
      <c r="A83" t="s">
        <v>564</v>
      </c>
      <c r="B83" t="s">
        <v>28</v>
      </c>
      <c r="C83" t="s">
        <v>1579</v>
      </c>
      <c r="D83" t="s">
        <v>1716</v>
      </c>
      <c r="E83" t="s">
        <v>1459</v>
      </c>
      <c r="F83">
        <v>82</v>
      </c>
      <c r="G83" t="s">
        <v>1717</v>
      </c>
      <c r="H83" t="s">
        <v>1718</v>
      </c>
      <c r="I83">
        <v>31</v>
      </c>
      <c r="K83">
        <v>6484</v>
      </c>
      <c r="N83">
        <v>3</v>
      </c>
      <c r="Q83">
        <v>2161</v>
      </c>
      <c r="S83" t="s">
        <v>1719</v>
      </c>
    </row>
    <row r="84" spans="1:19" x14ac:dyDescent="0.25">
      <c r="A84" t="s">
        <v>564</v>
      </c>
      <c r="B84" t="s">
        <v>28</v>
      </c>
      <c r="C84" t="s">
        <v>1690</v>
      </c>
      <c r="D84" t="s">
        <v>1720</v>
      </c>
      <c r="E84" t="s">
        <v>1633</v>
      </c>
      <c r="F84">
        <v>83</v>
      </c>
      <c r="G84" t="s">
        <v>1721</v>
      </c>
      <c r="H84" t="s">
        <v>1722</v>
      </c>
      <c r="I84">
        <v>64</v>
      </c>
      <c r="K84">
        <v>0</v>
      </c>
      <c r="N84">
        <v>0</v>
      </c>
      <c r="S84" t="s">
        <v>1723</v>
      </c>
    </row>
    <row r="85" spans="1:19" x14ac:dyDescent="0.25">
      <c r="A85" t="s">
        <v>564</v>
      </c>
      <c r="B85" t="s">
        <v>28</v>
      </c>
      <c r="C85" t="s">
        <v>1724</v>
      </c>
      <c r="D85" t="s">
        <v>1725</v>
      </c>
      <c r="E85" t="s">
        <v>1500</v>
      </c>
      <c r="F85">
        <v>84</v>
      </c>
      <c r="G85" t="s">
        <v>1726</v>
      </c>
      <c r="H85" t="s">
        <v>1727</v>
      </c>
      <c r="I85">
        <v>39</v>
      </c>
      <c r="K85">
        <v>0</v>
      </c>
      <c r="N85">
        <v>0</v>
      </c>
      <c r="S85" t="s">
        <v>1728</v>
      </c>
    </row>
    <row r="86" spans="1:19" x14ac:dyDescent="0.25">
      <c r="A86" t="s">
        <v>564</v>
      </c>
      <c r="B86" t="s">
        <v>28</v>
      </c>
      <c r="C86" t="s">
        <v>1546</v>
      </c>
      <c r="D86" t="s">
        <v>1729</v>
      </c>
      <c r="E86" t="s">
        <v>1730</v>
      </c>
      <c r="F86">
        <v>85</v>
      </c>
      <c r="G86" t="s">
        <v>1731</v>
      </c>
      <c r="H86" t="s">
        <v>1732</v>
      </c>
      <c r="I86">
        <v>88</v>
      </c>
      <c r="K86">
        <v>0</v>
      </c>
      <c r="N86">
        <v>0</v>
      </c>
      <c r="S86" t="s">
        <v>1733</v>
      </c>
    </row>
    <row r="87" spans="1:19" x14ac:dyDescent="0.25">
      <c r="A87" t="s">
        <v>564</v>
      </c>
      <c r="B87" t="s">
        <v>28</v>
      </c>
      <c r="C87" t="s">
        <v>1734</v>
      </c>
      <c r="D87" t="s">
        <v>1735</v>
      </c>
      <c r="E87" t="s">
        <v>28</v>
      </c>
      <c r="F87">
        <v>86</v>
      </c>
      <c r="G87" t="s">
        <v>1736</v>
      </c>
      <c r="H87" t="s">
        <v>1737</v>
      </c>
      <c r="S87" t="s">
        <v>1738</v>
      </c>
    </row>
    <row r="88" spans="1:19" x14ac:dyDescent="0.25">
      <c r="A88" t="s">
        <v>564</v>
      </c>
      <c r="B88" t="s">
        <v>28</v>
      </c>
      <c r="C88" t="s">
        <v>1708</v>
      </c>
      <c r="D88" t="s">
        <v>1739</v>
      </c>
      <c r="E88" t="s">
        <v>1527</v>
      </c>
      <c r="F88">
        <v>87</v>
      </c>
      <c r="G88" t="s">
        <v>1740</v>
      </c>
      <c r="H88" t="s">
        <v>1741</v>
      </c>
      <c r="I88">
        <v>44</v>
      </c>
      <c r="K88">
        <v>0</v>
      </c>
      <c r="N88">
        <v>0</v>
      </c>
      <c r="S88" t="s">
        <v>1742</v>
      </c>
    </row>
    <row r="89" spans="1:19" x14ac:dyDescent="0.25">
      <c r="A89" t="s">
        <v>564</v>
      </c>
      <c r="B89" t="s">
        <v>28</v>
      </c>
      <c r="C89" t="s">
        <v>1730</v>
      </c>
      <c r="D89" t="s">
        <v>1743</v>
      </c>
      <c r="E89" t="s">
        <v>1618</v>
      </c>
      <c r="F89">
        <v>88</v>
      </c>
      <c r="G89" t="s">
        <v>1744</v>
      </c>
      <c r="H89" t="s">
        <v>1745</v>
      </c>
      <c r="I89">
        <v>61</v>
      </c>
      <c r="K89">
        <v>0</v>
      </c>
      <c r="N89">
        <v>0</v>
      </c>
      <c r="S89" t="s">
        <v>1746</v>
      </c>
    </row>
    <row r="90" spans="1:19" x14ac:dyDescent="0.25">
      <c r="A90" t="s">
        <v>564</v>
      </c>
      <c r="B90" t="s">
        <v>28</v>
      </c>
      <c r="C90" t="s">
        <v>1747</v>
      </c>
      <c r="D90" t="s">
        <v>1748</v>
      </c>
      <c r="E90" t="s">
        <v>1604</v>
      </c>
      <c r="F90">
        <v>89</v>
      </c>
      <c r="G90" t="s">
        <v>1749</v>
      </c>
      <c r="H90" t="s">
        <v>1750</v>
      </c>
      <c r="I90">
        <v>58</v>
      </c>
      <c r="K90">
        <v>0</v>
      </c>
      <c r="N90">
        <v>0</v>
      </c>
      <c r="S90" t="s">
        <v>1751</v>
      </c>
    </row>
    <row r="91" spans="1:19" x14ac:dyDescent="0.25">
      <c r="A91" t="s">
        <v>564</v>
      </c>
      <c r="B91" t="s">
        <v>28</v>
      </c>
      <c r="C91" t="s">
        <v>1752</v>
      </c>
      <c r="D91" t="s">
        <v>1753</v>
      </c>
      <c r="E91" t="s">
        <v>28</v>
      </c>
      <c r="F91">
        <v>90</v>
      </c>
      <c r="G91" t="s">
        <v>1754</v>
      </c>
      <c r="H91" t="s">
        <v>1755</v>
      </c>
      <c r="S91" t="s">
        <v>1756</v>
      </c>
    </row>
    <row r="92" spans="1:19" x14ac:dyDescent="0.25">
      <c r="A92" t="s">
        <v>564</v>
      </c>
      <c r="B92" t="s">
        <v>28</v>
      </c>
      <c r="C92" t="s">
        <v>1757</v>
      </c>
      <c r="D92" t="s">
        <v>1758</v>
      </c>
      <c r="E92" t="s">
        <v>1408</v>
      </c>
      <c r="F92">
        <v>91</v>
      </c>
      <c r="G92" t="s">
        <v>1759</v>
      </c>
      <c r="H92" t="s">
        <v>1760</v>
      </c>
      <c r="I92">
        <v>21</v>
      </c>
      <c r="K92">
        <v>52377</v>
      </c>
      <c r="N92">
        <v>45</v>
      </c>
      <c r="Q92">
        <v>1164</v>
      </c>
      <c r="S92" t="s">
        <v>1761</v>
      </c>
    </row>
    <row r="93" spans="1:19" x14ac:dyDescent="0.25">
      <c r="A93" t="s">
        <v>564</v>
      </c>
      <c r="B93" t="s">
        <v>28</v>
      </c>
      <c r="C93" t="s">
        <v>1762</v>
      </c>
      <c r="D93" t="s">
        <v>1763</v>
      </c>
      <c r="E93" t="s">
        <v>1577</v>
      </c>
      <c r="F93">
        <v>92</v>
      </c>
      <c r="G93" t="s">
        <v>1764</v>
      </c>
      <c r="H93" t="s">
        <v>1765</v>
      </c>
      <c r="I93">
        <v>53</v>
      </c>
      <c r="K93">
        <v>0</v>
      </c>
      <c r="N93">
        <v>0</v>
      </c>
      <c r="S93" t="s">
        <v>1766</v>
      </c>
    </row>
    <row r="94" spans="1:19" x14ac:dyDescent="0.25">
      <c r="A94" t="s">
        <v>564</v>
      </c>
      <c r="B94" t="s">
        <v>28</v>
      </c>
      <c r="C94" t="s">
        <v>1767</v>
      </c>
      <c r="D94" t="s">
        <v>1768</v>
      </c>
      <c r="E94" t="s">
        <v>1571</v>
      </c>
      <c r="F94">
        <v>93</v>
      </c>
      <c r="G94" t="s">
        <v>1769</v>
      </c>
      <c r="H94" t="s">
        <v>1770</v>
      </c>
      <c r="I94">
        <v>52</v>
      </c>
      <c r="K94">
        <v>0</v>
      </c>
      <c r="N94">
        <v>0</v>
      </c>
      <c r="S94" t="s">
        <v>1771</v>
      </c>
    </row>
    <row r="95" spans="1:19" x14ac:dyDescent="0.25">
      <c r="A95" t="s">
        <v>564</v>
      </c>
      <c r="B95" t="s">
        <v>28</v>
      </c>
      <c r="C95" t="s">
        <v>1772</v>
      </c>
      <c r="D95" t="s">
        <v>1773</v>
      </c>
      <c r="E95" t="s">
        <v>1544</v>
      </c>
      <c r="F95">
        <v>94</v>
      </c>
      <c r="G95" t="s">
        <v>1774</v>
      </c>
      <c r="H95" t="s">
        <v>1775</v>
      </c>
      <c r="I95">
        <v>47</v>
      </c>
      <c r="K95">
        <v>0</v>
      </c>
      <c r="N95">
        <v>0</v>
      </c>
      <c r="S95" t="s">
        <v>1776</v>
      </c>
    </row>
    <row r="96" spans="1:19" x14ac:dyDescent="0.25">
      <c r="A96" t="s">
        <v>564</v>
      </c>
      <c r="B96" t="s">
        <v>28</v>
      </c>
      <c r="C96" t="s">
        <v>1777</v>
      </c>
      <c r="D96" t="s">
        <v>1778</v>
      </c>
      <c r="E96" t="s">
        <v>1424</v>
      </c>
      <c r="F96">
        <v>95</v>
      </c>
      <c r="G96" t="s">
        <v>1779</v>
      </c>
      <c r="H96" t="s">
        <v>1780</v>
      </c>
      <c r="I96">
        <v>24</v>
      </c>
      <c r="K96">
        <v>27456</v>
      </c>
      <c r="N96">
        <v>8</v>
      </c>
      <c r="Q96">
        <v>3432</v>
      </c>
      <c r="S96" t="s">
        <v>1781</v>
      </c>
    </row>
    <row r="97" spans="1:21" x14ac:dyDescent="0.25">
      <c r="A97" t="s">
        <v>564</v>
      </c>
      <c r="B97" t="s">
        <v>28</v>
      </c>
      <c r="C97" t="s">
        <v>1782</v>
      </c>
      <c r="D97" t="s">
        <v>1783</v>
      </c>
      <c r="E97" t="s">
        <v>1510</v>
      </c>
      <c r="F97">
        <v>96</v>
      </c>
      <c r="G97" t="s">
        <v>1784</v>
      </c>
      <c r="H97" t="s">
        <v>1785</v>
      </c>
      <c r="I97">
        <v>41</v>
      </c>
      <c r="K97">
        <v>0</v>
      </c>
      <c r="N97">
        <v>0</v>
      </c>
      <c r="S97" t="s">
        <v>1786</v>
      </c>
    </row>
    <row r="98" spans="1:21" x14ac:dyDescent="0.25">
      <c r="A98" t="s">
        <v>564</v>
      </c>
      <c r="B98" t="s">
        <v>28</v>
      </c>
      <c r="C98" t="s">
        <v>1787</v>
      </c>
      <c r="D98" t="s">
        <v>1788</v>
      </c>
      <c r="E98" t="s">
        <v>1371</v>
      </c>
      <c r="F98">
        <v>97</v>
      </c>
      <c r="G98" t="s">
        <v>1789</v>
      </c>
      <c r="H98" t="s">
        <v>1790</v>
      </c>
      <c r="I98">
        <v>14</v>
      </c>
      <c r="K98">
        <v>164068</v>
      </c>
      <c r="N98">
        <v>86</v>
      </c>
      <c r="Q98">
        <v>1908</v>
      </c>
      <c r="S98" t="s">
        <v>1791</v>
      </c>
    </row>
    <row r="99" spans="1:21" x14ac:dyDescent="0.25">
      <c r="A99" t="s">
        <v>564</v>
      </c>
      <c r="B99" t="s">
        <v>28</v>
      </c>
      <c r="C99" t="s">
        <v>1792</v>
      </c>
      <c r="D99" t="s">
        <v>1793</v>
      </c>
      <c r="E99" t="s">
        <v>28</v>
      </c>
      <c r="F99">
        <v>98</v>
      </c>
      <c r="G99" t="s">
        <v>1794</v>
      </c>
      <c r="H99" t="s">
        <v>1795</v>
      </c>
      <c r="S99" t="s">
        <v>1796</v>
      </c>
    </row>
    <row r="100" spans="1:21" x14ac:dyDescent="0.25">
      <c r="A100" t="s">
        <v>564</v>
      </c>
      <c r="B100" t="s">
        <v>28</v>
      </c>
      <c r="C100" t="s">
        <v>1797</v>
      </c>
      <c r="D100" t="s">
        <v>1798</v>
      </c>
      <c r="E100" t="s">
        <v>1532</v>
      </c>
      <c r="F100">
        <v>99</v>
      </c>
      <c r="G100" t="s">
        <v>1799</v>
      </c>
      <c r="H100" t="s">
        <v>1800</v>
      </c>
      <c r="I100">
        <v>45</v>
      </c>
      <c r="K100">
        <v>0</v>
      </c>
      <c r="N100">
        <v>0</v>
      </c>
      <c r="S100" t="s">
        <v>1801</v>
      </c>
    </row>
    <row r="101" spans="1:21" x14ac:dyDescent="0.25">
      <c r="A101" t="s">
        <v>564</v>
      </c>
      <c r="B101" t="s">
        <v>28</v>
      </c>
      <c r="C101" t="s">
        <v>1802</v>
      </c>
      <c r="D101" t="s">
        <v>1803</v>
      </c>
      <c r="E101" t="s">
        <v>1559</v>
      </c>
      <c r="F101">
        <v>100</v>
      </c>
      <c r="G101" t="s">
        <v>1804</v>
      </c>
      <c r="H101" t="s">
        <v>1805</v>
      </c>
      <c r="I101">
        <v>50</v>
      </c>
      <c r="K101">
        <v>0</v>
      </c>
      <c r="N101">
        <v>0</v>
      </c>
      <c r="S101" t="s">
        <v>1806</v>
      </c>
    </row>
    <row r="102" spans="1:21" x14ac:dyDescent="0.25">
      <c r="A102" t="s">
        <v>564</v>
      </c>
      <c r="B102" t="s">
        <v>28</v>
      </c>
      <c r="C102" t="s">
        <v>1807</v>
      </c>
      <c r="D102" t="s">
        <v>1808</v>
      </c>
      <c r="E102" t="s">
        <v>1588</v>
      </c>
      <c r="F102">
        <v>101</v>
      </c>
      <c r="G102" t="s">
        <v>1809</v>
      </c>
      <c r="H102" t="s">
        <v>1810</v>
      </c>
      <c r="I102">
        <v>55</v>
      </c>
      <c r="K102">
        <v>0</v>
      </c>
      <c r="N102">
        <v>0</v>
      </c>
      <c r="S102" t="s">
        <v>1811</v>
      </c>
    </row>
    <row r="103" spans="1:21" x14ac:dyDescent="0.25">
      <c r="A103" t="s">
        <v>564</v>
      </c>
      <c r="B103" t="s">
        <v>28</v>
      </c>
      <c r="C103" t="s">
        <v>1812</v>
      </c>
      <c r="D103" t="s">
        <v>1813</v>
      </c>
      <c r="E103" t="s">
        <v>1671</v>
      </c>
      <c r="F103">
        <v>102</v>
      </c>
      <c r="G103" t="s">
        <v>1395</v>
      </c>
      <c r="H103" t="s">
        <v>1814</v>
      </c>
      <c r="I103">
        <v>72</v>
      </c>
      <c r="K103">
        <v>0</v>
      </c>
      <c r="N103">
        <v>0</v>
      </c>
      <c r="S103" t="s">
        <v>1815</v>
      </c>
    </row>
    <row r="104" spans="1:21" x14ac:dyDescent="0.25">
      <c r="A104" t="s">
        <v>564</v>
      </c>
      <c r="B104" t="s">
        <v>28</v>
      </c>
      <c r="C104" t="s">
        <v>1816</v>
      </c>
      <c r="D104" t="s">
        <v>1817</v>
      </c>
      <c r="E104" t="s">
        <v>1638</v>
      </c>
      <c r="F104">
        <v>103</v>
      </c>
      <c r="G104" t="s">
        <v>1818</v>
      </c>
      <c r="H104" t="s">
        <v>1819</v>
      </c>
      <c r="I104">
        <v>65</v>
      </c>
      <c r="K104">
        <v>0</v>
      </c>
      <c r="N104">
        <v>0</v>
      </c>
      <c r="S104" t="s">
        <v>1820</v>
      </c>
    </row>
    <row r="105" spans="1:21" hidden="1" x14ac:dyDescent="0.25">
      <c r="A105" t="s">
        <v>564</v>
      </c>
      <c r="B105" t="s">
        <v>30</v>
      </c>
      <c r="C105" t="s">
        <v>1821</v>
      </c>
      <c r="D105" t="s">
        <v>1822</v>
      </c>
      <c r="E105" t="s">
        <v>1823</v>
      </c>
      <c r="F105">
        <v>1</v>
      </c>
      <c r="G105" t="s">
        <v>1824</v>
      </c>
      <c r="H105" t="s">
        <v>1825</v>
      </c>
      <c r="I105">
        <v>3</v>
      </c>
      <c r="J105">
        <v>1061517</v>
      </c>
      <c r="K105">
        <v>1241132</v>
      </c>
      <c r="L105">
        <v>-0.14471869504259699</v>
      </c>
      <c r="M105">
        <v>4032</v>
      </c>
      <c r="N105">
        <v>4371</v>
      </c>
      <c r="O105">
        <v>-7.7556623198352784E-2</v>
      </c>
      <c r="P105">
        <v>263</v>
      </c>
      <c r="Q105">
        <v>284</v>
      </c>
      <c r="R105">
        <v>-7.2808882944243952E-2</v>
      </c>
      <c r="S105" t="s">
        <v>1826</v>
      </c>
    </row>
    <row r="106" spans="1:21" hidden="1" x14ac:dyDescent="0.25">
      <c r="A106" t="s">
        <v>564</v>
      </c>
      <c r="B106" t="s">
        <v>30</v>
      </c>
      <c r="C106" t="s">
        <v>1827</v>
      </c>
      <c r="D106" t="s">
        <v>1828</v>
      </c>
      <c r="E106" t="s">
        <v>1829</v>
      </c>
      <c r="F106">
        <v>2</v>
      </c>
      <c r="G106" t="s">
        <v>1830</v>
      </c>
      <c r="H106" t="s">
        <v>1831</v>
      </c>
      <c r="I106">
        <v>9</v>
      </c>
      <c r="J106">
        <v>575082</v>
      </c>
      <c r="K106">
        <v>476263</v>
      </c>
      <c r="L106">
        <v>0.2074897973817173</v>
      </c>
      <c r="M106">
        <v>1244</v>
      </c>
      <c r="N106">
        <v>1178</v>
      </c>
      <c r="O106">
        <v>5.60271646859083E-2</v>
      </c>
      <c r="P106">
        <v>462</v>
      </c>
      <c r="Q106">
        <v>404</v>
      </c>
      <c r="R106">
        <v>0.14342683385503449</v>
      </c>
      <c r="S106" s="195" t="s">
        <v>1832</v>
      </c>
      <c r="U106">
        <v>100</v>
      </c>
    </row>
    <row r="107" spans="1:21" hidden="1" x14ac:dyDescent="0.25">
      <c r="A107" t="s">
        <v>564</v>
      </c>
      <c r="B107" t="s">
        <v>30</v>
      </c>
      <c r="C107" t="s">
        <v>1823</v>
      </c>
      <c r="D107" t="s">
        <v>1833</v>
      </c>
      <c r="E107" t="s">
        <v>1821</v>
      </c>
      <c r="F107">
        <v>3</v>
      </c>
      <c r="G107" t="s">
        <v>1834</v>
      </c>
      <c r="H107" t="s">
        <v>1835</v>
      </c>
      <c r="I107">
        <v>1</v>
      </c>
      <c r="J107">
        <v>446023</v>
      </c>
      <c r="K107">
        <v>1580699</v>
      </c>
      <c r="L107">
        <v>-0.71783198123023062</v>
      </c>
      <c r="M107">
        <v>676</v>
      </c>
      <c r="N107">
        <v>2716</v>
      </c>
      <c r="O107">
        <v>-0.75110456553755522</v>
      </c>
      <c r="P107">
        <v>660</v>
      </c>
      <c r="Q107">
        <v>582</v>
      </c>
      <c r="R107">
        <v>0.13368097482055269</v>
      </c>
      <c r="S107" t="s">
        <v>1836</v>
      </c>
      <c r="U107">
        <v>150</v>
      </c>
    </row>
    <row r="108" spans="1:21" hidden="1" x14ac:dyDescent="0.25">
      <c r="A108" t="s">
        <v>564</v>
      </c>
      <c r="B108" t="s">
        <v>30</v>
      </c>
      <c r="C108" t="s">
        <v>1837</v>
      </c>
      <c r="D108" t="s">
        <v>1838</v>
      </c>
      <c r="E108" t="s">
        <v>1839</v>
      </c>
      <c r="F108">
        <v>4</v>
      </c>
      <c r="G108" t="s">
        <v>1840</v>
      </c>
      <c r="H108" t="s">
        <v>1841</v>
      </c>
      <c r="I108">
        <v>6</v>
      </c>
      <c r="J108">
        <v>324356</v>
      </c>
      <c r="K108">
        <v>699320</v>
      </c>
      <c r="L108">
        <v>-0.53618330518241086</v>
      </c>
      <c r="M108">
        <v>686</v>
      </c>
      <c r="N108">
        <v>1662</v>
      </c>
      <c r="O108">
        <v>-0.58724428399518647</v>
      </c>
      <c r="P108">
        <v>473</v>
      </c>
      <c r="Q108">
        <v>421</v>
      </c>
      <c r="R108">
        <v>0.123707502604713</v>
      </c>
      <c r="S108" t="s">
        <v>1842</v>
      </c>
      <c r="U108">
        <v>100</v>
      </c>
    </row>
    <row r="109" spans="1:21" hidden="1" x14ac:dyDescent="0.25">
      <c r="A109" t="s">
        <v>564</v>
      </c>
      <c r="B109" t="s">
        <v>30</v>
      </c>
      <c r="C109" t="s">
        <v>1843</v>
      </c>
      <c r="D109" t="s">
        <v>1844</v>
      </c>
      <c r="E109" t="s">
        <v>1845</v>
      </c>
      <c r="F109">
        <v>5</v>
      </c>
      <c r="G109" t="s">
        <v>1846</v>
      </c>
      <c r="H109" t="s">
        <v>1847</v>
      </c>
      <c r="I109">
        <v>8</v>
      </c>
      <c r="J109">
        <v>285895</v>
      </c>
      <c r="K109">
        <v>535548</v>
      </c>
      <c r="L109">
        <v>-0.46616314728543162</v>
      </c>
      <c r="M109">
        <v>1035</v>
      </c>
      <c r="N109">
        <v>1829</v>
      </c>
      <c r="O109">
        <v>-0.43411700382722801</v>
      </c>
      <c r="P109">
        <v>276</v>
      </c>
      <c r="Q109">
        <v>293</v>
      </c>
      <c r="R109">
        <v>-5.6630334671550063E-2</v>
      </c>
      <c r="S109" t="s">
        <v>1848</v>
      </c>
      <c r="U109">
        <v>50</v>
      </c>
    </row>
    <row r="110" spans="1:21" hidden="1" x14ac:dyDescent="0.25">
      <c r="A110" t="s">
        <v>564</v>
      </c>
      <c r="B110" t="s">
        <v>30</v>
      </c>
      <c r="C110" t="s">
        <v>1839</v>
      </c>
      <c r="D110" t="s">
        <v>1849</v>
      </c>
      <c r="E110" t="s">
        <v>30</v>
      </c>
      <c r="F110">
        <v>6</v>
      </c>
      <c r="G110" t="s">
        <v>1850</v>
      </c>
      <c r="H110" t="s">
        <v>1851</v>
      </c>
      <c r="J110">
        <v>278496</v>
      </c>
      <c r="M110">
        <v>1612</v>
      </c>
      <c r="P110">
        <v>173</v>
      </c>
      <c r="S110" t="s">
        <v>1852</v>
      </c>
      <c r="U110">
        <v>30</v>
      </c>
    </row>
    <row r="111" spans="1:21" hidden="1" x14ac:dyDescent="0.25">
      <c r="A111" t="s">
        <v>564</v>
      </c>
      <c r="B111" t="s">
        <v>30</v>
      </c>
      <c r="C111" t="s">
        <v>1853</v>
      </c>
      <c r="D111" t="s">
        <v>1854</v>
      </c>
      <c r="E111" t="s">
        <v>1853</v>
      </c>
      <c r="F111">
        <v>7</v>
      </c>
      <c r="G111" t="s">
        <v>1855</v>
      </c>
      <c r="H111" t="s">
        <v>1856</v>
      </c>
      <c r="I111">
        <v>7</v>
      </c>
      <c r="J111">
        <v>275964</v>
      </c>
      <c r="K111">
        <v>561282</v>
      </c>
      <c r="L111">
        <v>-0.50833342479065424</v>
      </c>
      <c r="M111">
        <v>367</v>
      </c>
      <c r="N111">
        <v>824</v>
      </c>
      <c r="O111">
        <v>-0.55461165048543692</v>
      </c>
      <c r="P111">
        <v>752</v>
      </c>
      <c r="Q111">
        <v>681</v>
      </c>
      <c r="R111">
        <v>0.1039053350749345</v>
      </c>
      <c r="S111" t="s">
        <v>1857</v>
      </c>
      <c r="U111">
        <v>150</v>
      </c>
    </row>
    <row r="112" spans="1:21" hidden="1" x14ac:dyDescent="0.25">
      <c r="A112" t="s">
        <v>564</v>
      </c>
      <c r="B112" t="s">
        <v>30</v>
      </c>
      <c r="C112" t="s">
        <v>1845</v>
      </c>
      <c r="D112" t="s">
        <v>1858</v>
      </c>
      <c r="E112" t="s">
        <v>1859</v>
      </c>
      <c r="F112">
        <v>8</v>
      </c>
      <c r="G112" t="s">
        <v>1860</v>
      </c>
      <c r="H112" t="s">
        <v>1861</v>
      </c>
      <c r="I112">
        <v>10</v>
      </c>
      <c r="J112">
        <v>186486</v>
      </c>
      <c r="K112">
        <v>362127</v>
      </c>
      <c r="L112">
        <v>-0.48502471069782888</v>
      </c>
      <c r="M112">
        <v>1469</v>
      </c>
      <c r="N112">
        <v>2601</v>
      </c>
      <c r="O112">
        <v>-0.43521722414455982</v>
      </c>
      <c r="P112">
        <v>127</v>
      </c>
      <c r="Q112">
        <v>139</v>
      </c>
      <c r="R112">
        <v>-8.818874916613556E-2</v>
      </c>
      <c r="S112" t="s">
        <v>1862</v>
      </c>
      <c r="U112">
        <v>10</v>
      </c>
    </row>
    <row r="113" spans="1:21" hidden="1" x14ac:dyDescent="0.25">
      <c r="A113" t="s">
        <v>564</v>
      </c>
      <c r="B113" t="s">
        <v>30</v>
      </c>
      <c r="C113" t="s">
        <v>1829</v>
      </c>
      <c r="D113" t="s">
        <v>1863</v>
      </c>
      <c r="E113" t="s">
        <v>1864</v>
      </c>
      <c r="F113">
        <v>9</v>
      </c>
      <c r="G113" t="s">
        <v>1865</v>
      </c>
      <c r="H113" t="s">
        <v>1866</v>
      </c>
      <c r="I113">
        <v>11</v>
      </c>
      <c r="J113">
        <v>155087</v>
      </c>
      <c r="K113">
        <v>292179</v>
      </c>
      <c r="L113">
        <v>-0.46920634268718842</v>
      </c>
      <c r="M113">
        <v>918</v>
      </c>
      <c r="N113">
        <v>1802</v>
      </c>
      <c r="O113">
        <v>-0.49056603773584911</v>
      </c>
      <c r="P113">
        <v>169</v>
      </c>
      <c r="Q113">
        <v>162</v>
      </c>
      <c r="R113">
        <v>4.192829028070439E-2</v>
      </c>
      <c r="S113" t="s">
        <v>1867</v>
      </c>
      <c r="U113">
        <v>30</v>
      </c>
    </row>
    <row r="114" spans="1:21" hidden="1" x14ac:dyDescent="0.25">
      <c r="A114" t="s">
        <v>564</v>
      </c>
      <c r="B114" t="s">
        <v>30</v>
      </c>
      <c r="C114" t="s">
        <v>1859</v>
      </c>
      <c r="D114" t="s">
        <v>1868</v>
      </c>
      <c r="E114" t="s">
        <v>30</v>
      </c>
      <c r="F114">
        <v>10</v>
      </c>
      <c r="G114" t="s">
        <v>1869</v>
      </c>
      <c r="H114" t="s">
        <v>1870</v>
      </c>
      <c r="J114">
        <v>154725</v>
      </c>
      <c r="M114">
        <v>197</v>
      </c>
      <c r="P114">
        <v>785</v>
      </c>
      <c r="S114" t="s">
        <v>1871</v>
      </c>
      <c r="U114">
        <v>150</v>
      </c>
    </row>
    <row r="115" spans="1:21" hidden="1" x14ac:dyDescent="0.25">
      <c r="A115" t="s">
        <v>564</v>
      </c>
      <c r="B115" t="s">
        <v>30</v>
      </c>
      <c r="C115" t="s">
        <v>1864</v>
      </c>
      <c r="D115" t="s">
        <v>1872</v>
      </c>
      <c r="E115" t="s">
        <v>1873</v>
      </c>
      <c r="F115">
        <v>11</v>
      </c>
      <c r="G115" t="s">
        <v>1874</v>
      </c>
      <c r="H115" t="s">
        <v>1875</v>
      </c>
      <c r="I115">
        <v>12</v>
      </c>
      <c r="J115">
        <v>148742</v>
      </c>
      <c r="K115">
        <v>269035</v>
      </c>
      <c r="L115">
        <v>-0.44712720000398459</v>
      </c>
      <c r="M115">
        <v>819</v>
      </c>
      <c r="N115">
        <v>1305</v>
      </c>
      <c r="O115">
        <v>-0.3724137931034483</v>
      </c>
      <c r="P115">
        <v>182</v>
      </c>
      <c r="Q115">
        <v>206</v>
      </c>
      <c r="R115">
        <v>-0.11904883517118429</v>
      </c>
      <c r="S115" t="s">
        <v>1876</v>
      </c>
      <c r="U115">
        <v>10</v>
      </c>
    </row>
    <row r="116" spans="1:21" hidden="1" x14ac:dyDescent="0.25">
      <c r="A116" t="s">
        <v>564</v>
      </c>
      <c r="B116" t="s">
        <v>30</v>
      </c>
      <c r="C116" t="s">
        <v>1873</v>
      </c>
      <c r="D116" t="s">
        <v>1877</v>
      </c>
      <c r="E116" t="s">
        <v>1878</v>
      </c>
      <c r="F116">
        <v>12</v>
      </c>
      <c r="G116" t="s">
        <v>1879</v>
      </c>
      <c r="H116" t="s">
        <v>1880</v>
      </c>
      <c r="I116">
        <v>14</v>
      </c>
      <c r="J116">
        <v>85268</v>
      </c>
      <c r="K116">
        <v>217759</v>
      </c>
      <c r="L116">
        <v>-0.60842905363827171</v>
      </c>
      <c r="M116">
        <v>297</v>
      </c>
      <c r="N116">
        <v>826</v>
      </c>
      <c r="O116">
        <v>-0.64043583535108961</v>
      </c>
      <c r="P116">
        <v>287</v>
      </c>
      <c r="Q116">
        <v>264</v>
      </c>
      <c r="R116">
        <v>8.9015493921843797E-2</v>
      </c>
      <c r="S116" t="s">
        <v>1881</v>
      </c>
    </row>
    <row r="117" spans="1:21" hidden="1" x14ac:dyDescent="0.25">
      <c r="A117" t="s">
        <v>564</v>
      </c>
      <c r="B117" t="s">
        <v>30</v>
      </c>
      <c r="C117" t="s">
        <v>1882</v>
      </c>
      <c r="D117" t="s">
        <v>1883</v>
      </c>
      <c r="E117" t="s">
        <v>30</v>
      </c>
      <c r="F117">
        <v>13</v>
      </c>
      <c r="G117" t="s">
        <v>1884</v>
      </c>
      <c r="H117" t="s">
        <v>1885</v>
      </c>
      <c r="J117">
        <v>84202</v>
      </c>
      <c r="M117">
        <v>137</v>
      </c>
      <c r="P117">
        <v>615</v>
      </c>
      <c r="S117" t="s">
        <v>1886</v>
      </c>
    </row>
    <row r="118" spans="1:21" hidden="1" x14ac:dyDescent="0.25">
      <c r="A118" t="s">
        <v>564</v>
      </c>
      <c r="B118" t="s">
        <v>30</v>
      </c>
      <c r="C118" t="s">
        <v>1878</v>
      </c>
      <c r="D118" t="s">
        <v>1887</v>
      </c>
      <c r="E118" t="s">
        <v>1888</v>
      </c>
      <c r="F118">
        <v>14</v>
      </c>
      <c r="G118" t="s">
        <v>1889</v>
      </c>
      <c r="H118" t="s">
        <v>1890</v>
      </c>
      <c r="I118">
        <v>18</v>
      </c>
      <c r="J118">
        <v>80560</v>
      </c>
      <c r="K118">
        <v>156055</v>
      </c>
      <c r="L118">
        <v>-0.48376767057585351</v>
      </c>
      <c r="M118">
        <v>86</v>
      </c>
      <c r="N118">
        <v>175</v>
      </c>
      <c r="O118">
        <v>-0.50857142857142856</v>
      </c>
      <c r="P118">
        <v>937</v>
      </c>
      <c r="Q118">
        <v>892</v>
      </c>
      <c r="R118">
        <v>5.0472763363088799E-2</v>
      </c>
      <c r="S118" t="s">
        <v>1891</v>
      </c>
    </row>
    <row r="119" spans="1:21" hidden="1" x14ac:dyDescent="0.25">
      <c r="A119" t="s">
        <v>564</v>
      </c>
      <c r="B119" t="s">
        <v>30</v>
      </c>
      <c r="C119" t="s">
        <v>1892</v>
      </c>
      <c r="D119" t="s">
        <v>1893</v>
      </c>
      <c r="E119" t="s">
        <v>1894</v>
      </c>
      <c r="F119">
        <v>15</v>
      </c>
      <c r="G119" t="s">
        <v>1895</v>
      </c>
      <c r="H119" t="s">
        <v>1896</v>
      </c>
      <c r="I119">
        <v>19</v>
      </c>
      <c r="J119">
        <v>79325</v>
      </c>
      <c r="K119">
        <v>144367</v>
      </c>
      <c r="L119">
        <v>-0.45053190520347153</v>
      </c>
      <c r="M119">
        <v>118</v>
      </c>
      <c r="N119">
        <v>246</v>
      </c>
      <c r="O119">
        <v>-0.52032520325203258</v>
      </c>
      <c r="P119">
        <v>672</v>
      </c>
      <c r="Q119">
        <v>587</v>
      </c>
      <c r="R119">
        <v>0.1455012823724238</v>
      </c>
      <c r="S119" t="s">
        <v>1897</v>
      </c>
    </row>
    <row r="120" spans="1:21" hidden="1" x14ac:dyDescent="0.25">
      <c r="A120" t="s">
        <v>564</v>
      </c>
      <c r="B120" t="s">
        <v>30</v>
      </c>
      <c r="C120" t="s">
        <v>1898</v>
      </c>
      <c r="D120" t="s">
        <v>1899</v>
      </c>
      <c r="E120" t="s">
        <v>1898</v>
      </c>
      <c r="F120">
        <v>16</v>
      </c>
      <c r="G120" t="s">
        <v>1900</v>
      </c>
      <c r="H120" t="s">
        <v>1901</v>
      </c>
      <c r="I120">
        <v>16</v>
      </c>
      <c r="J120">
        <v>69865</v>
      </c>
      <c r="K120">
        <v>176747</v>
      </c>
      <c r="L120">
        <v>-0.60471631425966577</v>
      </c>
      <c r="M120">
        <v>512</v>
      </c>
      <c r="N120">
        <v>905</v>
      </c>
      <c r="O120">
        <v>-0.43425414364640891</v>
      </c>
      <c r="P120">
        <v>136</v>
      </c>
      <c r="Q120">
        <v>195</v>
      </c>
      <c r="R120">
        <v>-0.30130520391601079</v>
      </c>
      <c r="S120" t="s">
        <v>1902</v>
      </c>
    </row>
    <row r="121" spans="1:21" hidden="1" x14ac:dyDescent="0.25">
      <c r="A121" t="s">
        <v>564</v>
      </c>
      <c r="B121" t="s">
        <v>30</v>
      </c>
      <c r="C121" t="s">
        <v>1903</v>
      </c>
      <c r="D121" t="s">
        <v>1904</v>
      </c>
      <c r="E121" t="s">
        <v>1905</v>
      </c>
      <c r="F121">
        <v>17</v>
      </c>
      <c r="G121" t="s">
        <v>1906</v>
      </c>
      <c r="H121" t="s">
        <v>1907</v>
      </c>
      <c r="I121">
        <v>33</v>
      </c>
      <c r="J121">
        <v>67182</v>
      </c>
      <c r="K121">
        <v>86114</v>
      </c>
      <c r="L121">
        <v>-0.21984878610601</v>
      </c>
      <c r="M121">
        <v>125</v>
      </c>
      <c r="N121">
        <v>182</v>
      </c>
      <c r="O121">
        <v>-0.31318681318681318</v>
      </c>
      <c r="P121">
        <v>537</v>
      </c>
      <c r="Q121">
        <v>473</v>
      </c>
      <c r="R121">
        <v>0.1359001674296495</v>
      </c>
      <c r="S121" t="s">
        <v>1908</v>
      </c>
    </row>
    <row r="122" spans="1:21" hidden="1" x14ac:dyDescent="0.25">
      <c r="A122" t="s">
        <v>564</v>
      </c>
      <c r="B122" t="s">
        <v>30</v>
      </c>
      <c r="C122" t="s">
        <v>1888</v>
      </c>
      <c r="D122" t="s">
        <v>1909</v>
      </c>
      <c r="E122" t="s">
        <v>1903</v>
      </c>
      <c r="F122">
        <v>18</v>
      </c>
      <c r="G122" t="s">
        <v>1910</v>
      </c>
      <c r="H122" t="s">
        <v>1911</v>
      </c>
      <c r="I122">
        <v>17</v>
      </c>
      <c r="J122">
        <v>61546</v>
      </c>
      <c r="K122">
        <v>156102</v>
      </c>
      <c r="L122">
        <v>-0.60573158098483348</v>
      </c>
      <c r="M122">
        <v>649</v>
      </c>
      <c r="N122">
        <v>1152</v>
      </c>
      <c r="O122">
        <v>-0.43663194444444442</v>
      </c>
      <c r="P122">
        <v>95</v>
      </c>
      <c r="Q122">
        <v>136</v>
      </c>
      <c r="R122">
        <v>-0.3001583687126782</v>
      </c>
      <c r="S122" t="s">
        <v>1912</v>
      </c>
    </row>
    <row r="123" spans="1:21" hidden="1" x14ac:dyDescent="0.25">
      <c r="A123" t="s">
        <v>564</v>
      </c>
      <c r="B123" t="s">
        <v>30</v>
      </c>
      <c r="C123" t="s">
        <v>1894</v>
      </c>
      <c r="D123" t="s">
        <v>1913</v>
      </c>
      <c r="E123" t="s">
        <v>1914</v>
      </c>
      <c r="F123">
        <v>19</v>
      </c>
      <c r="G123" t="s">
        <v>1915</v>
      </c>
      <c r="H123" t="s">
        <v>1916</v>
      </c>
      <c r="I123">
        <v>20</v>
      </c>
      <c r="J123">
        <v>60833</v>
      </c>
      <c r="K123">
        <v>143875</v>
      </c>
      <c r="L123">
        <v>-0.5771794834903764</v>
      </c>
      <c r="M123">
        <v>446</v>
      </c>
      <c r="N123">
        <v>885</v>
      </c>
      <c r="O123">
        <v>-0.49604519774011302</v>
      </c>
      <c r="P123">
        <v>136</v>
      </c>
      <c r="Q123">
        <v>163</v>
      </c>
      <c r="R123">
        <v>-0.16099516342821321</v>
      </c>
      <c r="S123" t="s">
        <v>1917</v>
      </c>
    </row>
    <row r="124" spans="1:21" hidden="1" x14ac:dyDescent="0.25">
      <c r="A124" t="s">
        <v>564</v>
      </c>
      <c r="B124" t="s">
        <v>30</v>
      </c>
      <c r="C124" t="s">
        <v>1914</v>
      </c>
      <c r="D124" t="s">
        <v>1918</v>
      </c>
      <c r="E124" t="s">
        <v>1919</v>
      </c>
      <c r="F124">
        <v>20</v>
      </c>
      <c r="G124" t="s">
        <v>1920</v>
      </c>
      <c r="H124" t="s">
        <v>1921</v>
      </c>
      <c r="I124">
        <v>24</v>
      </c>
      <c r="J124">
        <v>58667</v>
      </c>
      <c r="K124">
        <v>130526</v>
      </c>
      <c r="L124">
        <v>-0.5505327906468247</v>
      </c>
      <c r="M124">
        <v>375</v>
      </c>
      <c r="N124">
        <v>873</v>
      </c>
      <c r="O124">
        <v>-0.57044673539518898</v>
      </c>
      <c r="P124">
        <v>156</v>
      </c>
      <c r="Q124">
        <v>150</v>
      </c>
      <c r="R124">
        <v>4.6359663374192131E-2</v>
      </c>
      <c r="S124" t="s">
        <v>1922</v>
      </c>
    </row>
    <row r="125" spans="1:21" hidden="1" x14ac:dyDescent="0.25">
      <c r="A125" t="s">
        <v>564</v>
      </c>
      <c r="B125" t="s">
        <v>30</v>
      </c>
      <c r="C125" t="s">
        <v>1923</v>
      </c>
      <c r="D125" t="s">
        <v>1924</v>
      </c>
      <c r="E125" t="s">
        <v>30</v>
      </c>
      <c r="F125">
        <v>21</v>
      </c>
      <c r="G125" t="s">
        <v>1925</v>
      </c>
      <c r="H125" t="s">
        <v>1926</v>
      </c>
      <c r="J125">
        <v>57748</v>
      </c>
      <c r="M125">
        <v>754</v>
      </c>
      <c r="P125">
        <v>77</v>
      </c>
      <c r="S125" t="s">
        <v>1927</v>
      </c>
    </row>
    <row r="126" spans="1:21" hidden="1" x14ac:dyDescent="0.25">
      <c r="A126" t="s">
        <v>564</v>
      </c>
      <c r="B126" t="s">
        <v>30</v>
      </c>
      <c r="C126" t="s">
        <v>1928</v>
      </c>
      <c r="D126" t="s">
        <v>1929</v>
      </c>
      <c r="E126" t="s">
        <v>1930</v>
      </c>
      <c r="F126">
        <v>22</v>
      </c>
      <c r="G126" t="s">
        <v>1931</v>
      </c>
      <c r="H126" t="s">
        <v>1932</v>
      </c>
      <c r="I126">
        <v>27</v>
      </c>
      <c r="J126">
        <v>56034</v>
      </c>
      <c r="K126">
        <v>104319</v>
      </c>
      <c r="L126">
        <v>-0.4628582504474491</v>
      </c>
      <c r="M126">
        <v>66</v>
      </c>
      <c r="N126">
        <v>135</v>
      </c>
      <c r="O126">
        <v>-0.51111111111111107</v>
      </c>
      <c r="P126">
        <v>849</v>
      </c>
      <c r="Q126">
        <v>773</v>
      </c>
      <c r="R126">
        <v>9.8699033175672315E-2</v>
      </c>
      <c r="S126" t="s">
        <v>1933</v>
      </c>
    </row>
    <row r="127" spans="1:21" hidden="1" x14ac:dyDescent="0.25">
      <c r="A127" t="s">
        <v>564</v>
      </c>
      <c r="B127" t="s">
        <v>30</v>
      </c>
      <c r="C127" t="s">
        <v>1934</v>
      </c>
      <c r="D127" t="s">
        <v>1935</v>
      </c>
      <c r="E127" t="s">
        <v>1837</v>
      </c>
      <c r="F127">
        <v>23</v>
      </c>
      <c r="G127" t="s">
        <v>1936</v>
      </c>
      <c r="H127" t="s">
        <v>1937</v>
      </c>
      <c r="I127">
        <v>4</v>
      </c>
      <c r="J127">
        <v>54635</v>
      </c>
      <c r="K127">
        <v>1203755</v>
      </c>
      <c r="L127">
        <v>-0.95461305210669511</v>
      </c>
      <c r="M127">
        <v>121</v>
      </c>
      <c r="N127">
        <v>2991</v>
      </c>
      <c r="O127">
        <v>-0.95954530257438986</v>
      </c>
      <c r="P127">
        <v>452</v>
      </c>
      <c r="Q127">
        <v>402</v>
      </c>
      <c r="R127">
        <v>0.12192034007334621</v>
      </c>
      <c r="S127" t="s">
        <v>1938</v>
      </c>
    </row>
    <row r="128" spans="1:21" hidden="1" x14ac:dyDescent="0.25">
      <c r="A128" t="s">
        <v>564</v>
      </c>
      <c r="B128" t="s">
        <v>30</v>
      </c>
      <c r="C128" t="s">
        <v>1919</v>
      </c>
      <c r="D128" t="s">
        <v>1939</v>
      </c>
      <c r="E128" t="s">
        <v>1940</v>
      </c>
      <c r="F128">
        <v>24</v>
      </c>
      <c r="G128" t="s">
        <v>1941</v>
      </c>
      <c r="H128" t="s">
        <v>1942</v>
      </c>
      <c r="I128">
        <v>25</v>
      </c>
      <c r="J128">
        <v>52652</v>
      </c>
      <c r="K128">
        <v>128503</v>
      </c>
      <c r="L128">
        <v>-0.59026551799112825</v>
      </c>
      <c r="M128">
        <v>367</v>
      </c>
      <c r="N128">
        <v>523</v>
      </c>
      <c r="O128">
        <v>-0.29827915869980881</v>
      </c>
      <c r="P128">
        <v>143</v>
      </c>
      <c r="Q128">
        <v>246</v>
      </c>
      <c r="R128">
        <v>-0.41610045206910112</v>
      </c>
      <c r="S128" t="s">
        <v>1943</v>
      </c>
    </row>
    <row r="129" spans="1:21" hidden="1" x14ac:dyDescent="0.25">
      <c r="A129" t="s">
        <v>564</v>
      </c>
      <c r="B129" t="s">
        <v>30</v>
      </c>
      <c r="C129" t="s">
        <v>1940</v>
      </c>
      <c r="D129" t="s">
        <v>1944</v>
      </c>
      <c r="E129" t="s">
        <v>1928</v>
      </c>
      <c r="F129">
        <v>25</v>
      </c>
      <c r="G129" t="s">
        <v>1945</v>
      </c>
      <c r="H129" t="s">
        <v>1946</v>
      </c>
      <c r="I129">
        <v>22</v>
      </c>
      <c r="J129">
        <v>51300</v>
      </c>
      <c r="K129">
        <v>135436</v>
      </c>
      <c r="L129">
        <v>-0.62122108998767755</v>
      </c>
      <c r="M129">
        <v>635</v>
      </c>
      <c r="N129">
        <v>1127</v>
      </c>
      <c r="O129">
        <v>-0.43655723158828752</v>
      </c>
      <c r="P129">
        <v>81</v>
      </c>
      <c r="Q129">
        <v>120</v>
      </c>
      <c r="R129">
        <v>-0.32774199750568922</v>
      </c>
      <c r="S129" t="s">
        <v>1947</v>
      </c>
    </row>
    <row r="130" spans="1:21" hidden="1" x14ac:dyDescent="0.25">
      <c r="A130" t="s">
        <v>564</v>
      </c>
      <c r="B130" t="s">
        <v>30</v>
      </c>
      <c r="C130" t="s">
        <v>1948</v>
      </c>
      <c r="D130" t="s">
        <v>1949</v>
      </c>
      <c r="E130" t="s">
        <v>30</v>
      </c>
      <c r="F130">
        <v>26</v>
      </c>
      <c r="G130" t="s">
        <v>1950</v>
      </c>
      <c r="H130" t="s">
        <v>1951</v>
      </c>
      <c r="J130">
        <v>51055</v>
      </c>
      <c r="M130">
        <v>164</v>
      </c>
      <c r="P130">
        <v>311</v>
      </c>
      <c r="S130" t="s">
        <v>1952</v>
      </c>
      <c r="U130">
        <v>40</v>
      </c>
    </row>
    <row r="131" spans="1:21" hidden="1" x14ac:dyDescent="0.25">
      <c r="A131" t="s">
        <v>564</v>
      </c>
      <c r="B131" t="s">
        <v>30</v>
      </c>
      <c r="C131" t="s">
        <v>1930</v>
      </c>
      <c r="D131" t="s">
        <v>1953</v>
      </c>
      <c r="E131" t="s">
        <v>1954</v>
      </c>
      <c r="F131">
        <v>27</v>
      </c>
      <c r="G131" t="s">
        <v>1955</v>
      </c>
      <c r="H131" t="s">
        <v>1956</v>
      </c>
      <c r="I131">
        <v>36</v>
      </c>
      <c r="J131">
        <v>48745</v>
      </c>
      <c r="K131">
        <v>81505</v>
      </c>
      <c r="L131">
        <v>-0.40193838105650531</v>
      </c>
      <c r="M131">
        <v>102</v>
      </c>
      <c r="N131">
        <v>198</v>
      </c>
      <c r="O131">
        <v>-0.48484848484848492</v>
      </c>
      <c r="P131">
        <v>478</v>
      </c>
      <c r="Q131">
        <v>412</v>
      </c>
      <c r="R131">
        <v>0.16094314265501919</v>
      </c>
      <c r="S131" t="s">
        <v>1957</v>
      </c>
    </row>
    <row r="132" spans="1:21" hidden="1" x14ac:dyDescent="0.25">
      <c r="A132" t="s">
        <v>564</v>
      </c>
      <c r="B132" t="s">
        <v>30</v>
      </c>
      <c r="C132" t="s">
        <v>1958</v>
      </c>
      <c r="D132" t="s">
        <v>1959</v>
      </c>
      <c r="E132" t="s">
        <v>30</v>
      </c>
      <c r="F132">
        <v>28</v>
      </c>
      <c r="G132" t="s">
        <v>1960</v>
      </c>
      <c r="H132" t="s">
        <v>1961</v>
      </c>
      <c r="J132">
        <v>42596</v>
      </c>
      <c r="M132">
        <v>90</v>
      </c>
      <c r="P132">
        <v>473</v>
      </c>
      <c r="S132" t="s">
        <v>1962</v>
      </c>
    </row>
    <row r="133" spans="1:21" hidden="1" x14ac:dyDescent="0.25">
      <c r="A133" t="s">
        <v>564</v>
      </c>
      <c r="B133" t="s">
        <v>30</v>
      </c>
      <c r="C133" t="s">
        <v>1963</v>
      </c>
      <c r="D133" t="s">
        <v>1964</v>
      </c>
      <c r="E133" t="s">
        <v>30</v>
      </c>
      <c r="F133">
        <v>29</v>
      </c>
      <c r="G133" t="s">
        <v>1965</v>
      </c>
      <c r="H133" t="s">
        <v>1966</v>
      </c>
      <c r="J133">
        <v>42014</v>
      </c>
      <c r="M133">
        <v>129</v>
      </c>
      <c r="P133">
        <v>326</v>
      </c>
      <c r="S133" t="s">
        <v>1967</v>
      </c>
    </row>
    <row r="134" spans="1:21" hidden="1" x14ac:dyDescent="0.25">
      <c r="A134" t="s">
        <v>564</v>
      </c>
      <c r="B134" t="s">
        <v>30</v>
      </c>
      <c r="C134" t="s">
        <v>1968</v>
      </c>
      <c r="D134" t="s">
        <v>1969</v>
      </c>
      <c r="E134" t="s">
        <v>1968</v>
      </c>
      <c r="F134">
        <v>30</v>
      </c>
      <c r="G134" t="s">
        <v>1970</v>
      </c>
      <c r="H134" t="s">
        <v>1971</v>
      </c>
      <c r="I134">
        <v>30</v>
      </c>
      <c r="J134">
        <v>40904</v>
      </c>
      <c r="K134">
        <v>95987</v>
      </c>
      <c r="L134">
        <v>-0.57386037952309688</v>
      </c>
      <c r="M134">
        <v>370</v>
      </c>
      <c r="N134">
        <v>790</v>
      </c>
      <c r="O134">
        <v>-0.53164556962025311</v>
      </c>
      <c r="P134">
        <v>111</v>
      </c>
      <c r="Q134">
        <v>122</v>
      </c>
      <c r="R134">
        <v>-9.0134323846612144E-2</v>
      </c>
      <c r="S134" t="s">
        <v>1972</v>
      </c>
    </row>
    <row r="135" spans="1:21" hidden="1" x14ac:dyDescent="0.25">
      <c r="A135" t="s">
        <v>564</v>
      </c>
      <c r="B135" t="s">
        <v>30</v>
      </c>
      <c r="C135" t="s">
        <v>1973</v>
      </c>
      <c r="D135" t="s">
        <v>1974</v>
      </c>
      <c r="E135" t="s">
        <v>1892</v>
      </c>
      <c r="F135">
        <v>31</v>
      </c>
      <c r="G135" t="s">
        <v>1975</v>
      </c>
      <c r="H135" t="s">
        <v>1976</v>
      </c>
      <c r="I135">
        <v>15</v>
      </c>
      <c r="J135">
        <v>40859</v>
      </c>
      <c r="K135">
        <v>183355</v>
      </c>
      <c r="L135">
        <v>-0.77716054210424645</v>
      </c>
      <c r="M135">
        <v>443</v>
      </c>
      <c r="N135">
        <v>947</v>
      </c>
      <c r="O135">
        <v>-0.53220696937697998</v>
      </c>
      <c r="P135">
        <v>92</v>
      </c>
      <c r="Q135">
        <v>194</v>
      </c>
      <c r="R135">
        <v>-0.52363664418221534</v>
      </c>
      <c r="S135" t="s">
        <v>1977</v>
      </c>
    </row>
    <row r="136" spans="1:21" hidden="1" x14ac:dyDescent="0.25">
      <c r="A136" t="s">
        <v>564</v>
      </c>
      <c r="B136" t="s">
        <v>30</v>
      </c>
      <c r="C136" t="s">
        <v>1978</v>
      </c>
      <c r="D136" t="s">
        <v>1979</v>
      </c>
      <c r="E136" t="s">
        <v>30</v>
      </c>
      <c r="F136">
        <v>32</v>
      </c>
      <c r="G136" t="s">
        <v>1980</v>
      </c>
      <c r="H136" t="s">
        <v>1981</v>
      </c>
      <c r="J136">
        <v>40485</v>
      </c>
      <c r="M136">
        <v>377</v>
      </c>
      <c r="P136">
        <v>107</v>
      </c>
      <c r="S136" t="s">
        <v>1982</v>
      </c>
    </row>
    <row r="137" spans="1:21" hidden="1" x14ac:dyDescent="0.25">
      <c r="A137" t="s">
        <v>564</v>
      </c>
      <c r="B137" t="s">
        <v>30</v>
      </c>
      <c r="C137" t="s">
        <v>1905</v>
      </c>
      <c r="D137" t="s">
        <v>1983</v>
      </c>
      <c r="E137" t="s">
        <v>1963</v>
      </c>
      <c r="F137">
        <v>33</v>
      </c>
      <c r="G137" t="s">
        <v>1984</v>
      </c>
      <c r="H137" t="s">
        <v>1985</v>
      </c>
      <c r="I137">
        <v>29</v>
      </c>
      <c r="J137">
        <v>39541</v>
      </c>
      <c r="K137">
        <v>102489</v>
      </c>
      <c r="L137">
        <v>-0.61419211112695027</v>
      </c>
      <c r="M137">
        <v>420</v>
      </c>
      <c r="N137">
        <v>901</v>
      </c>
      <c r="O137">
        <v>-0.53385127635960039</v>
      </c>
      <c r="P137">
        <v>94</v>
      </c>
      <c r="Q137">
        <v>114</v>
      </c>
      <c r="R137">
        <v>-0.172350219346148</v>
      </c>
      <c r="S137" t="s">
        <v>1986</v>
      </c>
    </row>
    <row r="138" spans="1:21" hidden="1" x14ac:dyDescent="0.25">
      <c r="A138" t="s">
        <v>564</v>
      </c>
      <c r="B138" t="s">
        <v>30</v>
      </c>
      <c r="C138" t="s">
        <v>1987</v>
      </c>
      <c r="D138" t="s">
        <v>1988</v>
      </c>
      <c r="E138" t="s">
        <v>1958</v>
      </c>
      <c r="F138">
        <v>34</v>
      </c>
      <c r="G138" t="s">
        <v>1989</v>
      </c>
      <c r="H138" t="s">
        <v>1990</v>
      </c>
      <c r="I138">
        <v>28</v>
      </c>
      <c r="J138">
        <v>39454</v>
      </c>
      <c r="K138">
        <v>102917</v>
      </c>
      <c r="L138">
        <v>-0.61663675732683276</v>
      </c>
      <c r="M138">
        <v>567</v>
      </c>
      <c r="N138">
        <v>1348</v>
      </c>
      <c r="O138">
        <v>-0.57937685459940658</v>
      </c>
      <c r="P138">
        <v>70</v>
      </c>
      <c r="Q138">
        <v>76</v>
      </c>
      <c r="R138">
        <v>-8.8582625884604249E-2</v>
      </c>
      <c r="S138" t="s">
        <v>1991</v>
      </c>
      <c r="U138">
        <v>10</v>
      </c>
    </row>
    <row r="139" spans="1:21" hidden="1" x14ac:dyDescent="0.25">
      <c r="A139" t="s">
        <v>564</v>
      </c>
      <c r="B139" t="s">
        <v>30</v>
      </c>
      <c r="C139" t="s">
        <v>1992</v>
      </c>
      <c r="D139" t="s">
        <v>1993</v>
      </c>
      <c r="E139" t="s">
        <v>1843</v>
      </c>
      <c r="F139">
        <v>35</v>
      </c>
      <c r="G139" t="s">
        <v>1994</v>
      </c>
      <c r="H139" t="s">
        <v>1995</v>
      </c>
      <c r="I139">
        <v>5</v>
      </c>
      <c r="J139">
        <v>36721</v>
      </c>
      <c r="K139">
        <v>764692</v>
      </c>
      <c r="L139">
        <v>-0.95197945505609127</v>
      </c>
      <c r="M139">
        <v>47</v>
      </c>
      <c r="N139">
        <v>1171</v>
      </c>
      <c r="O139">
        <v>-0.95986336464560207</v>
      </c>
      <c r="P139">
        <v>781</v>
      </c>
      <c r="Q139">
        <v>653</v>
      </c>
      <c r="R139">
        <v>0.19642676870887371</v>
      </c>
      <c r="S139" t="s">
        <v>1996</v>
      </c>
    </row>
    <row r="140" spans="1:21" hidden="1" x14ac:dyDescent="0.25">
      <c r="A140" t="s">
        <v>564</v>
      </c>
      <c r="B140" t="s">
        <v>30</v>
      </c>
      <c r="C140" t="s">
        <v>1954</v>
      </c>
      <c r="D140" t="s">
        <v>1997</v>
      </c>
      <c r="E140" t="s">
        <v>1998</v>
      </c>
      <c r="F140">
        <v>36</v>
      </c>
      <c r="G140" t="s">
        <v>1999</v>
      </c>
      <c r="H140" t="s">
        <v>2000</v>
      </c>
      <c r="I140">
        <v>37</v>
      </c>
      <c r="J140">
        <v>36655</v>
      </c>
      <c r="K140">
        <v>80301</v>
      </c>
      <c r="L140">
        <v>-0.54353004145267547</v>
      </c>
      <c r="M140">
        <v>374</v>
      </c>
      <c r="N140">
        <v>577</v>
      </c>
      <c r="O140">
        <v>-0.35181975736568449</v>
      </c>
      <c r="P140">
        <v>98</v>
      </c>
      <c r="Q140">
        <v>139</v>
      </c>
      <c r="R140">
        <v>-0.29576693561014372</v>
      </c>
      <c r="S140" t="s">
        <v>2001</v>
      </c>
    </row>
    <row r="141" spans="1:21" hidden="1" x14ac:dyDescent="0.25">
      <c r="A141" t="s">
        <v>564</v>
      </c>
      <c r="B141" t="s">
        <v>30</v>
      </c>
      <c r="C141" t="s">
        <v>1998</v>
      </c>
      <c r="D141" t="s">
        <v>2002</v>
      </c>
      <c r="E141" t="s">
        <v>2003</v>
      </c>
      <c r="F141">
        <v>37</v>
      </c>
      <c r="G141" t="s">
        <v>2004</v>
      </c>
      <c r="H141" t="s">
        <v>2005</v>
      </c>
      <c r="I141">
        <v>38</v>
      </c>
      <c r="J141">
        <v>36517</v>
      </c>
      <c r="K141">
        <v>74676</v>
      </c>
      <c r="L141">
        <v>-0.5109995297011406</v>
      </c>
      <c r="M141">
        <v>374</v>
      </c>
      <c r="N141">
        <v>564</v>
      </c>
      <c r="O141">
        <v>-0.33687943262411352</v>
      </c>
      <c r="P141">
        <v>98</v>
      </c>
      <c r="Q141">
        <v>132</v>
      </c>
      <c r="R141">
        <v>-0.26257683088621198</v>
      </c>
      <c r="S141" t="s">
        <v>2006</v>
      </c>
    </row>
    <row r="142" spans="1:21" hidden="1" x14ac:dyDescent="0.25">
      <c r="A142" t="s">
        <v>564</v>
      </c>
      <c r="B142" t="s">
        <v>30</v>
      </c>
      <c r="C142" t="s">
        <v>2003</v>
      </c>
      <c r="D142" t="s">
        <v>2007</v>
      </c>
      <c r="E142" t="s">
        <v>1948</v>
      </c>
      <c r="F142">
        <v>38</v>
      </c>
      <c r="G142" t="s">
        <v>2008</v>
      </c>
      <c r="H142" t="s">
        <v>2009</v>
      </c>
      <c r="I142">
        <v>26</v>
      </c>
      <c r="J142">
        <v>34575</v>
      </c>
      <c r="K142">
        <v>118420</v>
      </c>
      <c r="L142">
        <v>-0.70803508788522518</v>
      </c>
      <c r="M142">
        <v>443</v>
      </c>
      <c r="N142">
        <v>1105</v>
      </c>
      <c r="O142">
        <v>-0.59909502262443437</v>
      </c>
      <c r="P142">
        <v>78</v>
      </c>
      <c r="Q142">
        <v>107</v>
      </c>
      <c r="R142">
        <v>-0.27173537723064062</v>
      </c>
      <c r="S142" t="s">
        <v>2010</v>
      </c>
    </row>
    <row r="143" spans="1:21" hidden="1" x14ac:dyDescent="0.25">
      <c r="A143" t="s">
        <v>564</v>
      </c>
      <c r="B143" t="s">
        <v>30</v>
      </c>
      <c r="C143" t="s">
        <v>2011</v>
      </c>
      <c r="D143" t="s">
        <v>2012</v>
      </c>
      <c r="E143" t="s">
        <v>1973</v>
      </c>
      <c r="F143">
        <v>39</v>
      </c>
      <c r="G143" t="s">
        <v>2013</v>
      </c>
      <c r="H143" t="s">
        <v>2014</v>
      </c>
      <c r="I143">
        <v>31</v>
      </c>
      <c r="J143">
        <v>31731</v>
      </c>
      <c r="K143">
        <v>95600</v>
      </c>
      <c r="L143">
        <v>-0.66808316432990755</v>
      </c>
      <c r="M143">
        <v>258</v>
      </c>
      <c r="N143">
        <v>667</v>
      </c>
      <c r="O143">
        <v>-0.61319340329835081</v>
      </c>
      <c r="P143">
        <v>123</v>
      </c>
      <c r="Q143">
        <v>143</v>
      </c>
      <c r="R143">
        <v>-0.14190492483739661</v>
      </c>
      <c r="S143" t="s">
        <v>2015</v>
      </c>
    </row>
    <row r="144" spans="1:21" hidden="1" x14ac:dyDescent="0.25">
      <c r="A144" t="s">
        <v>564</v>
      </c>
      <c r="B144" t="s">
        <v>30</v>
      </c>
      <c r="C144" t="s">
        <v>2016</v>
      </c>
      <c r="D144" t="s">
        <v>2017</v>
      </c>
      <c r="E144" t="s">
        <v>2018</v>
      </c>
      <c r="F144">
        <v>40</v>
      </c>
      <c r="G144" t="s">
        <v>2019</v>
      </c>
      <c r="H144" t="s">
        <v>2020</v>
      </c>
      <c r="I144">
        <v>111</v>
      </c>
      <c r="J144">
        <v>31554</v>
      </c>
      <c r="K144">
        <v>2532</v>
      </c>
      <c r="L144">
        <v>11.462085308056871</v>
      </c>
      <c r="M144">
        <v>1</v>
      </c>
      <c r="N144">
        <v>1</v>
      </c>
      <c r="O144">
        <v>0</v>
      </c>
      <c r="P144">
        <v>31554</v>
      </c>
      <c r="Q144">
        <v>2532</v>
      </c>
      <c r="R144">
        <v>11.462085308056871</v>
      </c>
      <c r="S144" t="s">
        <v>2021</v>
      </c>
    </row>
    <row r="145" spans="1:19" hidden="1" x14ac:dyDescent="0.25">
      <c r="A145" t="s">
        <v>564</v>
      </c>
      <c r="B145" t="s">
        <v>30</v>
      </c>
      <c r="C145" t="s">
        <v>2022</v>
      </c>
      <c r="D145" t="s">
        <v>2023</v>
      </c>
      <c r="E145" t="s">
        <v>30</v>
      </c>
      <c r="F145">
        <v>41</v>
      </c>
      <c r="G145" t="s">
        <v>2024</v>
      </c>
      <c r="H145" t="s">
        <v>2025</v>
      </c>
      <c r="J145">
        <v>30918</v>
      </c>
      <c r="M145">
        <v>98</v>
      </c>
      <c r="P145">
        <v>315</v>
      </c>
      <c r="S145" t="s">
        <v>2026</v>
      </c>
    </row>
    <row r="146" spans="1:19" hidden="1" x14ac:dyDescent="0.25">
      <c r="A146" t="s">
        <v>564</v>
      </c>
      <c r="B146" t="s">
        <v>30</v>
      </c>
      <c r="C146" t="s">
        <v>2027</v>
      </c>
      <c r="D146" t="s">
        <v>2028</v>
      </c>
      <c r="E146" t="s">
        <v>30</v>
      </c>
      <c r="F146">
        <v>42</v>
      </c>
      <c r="G146" t="s">
        <v>2029</v>
      </c>
      <c r="H146" t="s">
        <v>2030</v>
      </c>
      <c r="J146">
        <v>30776</v>
      </c>
      <c r="M146">
        <v>117</v>
      </c>
      <c r="P146">
        <v>263</v>
      </c>
      <c r="S146" t="s">
        <v>2031</v>
      </c>
    </row>
    <row r="147" spans="1:19" hidden="1" x14ac:dyDescent="0.25">
      <c r="A147" t="s">
        <v>564</v>
      </c>
      <c r="B147" t="s">
        <v>30</v>
      </c>
      <c r="C147" t="s">
        <v>2032</v>
      </c>
      <c r="D147" t="s">
        <v>2033</v>
      </c>
      <c r="E147" t="s">
        <v>2032</v>
      </c>
      <c r="F147">
        <v>43</v>
      </c>
      <c r="G147" t="s">
        <v>2034</v>
      </c>
      <c r="H147" t="s">
        <v>2035</v>
      </c>
      <c r="I147">
        <v>43</v>
      </c>
      <c r="J147">
        <v>30320</v>
      </c>
      <c r="K147">
        <v>64451</v>
      </c>
      <c r="L147">
        <v>-0.52956282325889181</v>
      </c>
      <c r="M147">
        <v>318</v>
      </c>
      <c r="N147">
        <v>463</v>
      </c>
      <c r="O147">
        <v>-0.31317494600431972</v>
      </c>
      <c r="P147">
        <v>95</v>
      </c>
      <c r="Q147">
        <v>139</v>
      </c>
      <c r="R147">
        <v>-0.31505530556247457</v>
      </c>
      <c r="S147" t="s">
        <v>2036</v>
      </c>
    </row>
    <row r="148" spans="1:19" hidden="1" x14ac:dyDescent="0.25">
      <c r="A148" t="s">
        <v>564</v>
      </c>
      <c r="B148" t="s">
        <v>30</v>
      </c>
      <c r="C148" t="s">
        <v>2037</v>
      </c>
      <c r="D148" t="s">
        <v>2038</v>
      </c>
      <c r="E148" t="s">
        <v>30</v>
      </c>
      <c r="F148">
        <v>44</v>
      </c>
      <c r="G148" t="s">
        <v>1960</v>
      </c>
      <c r="H148" t="s">
        <v>2039</v>
      </c>
      <c r="J148">
        <v>29498</v>
      </c>
      <c r="M148">
        <v>66</v>
      </c>
      <c r="P148">
        <v>447</v>
      </c>
      <c r="S148" t="s">
        <v>2040</v>
      </c>
    </row>
    <row r="149" spans="1:19" hidden="1" x14ac:dyDescent="0.25">
      <c r="A149" t="s">
        <v>564</v>
      </c>
      <c r="B149" t="s">
        <v>30</v>
      </c>
      <c r="C149" t="s">
        <v>2041</v>
      </c>
      <c r="D149" t="s">
        <v>2042</v>
      </c>
      <c r="E149" t="s">
        <v>1992</v>
      </c>
      <c r="F149">
        <v>45</v>
      </c>
      <c r="G149" t="s">
        <v>2043</v>
      </c>
      <c r="H149" t="s">
        <v>2044</v>
      </c>
      <c r="I149">
        <v>35</v>
      </c>
      <c r="J149">
        <v>27082</v>
      </c>
      <c r="K149">
        <v>83211</v>
      </c>
      <c r="L149">
        <v>-0.67454258189445226</v>
      </c>
      <c r="M149">
        <v>282</v>
      </c>
      <c r="N149">
        <v>645</v>
      </c>
      <c r="O149">
        <v>-0.56279069767441858</v>
      </c>
      <c r="P149">
        <v>96</v>
      </c>
      <c r="Q149">
        <v>129</v>
      </c>
      <c r="R149">
        <v>-0.25560271390752382</v>
      </c>
      <c r="S149" t="s">
        <v>2045</v>
      </c>
    </row>
    <row r="150" spans="1:19" hidden="1" x14ac:dyDescent="0.25">
      <c r="A150" t="s">
        <v>564</v>
      </c>
      <c r="B150" t="s">
        <v>30</v>
      </c>
      <c r="C150" t="s">
        <v>2046</v>
      </c>
      <c r="D150" t="s">
        <v>2047</v>
      </c>
      <c r="E150" t="s">
        <v>1978</v>
      </c>
      <c r="F150">
        <v>46</v>
      </c>
      <c r="G150" t="s">
        <v>2048</v>
      </c>
      <c r="H150" t="s">
        <v>2049</v>
      </c>
      <c r="I150">
        <v>32</v>
      </c>
      <c r="J150">
        <v>26941</v>
      </c>
      <c r="K150">
        <v>86153</v>
      </c>
      <c r="L150">
        <v>-0.68729293439307282</v>
      </c>
      <c r="M150">
        <v>340</v>
      </c>
      <c r="N150">
        <v>675</v>
      </c>
      <c r="O150">
        <v>-0.49629629629629629</v>
      </c>
      <c r="P150">
        <v>79</v>
      </c>
      <c r="Q150">
        <v>128</v>
      </c>
      <c r="R150">
        <v>-0.37918450210389448</v>
      </c>
      <c r="S150" t="s">
        <v>2050</v>
      </c>
    </row>
    <row r="151" spans="1:19" hidden="1" x14ac:dyDescent="0.25">
      <c r="A151" t="s">
        <v>564</v>
      </c>
      <c r="B151" t="s">
        <v>30</v>
      </c>
      <c r="C151" t="s">
        <v>2051</v>
      </c>
      <c r="D151" t="s">
        <v>2052</v>
      </c>
      <c r="E151" t="s">
        <v>30</v>
      </c>
      <c r="F151">
        <v>47</v>
      </c>
      <c r="G151" t="s">
        <v>2053</v>
      </c>
      <c r="H151" t="s">
        <v>2054</v>
      </c>
      <c r="J151">
        <v>26642</v>
      </c>
      <c r="M151">
        <v>801</v>
      </c>
      <c r="P151">
        <v>33</v>
      </c>
      <c r="S151" t="s">
        <v>2055</v>
      </c>
    </row>
    <row r="152" spans="1:19" hidden="1" x14ac:dyDescent="0.25">
      <c r="A152" t="s">
        <v>564</v>
      </c>
      <c r="B152" t="s">
        <v>30</v>
      </c>
      <c r="C152" t="s">
        <v>2056</v>
      </c>
      <c r="D152" t="s">
        <v>2057</v>
      </c>
      <c r="E152" t="s">
        <v>2011</v>
      </c>
      <c r="F152">
        <v>48</v>
      </c>
      <c r="G152" t="s">
        <v>2058</v>
      </c>
      <c r="H152" t="s">
        <v>2059</v>
      </c>
      <c r="I152">
        <v>39</v>
      </c>
      <c r="J152">
        <v>25623</v>
      </c>
      <c r="K152">
        <v>73555</v>
      </c>
      <c r="L152">
        <v>-0.65164563873209458</v>
      </c>
      <c r="M152">
        <v>323</v>
      </c>
      <c r="N152">
        <v>805</v>
      </c>
      <c r="O152">
        <v>-0.59875776397515523</v>
      </c>
      <c r="P152">
        <v>79</v>
      </c>
      <c r="Q152">
        <v>91</v>
      </c>
      <c r="R152">
        <v>-0.13181033801652059</v>
      </c>
      <c r="S152" t="s">
        <v>2060</v>
      </c>
    </row>
    <row r="153" spans="1:19" hidden="1" x14ac:dyDescent="0.25">
      <c r="A153" t="s">
        <v>564</v>
      </c>
      <c r="B153" t="s">
        <v>30</v>
      </c>
      <c r="C153" t="s">
        <v>2061</v>
      </c>
      <c r="D153" t="s">
        <v>2062</v>
      </c>
      <c r="E153" t="s">
        <v>1987</v>
      </c>
      <c r="F153">
        <v>49</v>
      </c>
      <c r="G153" t="s">
        <v>2063</v>
      </c>
      <c r="H153" t="s">
        <v>2064</v>
      </c>
      <c r="I153">
        <v>34</v>
      </c>
      <c r="J153">
        <v>25486</v>
      </c>
      <c r="K153">
        <v>84956</v>
      </c>
      <c r="L153">
        <v>-0.70001037012640843</v>
      </c>
      <c r="M153">
        <v>298</v>
      </c>
      <c r="N153">
        <v>723</v>
      </c>
      <c r="O153">
        <v>-0.58782849239280777</v>
      </c>
      <c r="P153">
        <v>86</v>
      </c>
      <c r="Q153">
        <v>118</v>
      </c>
      <c r="R153">
        <v>-0.27217281074293048</v>
      </c>
      <c r="S153" t="s">
        <v>2065</v>
      </c>
    </row>
    <row r="154" spans="1:19" hidden="1" x14ac:dyDescent="0.25">
      <c r="A154" t="s">
        <v>564</v>
      </c>
      <c r="B154" t="s">
        <v>30</v>
      </c>
      <c r="C154" t="s">
        <v>2066</v>
      </c>
      <c r="D154" t="s">
        <v>2067</v>
      </c>
      <c r="E154" t="s">
        <v>30</v>
      </c>
      <c r="F154">
        <v>50</v>
      </c>
      <c r="G154" t="s">
        <v>2068</v>
      </c>
      <c r="H154" t="s">
        <v>2069</v>
      </c>
      <c r="J154">
        <v>25279</v>
      </c>
      <c r="M154">
        <v>777</v>
      </c>
      <c r="P154">
        <v>33</v>
      </c>
      <c r="S154" t="s">
        <v>2070</v>
      </c>
    </row>
    <row r="155" spans="1:19" hidden="1" x14ac:dyDescent="0.25">
      <c r="A155" t="s">
        <v>564</v>
      </c>
      <c r="B155" t="s">
        <v>30</v>
      </c>
      <c r="C155" t="s">
        <v>2071</v>
      </c>
      <c r="D155" t="s">
        <v>2072</v>
      </c>
      <c r="E155" t="s">
        <v>2027</v>
      </c>
      <c r="F155">
        <v>51</v>
      </c>
      <c r="G155" t="s">
        <v>2073</v>
      </c>
      <c r="H155" t="s">
        <v>2074</v>
      </c>
      <c r="I155">
        <v>42</v>
      </c>
      <c r="J155">
        <v>21223</v>
      </c>
      <c r="K155">
        <v>65170</v>
      </c>
      <c r="L155">
        <v>-0.6743421814813263</v>
      </c>
      <c r="M155">
        <v>233</v>
      </c>
      <c r="N155">
        <v>484</v>
      </c>
      <c r="O155">
        <v>-0.51859504132231404</v>
      </c>
      <c r="P155">
        <v>91</v>
      </c>
      <c r="Q155">
        <v>135</v>
      </c>
      <c r="R155">
        <v>-0.32352624822730452</v>
      </c>
      <c r="S155" t="s">
        <v>2075</v>
      </c>
    </row>
    <row r="156" spans="1:19" hidden="1" x14ac:dyDescent="0.25">
      <c r="A156" t="s">
        <v>564</v>
      </c>
      <c r="B156" t="s">
        <v>30</v>
      </c>
      <c r="C156" t="s">
        <v>2076</v>
      </c>
      <c r="D156" t="s">
        <v>2077</v>
      </c>
      <c r="E156" t="s">
        <v>30</v>
      </c>
      <c r="F156">
        <v>52</v>
      </c>
      <c r="G156" t="s">
        <v>1960</v>
      </c>
      <c r="H156" t="s">
        <v>2078</v>
      </c>
      <c r="J156">
        <v>20916</v>
      </c>
      <c r="M156">
        <v>43</v>
      </c>
      <c r="P156">
        <v>486</v>
      </c>
      <c r="S156" t="s">
        <v>2079</v>
      </c>
    </row>
    <row r="157" spans="1:19" hidden="1" x14ac:dyDescent="0.25">
      <c r="A157" t="s">
        <v>564</v>
      </c>
      <c r="B157" t="s">
        <v>30</v>
      </c>
      <c r="C157" t="s">
        <v>2080</v>
      </c>
      <c r="D157" t="s">
        <v>2081</v>
      </c>
      <c r="E157" t="s">
        <v>2022</v>
      </c>
      <c r="F157">
        <v>53</v>
      </c>
      <c r="G157" t="s">
        <v>2082</v>
      </c>
      <c r="H157" t="s">
        <v>2083</v>
      </c>
      <c r="I157">
        <v>41</v>
      </c>
      <c r="J157">
        <v>19455</v>
      </c>
      <c r="K157">
        <v>65179</v>
      </c>
      <c r="L157">
        <v>-0.7015152921538198</v>
      </c>
      <c r="M157">
        <v>239</v>
      </c>
      <c r="N157">
        <v>601</v>
      </c>
      <c r="O157">
        <v>-0.60232945091514145</v>
      </c>
      <c r="P157">
        <v>81</v>
      </c>
      <c r="Q157">
        <v>108</v>
      </c>
      <c r="R157">
        <v>-0.24941711541609091</v>
      </c>
      <c r="S157" t="s">
        <v>2084</v>
      </c>
    </row>
    <row r="158" spans="1:19" hidden="1" x14ac:dyDescent="0.25">
      <c r="A158" t="s">
        <v>564</v>
      </c>
      <c r="B158" t="s">
        <v>30</v>
      </c>
      <c r="C158" t="s">
        <v>2085</v>
      </c>
      <c r="D158" t="s">
        <v>2086</v>
      </c>
      <c r="E158" t="s">
        <v>2087</v>
      </c>
      <c r="F158">
        <v>54</v>
      </c>
      <c r="G158" t="s">
        <v>2088</v>
      </c>
      <c r="H158" t="s">
        <v>2089</v>
      </c>
      <c r="I158">
        <v>57</v>
      </c>
      <c r="J158">
        <v>19256</v>
      </c>
      <c r="K158">
        <v>37659</v>
      </c>
      <c r="L158">
        <v>-0.48868304752729691</v>
      </c>
      <c r="M158">
        <v>261</v>
      </c>
      <c r="N158">
        <v>366</v>
      </c>
      <c r="O158">
        <v>-0.28688524590163927</v>
      </c>
      <c r="P158">
        <v>74</v>
      </c>
      <c r="Q158">
        <v>103</v>
      </c>
      <c r="R158">
        <v>-0.28298082526816348</v>
      </c>
      <c r="S158" t="s">
        <v>2090</v>
      </c>
    </row>
    <row r="159" spans="1:19" hidden="1" x14ac:dyDescent="0.25">
      <c r="A159" t="s">
        <v>564</v>
      </c>
      <c r="B159" t="s">
        <v>30</v>
      </c>
      <c r="C159" t="s">
        <v>2091</v>
      </c>
      <c r="D159" t="s">
        <v>2092</v>
      </c>
      <c r="E159" t="s">
        <v>2071</v>
      </c>
      <c r="F159">
        <v>55</v>
      </c>
      <c r="G159" t="s">
        <v>2093</v>
      </c>
      <c r="H159" t="s">
        <v>2094</v>
      </c>
      <c r="I159">
        <v>51</v>
      </c>
      <c r="J159">
        <v>18627</v>
      </c>
      <c r="K159">
        <v>48886</v>
      </c>
      <c r="L159">
        <v>-0.61895956103156924</v>
      </c>
      <c r="M159">
        <v>187</v>
      </c>
      <c r="N159">
        <v>337</v>
      </c>
      <c r="O159">
        <v>-0.44510385756676563</v>
      </c>
      <c r="P159">
        <v>100</v>
      </c>
      <c r="Q159">
        <v>145</v>
      </c>
      <c r="R159">
        <v>-0.31331215009432528</v>
      </c>
      <c r="S159" t="s">
        <v>2095</v>
      </c>
    </row>
    <row r="160" spans="1:19" hidden="1" x14ac:dyDescent="0.25">
      <c r="A160" t="s">
        <v>564</v>
      </c>
      <c r="B160" t="s">
        <v>30</v>
      </c>
      <c r="C160" t="s">
        <v>2096</v>
      </c>
      <c r="D160" t="s">
        <v>2097</v>
      </c>
      <c r="E160" t="s">
        <v>30</v>
      </c>
      <c r="F160">
        <v>56</v>
      </c>
      <c r="G160" t="s">
        <v>2098</v>
      </c>
      <c r="H160" t="s">
        <v>2099</v>
      </c>
      <c r="J160">
        <v>18132</v>
      </c>
      <c r="M160">
        <v>124</v>
      </c>
      <c r="P160">
        <v>146</v>
      </c>
      <c r="S160" t="s">
        <v>2100</v>
      </c>
    </row>
    <row r="161" spans="1:19" hidden="1" x14ac:dyDescent="0.25">
      <c r="A161" t="s">
        <v>564</v>
      </c>
      <c r="B161" t="s">
        <v>30</v>
      </c>
      <c r="C161" t="s">
        <v>2087</v>
      </c>
      <c r="D161" t="s">
        <v>2101</v>
      </c>
      <c r="E161" t="s">
        <v>2102</v>
      </c>
      <c r="F161">
        <v>57</v>
      </c>
      <c r="G161" t="s">
        <v>2103</v>
      </c>
      <c r="H161" t="s">
        <v>2104</v>
      </c>
      <c r="I161">
        <v>61</v>
      </c>
      <c r="J161">
        <v>18119</v>
      </c>
      <c r="K161">
        <v>25261</v>
      </c>
      <c r="L161">
        <v>-0.28274839112688221</v>
      </c>
      <c r="M161">
        <v>58</v>
      </c>
      <c r="N161">
        <v>80</v>
      </c>
      <c r="O161">
        <v>-0.27500000000000002</v>
      </c>
      <c r="P161">
        <v>312</v>
      </c>
      <c r="Q161">
        <v>316</v>
      </c>
      <c r="R161">
        <v>-1.068743603707885E-2</v>
      </c>
      <c r="S161" t="s">
        <v>2105</v>
      </c>
    </row>
    <row r="162" spans="1:19" hidden="1" x14ac:dyDescent="0.25">
      <c r="A162" t="s">
        <v>564</v>
      </c>
      <c r="B162" t="s">
        <v>30</v>
      </c>
      <c r="C162" t="s">
        <v>2106</v>
      </c>
      <c r="D162" t="s">
        <v>2107</v>
      </c>
      <c r="E162" t="s">
        <v>2066</v>
      </c>
      <c r="F162">
        <v>58</v>
      </c>
      <c r="G162" t="s">
        <v>2108</v>
      </c>
      <c r="H162" t="s">
        <v>2109</v>
      </c>
      <c r="I162">
        <v>50</v>
      </c>
      <c r="J162">
        <v>17436</v>
      </c>
      <c r="K162">
        <v>49596</v>
      </c>
      <c r="L162">
        <v>-0.648431421138155</v>
      </c>
      <c r="M162">
        <v>212</v>
      </c>
      <c r="N162">
        <v>340</v>
      </c>
      <c r="O162">
        <v>-0.37647058823529411</v>
      </c>
      <c r="P162">
        <v>82</v>
      </c>
      <c r="Q162">
        <v>146</v>
      </c>
      <c r="R162">
        <v>-0.43616359993855047</v>
      </c>
      <c r="S162" t="s">
        <v>2110</v>
      </c>
    </row>
    <row r="163" spans="1:19" hidden="1" x14ac:dyDescent="0.25">
      <c r="A163" t="s">
        <v>564</v>
      </c>
      <c r="B163" t="s">
        <v>30</v>
      </c>
      <c r="C163" t="s">
        <v>2111</v>
      </c>
      <c r="D163" t="s">
        <v>2112</v>
      </c>
      <c r="E163" t="s">
        <v>30</v>
      </c>
      <c r="F163">
        <v>59</v>
      </c>
      <c r="G163" t="s">
        <v>2113</v>
      </c>
      <c r="H163" t="s">
        <v>2114</v>
      </c>
      <c r="J163">
        <v>15706</v>
      </c>
      <c r="M163">
        <v>141</v>
      </c>
      <c r="P163">
        <v>111</v>
      </c>
      <c r="S163" t="s">
        <v>2115</v>
      </c>
    </row>
    <row r="164" spans="1:19" hidden="1" x14ac:dyDescent="0.25">
      <c r="A164" t="s">
        <v>564</v>
      </c>
      <c r="B164" t="s">
        <v>30</v>
      </c>
      <c r="C164" t="s">
        <v>2116</v>
      </c>
      <c r="D164" t="s">
        <v>2117</v>
      </c>
      <c r="E164" t="s">
        <v>2096</v>
      </c>
      <c r="F164">
        <v>60</v>
      </c>
      <c r="G164" t="s">
        <v>2118</v>
      </c>
      <c r="H164" t="s">
        <v>2119</v>
      </c>
      <c r="I164">
        <v>56</v>
      </c>
      <c r="J164">
        <v>14585</v>
      </c>
      <c r="K164">
        <v>38087</v>
      </c>
      <c r="L164">
        <v>-0.61706930217867162</v>
      </c>
      <c r="M164">
        <v>183</v>
      </c>
      <c r="N164">
        <v>302</v>
      </c>
      <c r="O164">
        <v>-0.39403973509933782</v>
      </c>
      <c r="P164">
        <v>80</v>
      </c>
      <c r="Q164">
        <v>126</v>
      </c>
      <c r="R164">
        <v>-0.36805972272108639</v>
      </c>
      <c r="S164" t="s">
        <v>2120</v>
      </c>
    </row>
    <row r="165" spans="1:19" hidden="1" x14ac:dyDescent="0.25">
      <c r="A165" t="s">
        <v>564</v>
      </c>
      <c r="B165" t="s">
        <v>30</v>
      </c>
      <c r="C165" t="s">
        <v>2102</v>
      </c>
      <c r="D165" t="s">
        <v>2121</v>
      </c>
      <c r="E165" t="s">
        <v>30</v>
      </c>
      <c r="F165">
        <v>61</v>
      </c>
      <c r="G165" t="s">
        <v>2122</v>
      </c>
      <c r="H165" t="s">
        <v>2123</v>
      </c>
      <c r="J165">
        <v>14162</v>
      </c>
      <c r="M165">
        <v>148</v>
      </c>
      <c r="P165">
        <v>96</v>
      </c>
      <c r="S165" t="s">
        <v>2124</v>
      </c>
    </row>
    <row r="166" spans="1:19" hidden="1" x14ac:dyDescent="0.25">
      <c r="A166" t="s">
        <v>564</v>
      </c>
      <c r="B166" t="s">
        <v>30</v>
      </c>
      <c r="C166" t="s">
        <v>2125</v>
      </c>
      <c r="D166" t="s">
        <v>2126</v>
      </c>
      <c r="E166" t="s">
        <v>2127</v>
      </c>
      <c r="F166">
        <v>62</v>
      </c>
      <c r="G166" t="s">
        <v>2128</v>
      </c>
      <c r="H166" t="s">
        <v>2129</v>
      </c>
      <c r="I166">
        <v>67</v>
      </c>
      <c r="J166">
        <v>13970</v>
      </c>
      <c r="K166">
        <v>16124</v>
      </c>
      <c r="L166">
        <v>-0.13355842809103191</v>
      </c>
      <c r="M166">
        <v>116</v>
      </c>
      <c r="N166">
        <v>143</v>
      </c>
      <c r="O166">
        <v>-0.1888111888111888</v>
      </c>
      <c r="P166">
        <v>120</v>
      </c>
      <c r="Q166">
        <v>113</v>
      </c>
      <c r="R166">
        <v>6.8113317094676204E-2</v>
      </c>
      <c r="S166" t="s">
        <v>2130</v>
      </c>
    </row>
    <row r="167" spans="1:19" hidden="1" x14ac:dyDescent="0.25">
      <c r="A167" t="s">
        <v>564</v>
      </c>
      <c r="B167" t="s">
        <v>30</v>
      </c>
      <c r="C167" t="s">
        <v>2131</v>
      </c>
      <c r="D167" t="s">
        <v>2132</v>
      </c>
      <c r="E167" t="s">
        <v>2046</v>
      </c>
      <c r="F167">
        <v>63</v>
      </c>
      <c r="G167" t="s">
        <v>2133</v>
      </c>
      <c r="H167" t="s">
        <v>2134</v>
      </c>
      <c r="I167">
        <v>46</v>
      </c>
      <c r="J167">
        <v>13138</v>
      </c>
      <c r="K167">
        <v>57428</v>
      </c>
      <c r="L167">
        <v>-0.77122116778826644</v>
      </c>
      <c r="M167">
        <v>213</v>
      </c>
      <c r="N167">
        <v>679</v>
      </c>
      <c r="O167">
        <v>-0.68630338733431517</v>
      </c>
      <c r="P167">
        <v>62</v>
      </c>
      <c r="Q167">
        <v>85</v>
      </c>
      <c r="R167">
        <v>-0.27070034238606988</v>
      </c>
      <c r="S167" t="s">
        <v>2135</v>
      </c>
    </row>
    <row r="168" spans="1:19" hidden="1" x14ac:dyDescent="0.25">
      <c r="A168" t="s">
        <v>564</v>
      </c>
      <c r="B168" t="s">
        <v>30</v>
      </c>
      <c r="C168" t="s">
        <v>2136</v>
      </c>
      <c r="D168" t="s">
        <v>2137</v>
      </c>
      <c r="E168" t="s">
        <v>2106</v>
      </c>
      <c r="F168">
        <v>64</v>
      </c>
      <c r="G168" t="s">
        <v>2138</v>
      </c>
      <c r="H168" t="s">
        <v>2139</v>
      </c>
      <c r="I168">
        <v>58</v>
      </c>
      <c r="J168">
        <v>12247</v>
      </c>
      <c r="K168">
        <v>35085</v>
      </c>
      <c r="L168">
        <v>-0.65092895140676621</v>
      </c>
      <c r="M168">
        <v>177</v>
      </c>
      <c r="N168">
        <v>418</v>
      </c>
      <c r="O168">
        <v>-0.57655502392344493</v>
      </c>
      <c r="P168">
        <v>69</v>
      </c>
      <c r="Q168">
        <v>84</v>
      </c>
      <c r="R168">
        <v>-0.17564012253123329</v>
      </c>
      <c r="S168" t="s">
        <v>2140</v>
      </c>
    </row>
    <row r="169" spans="1:19" hidden="1" x14ac:dyDescent="0.25">
      <c r="A169" t="s">
        <v>564</v>
      </c>
      <c r="B169" t="s">
        <v>30</v>
      </c>
      <c r="C169" t="s">
        <v>2141</v>
      </c>
      <c r="D169" t="s">
        <v>2142</v>
      </c>
      <c r="E169" t="s">
        <v>2125</v>
      </c>
      <c r="F169">
        <v>65</v>
      </c>
      <c r="G169" t="s">
        <v>2143</v>
      </c>
      <c r="H169" t="s">
        <v>2144</v>
      </c>
      <c r="I169">
        <v>62</v>
      </c>
      <c r="J169">
        <v>12189</v>
      </c>
      <c r="K169">
        <v>24811</v>
      </c>
      <c r="L169">
        <v>-0.50872362146870564</v>
      </c>
      <c r="M169">
        <v>98</v>
      </c>
      <c r="N169">
        <v>162</v>
      </c>
      <c r="O169">
        <v>-0.39506172839506171</v>
      </c>
      <c r="P169">
        <v>124</v>
      </c>
      <c r="Q169">
        <v>153</v>
      </c>
      <c r="R169">
        <v>-0.18789006814214609</v>
      </c>
      <c r="S169" t="s">
        <v>2145</v>
      </c>
    </row>
    <row r="170" spans="1:19" hidden="1" x14ac:dyDescent="0.25">
      <c r="A170" t="s">
        <v>564</v>
      </c>
      <c r="B170" t="s">
        <v>30</v>
      </c>
      <c r="C170" t="s">
        <v>2146</v>
      </c>
      <c r="D170" t="s">
        <v>2147</v>
      </c>
      <c r="E170" t="s">
        <v>2148</v>
      </c>
      <c r="F170">
        <v>66</v>
      </c>
      <c r="G170" t="s">
        <v>2149</v>
      </c>
      <c r="H170" t="s">
        <v>2150</v>
      </c>
      <c r="I170">
        <v>79</v>
      </c>
      <c r="J170">
        <v>12045</v>
      </c>
      <c r="K170">
        <v>10181</v>
      </c>
      <c r="L170">
        <v>0.1831497370062421</v>
      </c>
      <c r="M170">
        <v>120</v>
      </c>
      <c r="N170">
        <v>102</v>
      </c>
      <c r="O170">
        <v>0.1764705882352941</v>
      </c>
      <c r="P170">
        <v>100</v>
      </c>
      <c r="Q170">
        <v>100</v>
      </c>
      <c r="R170">
        <v>5.6772764553057959E-3</v>
      </c>
      <c r="S170" t="s">
        <v>2151</v>
      </c>
    </row>
    <row r="171" spans="1:19" hidden="1" x14ac:dyDescent="0.25">
      <c r="A171" t="s">
        <v>564</v>
      </c>
      <c r="B171" t="s">
        <v>30</v>
      </c>
      <c r="C171" t="s">
        <v>2127</v>
      </c>
      <c r="D171" t="s">
        <v>2152</v>
      </c>
      <c r="E171" t="s">
        <v>30</v>
      </c>
      <c r="F171">
        <v>67</v>
      </c>
      <c r="G171" t="s">
        <v>2153</v>
      </c>
      <c r="H171" t="s">
        <v>2154</v>
      </c>
      <c r="J171">
        <v>11321</v>
      </c>
      <c r="M171">
        <v>126</v>
      </c>
      <c r="P171">
        <v>90</v>
      </c>
      <c r="S171" t="s">
        <v>2155</v>
      </c>
    </row>
    <row r="172" spans="1:19" hidden="1" x14ac:dyDescent="0.25">
      <c r="A172" t="s">
        <v>564</v>
      </c>
      <c r="B172" t="s">
        <v>30</v>
      </c>
      <c r="C172" t="s">
        <v>2156</v>
      </c>
      <c r="D172" t="s">
        <v>2157</v>
      </c>
      <c r="E172" t="s">
        <v>2156</v>
      </c>
      <c r="F172">
        <v>68</v>
      </c>
      <c r="G172" t="s">
        <v>2158</v>
      </c>
      <c r="H172" t="s">
        <v>2159</v>
      </c>
      <c r="I172">
        <v>68</v>
      </c>
      <c r="J172">
        <v>11294</v>
      </c>
      <c r="K172">
        <v>15581</v>
      </c>
      <c r="L172">
        <v>-0.2751242542179686</v>
      </c>
      <c r="M172">
        <v>111</v>
      </c>
      <c r="N172">
        <v>149</v>
      </c>
      <c r="O172">
        <v>-0.25503355704697989</v>
      </c>
      <c r="P172">
        <v>102</v>
      </c>
      <c r="Q172">
        <v>105</v>
      </c>
      <c r="R172">
        <v>-2.696859349979568E-2</v>
      </c>
      <c r="S172" t="s">
        <v>2160</v>
      </c>
    </row>
    <row r="173" spans="1:19" hidden="1" x14ac:dyDescent="0.25">
      <c r="A173" t="s">
        <v>564</v>
      </c>
      <c r="B173" t="s">
        <v>30</v>
      </c>
      <c r="C173" t="s">
        <v>2161</v>
      </c>
      <c r="D173" t="s">
        <v>2162</v>
      </c>
      <c r="E173" t="s">
        <v>30</v>
      </c>
      <c r="F173">
        <v>69</v>
      </c>
      <c r="G173" t="s">
        <v>2163</v>
      </c>
      <c r="H173" t="s">
        <v>2164</v>
      </c>
      <c r="J173">
        <v>11262</v>
      </c>
      <c r="M173">
        <v>17</v>
      </c>
      <c r="P173">
        <v>662</v>
      </c>
      <c r="S173" t="s">
        <v>2165</v>
      </c>
    </row>
    <row r="174" spans="1:19" hidden="1" x14ac:dyDescent="0.25">
      <c r="A174" t="s">
        <v>564</v>
      </c>
      <c r="B174" t="s">
        <v>30</v>
      </c>
      <c r="C174" t="s">
        <v>2166</v>
      </c>
      <c r="D174" t="s">
        <v>2167</v>
      </c>
      <c r="E174" t="s">
        <v>30</v>
      </c>
      <c r="F174">
        <v>70</v>
      </c>
      <c r="G174" t="s">
        <v>2168</v>
      </c>
      <c r="H174" t="s">
        <v>2169</v>
      </c>
      <c r="J174">
        <v>10548</v>
      </c>
      <c r="M174">
        <v>324</v>
      </c>
      <c r="P174">
        <v>33</v>
      </c>
      <c r="S174" t="s">
        <v>2170</v>
      </c>
    </row>
    <row r="175" spans="1:19" hidden="1" x14ac:dyDescent="0.25">
      <c r="A175" t="s">
        <v>564</v>
      </c>
      <c r="B175" t="s">
        <v>30</v>
      </c>
      <c r="C175" t="s">
        <v>2171</v>
      </c>
      <c r="D175" t="s">
        <v>2172</v>
      </c>
      <c r="E175" t="s">
        <v>30</v>
      </c>
      <c r="F175">
        <v>71</v>
      </c>
      <c r="G175" t="s">
        <v>2173</v>
      </c>
      <c r="H175" t="s">
        <v>2174</v>
      </c>
      <c r="J175">
        <v>10515</v>
      </c>
      <c r="M175">
        <v>38</v>
      </c>
      <c r="P175">
        <v>277</v>
      </c>
      <c r="S175" t="s">
        <v>2175</v>
      </c>
    </row>
    <row r="176" spans="1:19" hidden="1" x14ac:dyDescent="0.25">
      <c r="A176" t="s">
        <v>564</v>
      </c>
      <c r="B176" t="s">
        <v>30</v>
      </c>
      <c r="C176" t="s">
        <v>2176</v>
      </c>
      <c r="D176" t="s">
        <v>2177</v>
      </c>
      <c r="E176" t="s">
        <v>2178</v>
      </c>
      <c r="F176">
        <v>72</v>
      </c>
      <c r="G176" t="s">
        <v>2179</v>
      </c>
      <c r="H176" t="s">
        <v>2180</v>
      </c>
      <c r="I176">
        <v>99</v>
      </c>
      <c r="J176">
        <v>9226</v>
      </c>
      <c r="K176">
        <v>5258</v>
      </c>
      <c r="L176">
        <v>0.75449770265335925</v>
      </c>
      <c r="M176">
        <v>63</v>
      </c>
      <c r="N176">
        <v>77</v>
      </c>
      <c r="O176">
        <v>-0.1818181818181818</v>
      </c>
      <c r="P176">
        <v>146</v>
      </c>
      <c r="Q176">
        <v>68</v>
      </c>
      <c r="R176">
        <v>1.144386081020772</v>
      </c>
      <c r="S176" t="s">
        <v>2181</v>
      </c>
    </row>
    <row r="177" spans="1:19" hidden="1" x14ac:dyDescent="0.25">
      <c r="A177" t="s">
        <v>564</v>
      </c>
      <c r="B177" t="s">
        <v>30</v>
      </c>
      <c r="C177" t="s">
        <v>2182</v>
      </c>
      <c r="D177" t="s">
        <v>2183</v>
      </c>
      <c r="E177" t="s">
        <v>2161</v>
      </c>
      <c r="F177">
        <v>73</v>
      </c>
      <c r="G177" t="s">
        <v>2184</v>
      </c>
      <c r="H177" t="s">
        <v>2185</v>
      </c>
      <c r="I177">
        <v>69</v>
      </c>
      <c r="J177">
        <v>9169</v>
      </c>
      <c r="K177">
        <v>15113</v>
      </c>
      <c r="L177">
        <v>-0.39332695915119709</v>
      </c>
      <c r="M177">
        <v>91</v>
      </c>
      <c r="N177">
        <v>140</v>
      </c>
      <c r="O177">
        <v>-0.35</v>
      </c>
      <c r="P177">
        <v>101</v>
      </c>
      <c r="Q177">
        <v>108</v>
      </c>
      <c r="R177">
        <v>-6.6656860232610984E-2</v>
      </c>
      <c r="S177" t="s">
        <v>2186</v>
      </c>
    </row>
    <row r="178" spans="1:19" hidden="1" x14ac:dyDescent="0.25">
      <c r="A178" t="s">
        <v>564</v>
      </c>
      <c r="B178" t="s">
        <v>30</v>
      </c>
      <c r="C178" t="s">
        <v>2187</v>
      </c>
      <c r="D178" t="s">
        <v>2188</v>
      </c>
      <c r="E178" t="s">
        <v>2085</v>
      </c>
      <c r="F178">
        <v>74</v>
      </c>
      <c r="G178" t="s">
        <v>2189</v>
      </c>
      <c r="H178" t="s">
        <v>2190</v>
      </c>
      <c r="I178">
        <v>54</v>
      </c>
      <c r="J178">
        <v>9034</v>
      </c>
      <c r="K178">
        <v>40592</v>
      </c>
      <c r="L178">
        <v>-0.77744355864055426</v>
      </c>
      <c r="M178">
        <v>140</v>
      </c>
      <c r="N178">
        <v>550</v>
      </c>
      <c r="O178">
        <v>-0.74545454545454548</v>
      </c>
      <c r="P178">
        <v>65</v>
      </c>
      <c r="Q178">
        <v>74</v>
      </c>
      <c r="R178">
        <v>-0.12567112323074869</v>
      </c>
      <c r="S178" t="s">
        <v>2191</v>
      </c>
    </row>
    <row r="179" spans="1:19" hidden="1" x14ac:dyDescent="0.25">
      <c r="A179" t="s">
        <v>564</v>
      </c>
      <c r="B179" t="s">
        <v>30</v>
      </c>
      <c r="C179" t="s">
        <v>2192</v>
      </c>
      <c r="D179" t="s">
        <v>2193</v>
      </c>
      <c r="E179" t="s">
        <v>2194</v>
      </c>
      <c r="F179">
        <v>75</v>
      </c>
      <c r="G179" t="s">
        <v>2195</v>
      </c>
      <c r="H179" t="s">
        <v>2196</v>
      </c>
      <c r="I179">
        <v>77</v>
      </c>
      <c r="J179">
        <v>8670</v>
      </c>
      <c r="K179">
        <v>11347</v>
      </c>
      <c r="L179">
        <v>-0.2359556403924824</v>
      </c>
      <c r="M179">
        <v>81</v>
      </c>
      <c r="N179">
        <v>101</v>
      </c>
      <c r="O179">
        <v>-0.198019801980198</v>
      </c>
      <c r="P179">
        <v>107</v>
      </c>
      <c r="Q179">
        <v>112</v>
      </c>
      <c r="R179">
        <v>-4.7302712094329923E-2</v>
      </c>
      <c r="S179" t="s">
        <v>2197</v>
      </c>
    </row>
    <row r="180" spans="1:19" hidden="1" x14ac:dyDescent="0.25">
      <c r="A180" t="s">
        <v>564</v>
      </c>
      <c r="B180" t="s">
        <v>30</v>
      </c>
      <c r="C180" t="s">
        <v>2198</v>
      </c>
      <c r="D180" t="s">
        <v>2199</v>
      </c>
      <c r="E180" t="s">
        <v>2200</v>
      </c>
      <c r="F180">
        <v>76</v>
      </c>
      <c r="G180" t="s">
        <v>2201</v>
      </c>
      <c r="H180" t="s">
        <v>2202</v>
      </c>
      <c r="I180">
        <v>86</v>
      </c>
      <c r="J180">
        <v>8669</v>
      </c>
      <c r="K180">
        <v>8524</v>
      </c>
      <c r="L180">
        <v>1.7031515989117299E-2</v>
      </c>
      <c r="M180">
        <v>71</v>
      </c>
      <c r="N180">
        <v>75</v>
      </c>
      <c r="O180">
        <v>-5.3333333333333337E-2</v>
      </c>
      <c r="P180">
        <v>122</v>
      </c>
      <c r="Q180">
        <v>114</v>
      </c>
      <c r="R180">
        <v>7.432906618568727E-2</v>
      </c>
      <c r="S180" t="s">
        <v>2203</v>
      </c>
    </row>
    <row r="181" spans="1:19" hidden="1" x14ac:dyDescent="0.25">
      <c r="A181" t="s">
        <v>564</v>
      </c>
      <c r="B181" t="s">
        <v>30</v>
      </c>
      <c r="C181" t="s">
        <v>2194</v>
      </c>
      <c r="D181" t="s">
        <v>2204</v>
      </c>
      <c r="E181" t="s">
        <v>2205</v>
      </c>
      <c r="F181">
        <v>77</v>
      </c>
      <c r="G181" t="s">
        <v>2206</v>
      </c>
      <c r="H181" t="s">
        <v>2207</v>
      </c>
      <c r="I181">
        <v>106</v>
      </c>
      <c r="J181">
        <v>8508</v>
      </c>
      <c r="K181">
        <v>3988</v>
      </c>
      <c r="L181">
        <v>1.1333164507450491</v>
      </c>
      <c r="M181">
        <v>74</v>
      </c>
      <c r="N181">
        <v>46</v>
      </c>
      <c r="O181">
        <v>0.60869565217391297</v>
      </c>
      <c r="P181">
        <v>115</v>
      </c>
      <c r="Q181">
        <v>87</v>
      </c>
      <c r="R181">
        <v>0.32611563154421952</v>
      </c>
      <c r="S181" t="s">
        <v>2208</v>
      </c>
    </row>
    <row r="182" spans="1:19" hidden="1" x14ac:dyDescent="0.25">
      <c r="A182" t="s">
        <v>564</v>
      </c>
      <c r="B182" t="s">
        <v>30</v>
      </c>
      <c r="C182" t="s">
        <v>2209</v>
      </c>
      <c r="D182" t="s">
        <v>2210</v>
      </c>
      <c r="E182" t="s">
        <v>2198</v>
      </c>
      <c r="F182">
        <v>78</v>
      </c>
      <c r="G182" t="s">
        <v>2211</v>
      </c>
      <c r="H182" t="s">
        <v>2212</v>
      </c>
      <c r="I182">
        <v>76</v>
      </c>
      <c r="J182">
        <v>8503</v>
      </c>
      <c r="K182">
        <v>11835</v>
      </c>
      <c r="L182">
        <v>-0.2815145221554336</v>
      </c>
      <c r="M182">
        <v>81</v>
      </c>
      <c r="N182">
        <v>109</v>
      </c>
      <c r="O182">
        <v>-0.25688073394495409</v>
      </c>
      <c r="P182">
        <v>105</v>
      </c>
      <c r="Q182">
        <v>109</v>
      </c>
      <c r="R182">
        <v>-3.3149171789410667E-2</v>
      </c>
      <c r="S182" t="s">
        <v>2213</v>
      </c>
    </row>
    <row r="183" spans="1:19" hidden="1" x14ac:dyDescent="0.25">
      <c r="A183" t="s">
        <v>564</v>
      </c>
      <c r="B183" t="s">
        <v>30</v>
      </c>
      <c r="C183" t="s">
        <v>2148</v>
      </c>
      <c r="D183" t="s">
        <v>2214</v>
      </c>
      <c r="E183" t="s">
        <v>2209</v>
      </c>
      <c r="F183">
        <v>79</v>
      </c>
      <c r="G183" t="s">
        <v>2215</v>
      </c>
      <c r="H183" t="s">
        <v>2216</v>
      </c>
      <c r="I183">
        <v>78</v>
      </c>
      <c r="J183">
        <v>8452</v>
      </c>
      <c r="K183">
        <v>10396</v>
      </c>
      <c r="L183">
        <v>-0.18699047001570859</v>
      </c>
      <c r="M183">
        <v>90</v>
      </c>
      <c r="N183">
        <v>114</v>
      </c>
      <c r="O183">
        <v>-0.2105263157894737</v>
      </c>
      <c r="P183">
        <v>94</v>
      </c>
      <c r="Q183">
        <v>91</v>
      </c>
      <c r="R183">
        <v>2.9812071313435828E-2</v>
      </c>
      <c r="S183" t="s">
        <v>2217</v>
      </c>
    </row>
    <row r="184" spans="1:19" hidden="1" x14ac:dyDescent="0.25">
      <c r="A184" t="s">
        <v>564</v>
      </c>
      <c r="B184" t="s">
        <v>30</v>
      </c>
      <c r="C184" t="s">
        <v>2218</v>
      </c>
      <c r="D184" t="s">
        <v>2219</v>
      </c>
      <c r="E184" t="s">
        <v>2220</v>
      </c>
      <c r="F184">
        <v>80</v>
      </c>
      <c r="G184" t="s">
        <v>2221</v>
      </c>
      <c r="H184" t="s">
        <v>2222</v>
      </c>
      <c r="I184">
        <v>102</v>
      </c>
      <c r="J184">
        <v>8451</v>
      </c>
      <c r="K184">
        <v>4624</v>
      </c>
      <c r="L184">
        <v>0.82790384815032703</v>
      </c>
      <c r="M184">
        <v>56</v>
      </c>
      <c r="N184">
        <v>62</v>
      </c>
      <c r="O184">
        <v>-9.6774193548387094E-2</v>
      </c>
      <c r="P184">
        <v>151</v>
      </c>
      <c r="Q184">
        <v>75</v>
      </c>
      <c r="R184">
        <v>1.0237506890235759</v>
      </c>
      <c r="S184" t="s">
        <v>2223</v>
      </c>
    </row>
    <row r="185" spans="1:19" hidden="1" x14ac:dyDescent="0.25">
      <c r="A185" t="s">
        <v>564</v>
      </c>
      <c r="B185" t="s">
        <v>30</v>
      </c>
      <c r="C185" t="s">
        <v>2224</v>
      </c>
      <c r="D185" t="s">
        <v>2225</v>
      </c>
      <c r="E185" t="s">
        <v>2187</v>
      </c>
      <c r="F185">
        <v>81</v>
      </c>
      <c r="G185" t="s">
        <v>2226</v>
      </c>
      <c r="H185" t="s">
        <v>2227</v>
      </c>
      <c r="I185">
        <v>74</v>
      </c>
      <c r="J185">
        <v>8185</v>
      </c>
      <c r="K185">
        <v>12392</v>
      </c>
      <c r="L185">
        <v>-0.33947704601449541</v>
      </c>
      <c r="M185">
        <v>84</v>
      </c>
      <c r="N185">
        <v>102</v>
      </c>
      <c r="O185">
        <v>-0.1764705882352941</v>
      </c>
      <c r="P185">
        <v>97</v>
      </c>
      <c r="Q185">
        <v>121</v>
      </c>
      <c r="R185">
        <v>-0.19793641301760151</v>
      </c>
      <c r="S185" t="s">
        <v>2228</v>
      </c>
    </row>
    <row r="186" spans="1:19" hidden="1" x14ac:dyDescent="0.25">
      <c r="A186" t="s">
        <v>564</v>
      </c>
      <c r="B186" t="s">
        <v>30</v>
      </c>
      <c r="C186" t="s">
        <v>2229</v>
      </c>
      <c r="D186" t="s">
        <v>2230</v>
      </c>
      <c r="E186" t="s">
        <v>2231</v>
      </c>
      <c r="F186">
        <v>82</v>
      </c>
      <c r="G186" t="s">
        <v>2232</v>
      </c>
      <c r="H186" t="s">
        <v>2233</v>
      </c>
      <c r="I186">
        <v>97</v>
      </c>
      <c r="J186">
        <v>8176</v>
      </c>
      <c r="K186">
        <v>5941</v>
      </c>
      <c r="L186">
        <v>0.37611951854601028</v>
      </c>
      <c r="M186">
        <v>102</v>
      </c>
      <c r="N186">
        <v>76</v>
      </c>
      <c r="O186">
        <v>0.34210526315789469</v>
      </c>
      <c r="P186">
        <v>80</v>
      </c>
      <c r="Q186">
        <v>78</v>
      </c>
      <c r="R186">
        <v>2.53439549950665E-2</v>
      </c>
      <c r="S186" t="s">
        <v>2234</v>
      </c>
    </row>
    <row r="187" spans="1:19" hidden="1" x14ac:dyDescent="0.25">
      <c r="A187" t="s">
        <v>564</v>
      </c>
      <c r="B187" t="s">
        <v>30</v>
      </c>
      <c r="C187" t="s">
        <v>2235</v>
      </c>
      <c r="D187" t="s">
        <v>2236</v>
      </c>
      <c r="E187" t="s">
        <v>30</v>
      </c>
      <c r="F187">
        <v>83</v>
      </c>
      <c r="G187" t="s">
        <v>2237</v>
      </c>
      <c r="H187" t="s">
        <v>2238</v>
      </c>
      <c r="J187">
        <v>8096</v>
      </c>
      <c r="M187">
        <v>232</v>
      </c>
      <c r="P187">
        <v>35</v>
      </c>
      <c r="S187" t="s">
        <v>2239</v>
      </c>
    </row>
    <row r="188" spans="1:19" hidden="1" x14ac:dyDescent="0.25">
      <c r="A188" t="s">
        <v>564</v>
      </c>
      <c r="B188" t="s">
        <v>30</v>
      </c>
      <c r="C188" t="s">
        <v>2240</v>
      </c>
      <c r="D188" t="s">
        <v>2241</v>
      </c>
      <c r="E188" t="s">
        <v>2192</v>
      </c>
      <c r="F188">
        <v>84</v>
      </c>
      <c r="G188" t="s">
        <v>2242</v>
      </c>
      <c r="H188" t="s">
        <v>2243</v>
      </c>
      <c r="I188">
        <v>75</v>
      </c>
      <c r="J188">
        <v>7802</v>
      </c>
      <c r="K188">
        <v>12106</v>
      </c>
      <c r="L188">
        <v>-0.35554979188848301</v>
      </c>
      <c r="M188">
        <v>69</v>
      </c>
      <c r="N188">
        <v>98</v>
      </c>
      <c r="O188">
        <v>-0.29591836734693883</v>
      </c>
      <c r="P188">
        <v>113</v>
      </c>
      <c r="Q188">
        <v>124</v>
      </c>
      <c r="R188">
        <v>-8.4693907319874334E-2</v>
      </c>
      <c r="S188" t="s">
        <v>2244</v>
      </c>
    </row>
    <row r="189" spans="1:19" hidden="1" x14ac:dyDescent="0.25">
      <c r="A189" t="s">
        <v>564</v>
      </c>
      <c r="B189" t="s">
        <v>30</v>
      </c>
      <c r="C189" t="s">
        <v>2245</v>
      </c>
      <c r="D189" t="s">
        <v>2246</v>
      </c>
      <c r="E189" t="s">
        <v>2247</v>
      </c>
      <c r="F189">
        <v>85</v>
      </c>
      <c r="G189" t="s">
        <v>2248</v>
      </c>
      <c r="H189" t="s">
        <v>2249</v>
      </c>
      <c r="I189">
        <v>100</v>
      </c>
      <c r="J189">
        <v>7765</v>
      </c>
      <c r="K189">
        <v>5232</v>
      </c>
      <c r="L189">
        <v>0.48434107104627339</v>
      </c>
      <c r="M189">
        <v>81</v>
      </c>
      <c r="N189">
        <v>61</v>
      </c>
      <c r="O189">
        <v>0.32786885245901642</v>
      </c>
      <c r="P189">
        <v>96</v>
      </c>
      <c r="Q189">
        <v>86</v>
      </c>
      <c r="R189">
        <v>0.1178371028866997</v>
      </c>
      <c r="S189" t="s">
        <v>2250</v>
      </c>
    </row>
    <row r="190" spans="1:19" hidden="1" x14ac:dyDescent="0.25">
      <c r="A190" t="s">
        <v>564</v>
      </c>
      <c r="B190" t="s">
        <v>30</v>
      </c>
      <c r="C190" t="s">
        <v>2200</v>
      </c>
      <c r="D190" t="s">
        <v>2251</v>
      </c>
      <c r="E190" t="s">
        <v>2176</v>
      </c>
      <c r="F190">
        <v>86</v>
      </c>
      <c r="G190" t="s">
        <v>2252</v>
      </c>
      <c r="H190" t="s">
        <v>2253</v>
      </c>
      <c r="I190">
        <v>72</v>
      </c>
      <c r="J190">
        <v>7398</v>
      </c>
      <c r="K190">
        <v>12958</v>
      </c>
      <c r="L190">
        <v>-0.42905265659920733</v>
      </c>
      <c r="M190">
        <v>84</v>
      </c>
      <c r="N190">
        <v>150</v>
      </c>
      <c r="O190">
        <v>-0.44</v>
      </c>
      <c r="P190">
        <v>88</v>
      </c>
      <c r="Q190">
        <v>86</v>
      </c>
      <c r="R190">
        <v>1.954882750141557E-2</v>
      </c>
      <c r="S190" t="s">
        <v>2254</v>
      </c>
    </row>
    <row r="191" spans="1:19" hidden="1" x14ac:dyDescent="0.25">
      <c r="A191" t="s">
        <v>564</v>
      </c>
      <c r="B191" t="s">
        <v>30</v>
      </c>
      <c r="C191" t="s">
        <v>2255</v>
      </c>
      <c r="D191" t="s">
        <v>2256</v>
      </c>
      <c r="E191" t="s">
        <v>2257</v>
      </c>
      <c r="F191">
        <v>87</v>
      </c>
      <c r="G191" t="s">
        <v>2258</v>
      </c>
      <c r="H191" t="s">
        <v>2259</v>
      </c>
      <c r="I191">
        <v>91</v>
      </c>
      <c r="J191">
        <v>7309</v>
      </c>
      <c r="K191">
        <v>7452</v>
      </c>
      <c r="L191">
        <v>-1.9230614397397809E-2</v>
      </c>
      <c r="M191">
        <v>66</v>
      </c>
      <c r="N191">
        <v>71</v>
      </c>
      <c r="O191">
        <v>-7.0422535211267609E-2</v>
      </c>
      <c r="P191">
        <v>111</v>
      </c>
      <c r="Q191">
        <v>105</v>
      </c>
      <c r="R191">
        <v>5.5070096633102361E-2</v>
      </c>
      <c r="S191" t="s">
        <v>2260</v>
      </c>
    </row>
    <row r="192" spans="1:19" hidden="1" x14ac:dyDescent="0.25">
      <c r="A192" t="s">
        <v>564</v>
      </c>
      <c r="B192" t="s">
        <v>30</v>
      </c>
      <c r="C192" t="s">
        <v>2261</v>
      </c>
      <c r="D192" t="s">
        <v>2262</v>
      </c>
      <c r="E192" t="s">
        <v>2218</v>
      </c>
      <c r="F192">
        <v>88</v>
      </c>
      <c r="G192" t="s">
        <v>2263</v>
      </c>
      <c r="H192" t="s">
        <v>2264</v>
      </c>
      <c r="I192">
        <v>80</v>
      </c>
      <c r="J192">
        <v>6337</v>
      </c>
      <c r="K192">
        <v>9412</v>
      </c>
      <c r="L192">
        <v>-0.32670342863821328</v>
      </c>
      <c r="M192">
        <v>41</v>
      </c>
      <c r="N192">
        <v>101</v>
      </c>
      <c r="O192">
        <v>-0.59405940594059403</v>
      </c>
      <c r="P192">
        <v>155</v>
      </c>
      <c r="Q192">
        <v>93</v>
      </c>
      <c r="R192">
        <v>0.65860862701318179</v>
      </c>
      <c r="S192" t="s">
        <v>2265</v>
      </c>
    </row>
    <row r="193" spans="1:19" hidden="1" x14ac:dyDescent="0.25">
      <c r="A193" t="s">
        <v>564</v>
      </c>
      <c r="B193" t="s">
        <v>30</v>
      </c>
      <c r="C193" t="s">
        <v>2266</v>
      </c>
      <c r="D193" t="s">
        <v>2267</v>
      </c>
      <c r="E193" t="s">
        <v>2268</v>
      </c>
      <c r="F193">
        <v>89</v>
      </c>
      <c r="G193" t="s">
        <v>2269</v>
      </c>
      <c r="H193" t="s">
        <v>2270</v>
      </c>
      <c r="I193">
        <v>96</v>
      </c>
      <c r="J193">
        <v>6146</v>
      </c>
      <c r="K193">
        <v>6717</v>
      </c>
      <c r="L193">
        <v>-8.4961715343192204E-2</v>
      </c>
      <c r="M193">
        <v>64</v>
      </c>
      <c r="N193">
        <v>69</v>
      </c>
      <c r="O193">
        <v>-7.2463768115942032E-2</v>
      </c>
      <c r="P193">
        <v>96</v>
      </c>
      <c r="Q193">
        <v>97</v>
      </c>
      <c r="R193">
        <v>-1.3474349354379101E-2</v>
      </c>
      <c r="S193" t="s">
        <v>2271</v>
      </c>
    </row>
    <row r="194" spans="1:19" hidden="1" x14ac:dyDescent="0.25">
      <c r="A194" t="s">
        <v>564</v>
      </c>
      <c r="B194" t="s">
        <v>30</v>
      </c>
      <c r="C194" t="s">
        <v>2272</v>
      </c>
      <c r="D194" t="s">
        <v>2273</v>
      </c>
      <c r="E194" t="s">
        <v>2266</v>
      </c>
      <c r="F194">
        <v>90</v>
      </c>
      <c r="G194" t="s">
        <v>2274</v>
      </c>
      <c r="H194" t="s">
        <v>2275</v>
      </c>
      <c r="I194">
        <v>89</v>
      </c>
      <c r="J194">
        <v>6111</v>
      </c>
      <c r="K194">
        <v>7680</v>
      </c>
      <c r="L194">
        <v>-0.20431346659426769</v>
      </c>
      <c r="M194">
        <v>66</v>
      </c>
      <c r="N194">
        <v>92</v>
      </c>
      <c r="O194">
        <v>-0.28260869565217389</v>
      </c>
      <c r="P194">
        <v>93</v>
      </c>
      <c r="Q194">
        <v>83</v>
      </c>
      <c r="R194">
        <v>0.10913880414132381</v>
      </c>
      <c r="S194" t="s">
        <v>2276</v>
      </c>
    </row>
    <row r="195" spans="1:19" hidden="1" x14ac:dyDescent="0.25">
      <c r="A195" t="s">
        <v>564</v>
      </c>
      <c r="B195" t="s">
        <v>30</v>
      </c>
      <c r="C195" t="s">
        <v>2257</v>
      </c>
      <c r="D195" t="s">
        <v>2277</v>
      </c>
      <c r="E195" t="s">
        <v>2278</v>
      </c>
      <c r="F195">
        <v>91</v>
      </c>
      <c r="G195" t="s">
        <v>2279</v>
      </c>
      <c r="H195" t="s">
        <v>2280</v>
      </c>
      <c r="I195">
        <v>95</v>
      </c>
      <c r="J195">
        <v>6024</v>
      </c>
      <c r="K195">
        <v>6727</v>
      </c>
      <c r="L195">
        <v>-0.1044901696709151</v>
      </c>
      <c r="M195">
        <v>60</v>
      </c>
      <c r="N195">
        <v>70</v>
      </c>
      <c r="O195">
        <v>-0.14285714285714279</v>
      </c>
      <c r="P195">
        <v>100</v>
      </c>
      <c r="Q195">
        <v>96</v>
      </c>
      <c r="R195">
        <v>4.4761468717265683E-2</v>
      </c>
      <c r="S195" t="s">
        <v>2281</v>
      </c>
    </row>
    <row r="196" spans="1:19" hidden="1" x14ac:dyDescent="0.25">
      <c r="A196" t="s">
        <v>564</v>
      </c>
      <c r="B196" t="s">
        <v>30</v>
      </c>
      <c r="C196" t="s">
        <v>2282</v>
      </c>
      <c r="D196" t="s">
        <v>2283</v>
      </c>
      <c r="E196" t="s">
        <v>2282</v>
      </c>
      <c r="F196">
        <v>92</v>
      </c>
      <c r="G196" t="s">
        <v>2284</v>
      </c>
      <c r="H196" t="s">
        <v>2285</v>
      </c>
      <c r="I196">
        <v>92</v>
      </c>
      <c r="J196">
        <v>5957</v>
      </c>
      <c r="K196">
        <v>7371</v>
      </c>
      <c r="L196">
        <v>-0.1918260921470685</v>
      </c>
      <c r="M196">
        <v>70</v>
      </c>
      <c r="N196">
        <v>99</v>
      </c>
      <c r="O196">
        <v>-0.29292929292929287</v>
      </c>
      <c r="P196">
        <v>85</v>
      </c>
      <c r="Q196">
        <v>74</v>
      </c>
      <c r="R196">
        <v>0.14298881253486029</v>
      </c>
      <c r="S196" t="s">
        <v>2286</v>
      </c>
    </row>
    <row r="197" spans="1:19" hidden="1" x14ac:dyDescent="0.25">
      <c r="A197" t="s">
        <v>564</v>
      </c>
      <c r="B197" t="s">
        <v>30</v>
      </c>
      <c r="C197" t="s">
        <v>2287</v>
      </c>
      <c r="D197" t="s">
        <v>2288</v>
      </c>
      <c r="E197" t="s">
        <v>2261</v>
      </c>
      <c r="F197">
        <v>93</v>
      </c>
      <c r="G197" t="s">
        <v>2289</v>
      </c>
      <c r="H197" t="s">
        <v>2290</v>
      </c>
      <c r="I197">
        <v>88</v>
      </c>
      <c r="J197">
        <v>5689</v>
      </c>
      <c r="K197">
        <v>7729</v>
      </c>
      <c r="L197">
        <v>-0.26400067275161881</v>
      </c>
      <c r="M197">
        <v>54</v>
      </c>
      <c r="N197">
        <v>87</v>
      </c>
      <c r="O197">
        <v>-0.37931034482758619</v>
      </c>
      <c r="P197">
        <v>105</v>
      </c>
      <c r="Q197">
        <v>89</v>
      </c>
      <c r="R197">
        <v>0.18577669390016971</v>
      </c>
      <c r="S197" t="s">
        <v>2291</v>
      </c>
    </row>
    <row r="198" spans="1:19" hidden="1" x14ac:dyDescent="0.25">
      <c r="A198" t="s">
        <v>564</v>
      </c>
      <c r="B198" t="s">
        <v>30</v>
      </c>
      <c r="C198" t="s">
        <v>2292</v>
      </c>
      <c r="D198" t="s">
        <v>2293</v>
      </c>
      <c r="E198" t="s">
        <v>2229</v>
      </c>
      <c r="F198">
        <v>94</v>
      </c>
      <c r="G198" t="s">
        <v>2294</v>
      </c>
      <c r="H198" t="s">
        <v>2295</v>
      </c>
      <c r="I198">
        <v>82</v>
      </c>
      <c r="J198">
        <v>5601</v>
      </c>
      <c r="K198">
        <v>8842</v>
      </c>
      <c r="L198">
        <v>-0.36648581643305428</v>
      </c>
      <c r="M198">
        <v>55</v>
      </c>
      <c r="N198">
        <v>93</v>
      </c>
      <c r="O198">
        <v>-0.40860215053763438</v>
      </c>
      <c r="P198">
        <v>102</v>
      </c>
      <c r="Q198">
        <v>95</v>
      </c>
      <c r="R198">
        <v>7.1214892213199071E-2</v>
      </c>
      <c r="S198" t="s">
        <v>2296</v>
      </c>
    </row>
    <row r="199" spans="1:19" hidden="1" x14ac:dyDescent="0.25">
      <c r="A199" t="s">
        <v>564</v>
      </c>
      <c r="B199" t="s">
        <v>30</v>
      </c>
      <c r="C199" t="s">
        <v>2278</v>
      </c>
      <c r="D199" t="s">
        <v>2297</v>
      </c>
      <c r="E199" t="s">
        <v>2255</v>
      </c>
      <c r="F199">
        <v>95</v>
      </c>
      <c r="G199" t="s">
        <v>2298</v>
      </c>
      <c r="H199" t="s">
        <v>2299</v>
      </c>
      <c r="I199">
        <v>87</v>
      </c>
      <c r="J199">
        <v>4921</v>
      </c>
      <c r="K199">
        <v>8202</v>
      </c>
      <c r="L199">
        <v>-0.39998536960046821</v>
      </c>
      <c r="M199">
        <v>48</v>
      </c>
      <c r="N199">
        <v>84</v>
      </c>
      <c r="O199">
        <v>-0.42857142857142849</v>
      </c>
      <c r="P199">
        <v>103</v>
      </c>
      <c r="Q199">
        <v>98</v>
      </c>
      <c r="R199">
        <v>5.0025603199180688E-2</v>
      </c>
      <c r="S199" t="s">
        <v>2300</v>
      </c>
    </row>
    <row r="200" spans="1:19" hidden="1" x14ac:dyDescent="0.25">
      <c r="A200" t="s">
        <v>564</v>
      </c>
      <c r="B200" t="s">
        <v>30</v>
      </c>
      <c r="C200" t="s">
        <v>2268</v>
      </c>
      <c r="D200" t="s">
        <v>2301</v>
      </c>
      <c r="E200" t="s">
        <v>2302</v>
      </c>
      <c r="F200">
        <v>96</v>
      </c>
      <c r="G200" t="s">
        <v>2303</v>
      </c>
      <c r="H200" t="s">
        <v>2304</v>
      </c>
      <c r="I200">
        <v>104</v>
      </c>
      <c r="J200">
        <v>4578</v>
      </c>
      <c r="K200">
        <v>4408</v>
      </c>
      <c r="L200">
        <v>3.87673933709504E-2</v>
      </c>
      <c r="M200">
        <v>50</v>
      </c>
      <c r="N200">
        <v>58</v>
      </c>
      <c r="O200">
        <v>-0.13793103448275859</v>
      </c>
      <c r="P200">
        <v>92</v>
      </c>
      <c r="Q200">
        <v>76</v>
      </c>
      <c r="R200">
        <v>0.20497017631030251</v>
      </c>
      <c r="S200" t="s">
        <v>2305</v>
      </c>
    </row>
    <row r="201" spans="1:19" hidden="1" x14ac:dyDescent="0.25">
      <c r="A201" t="s">
        <v>564</v>
      </c>
      <c r="B201" t="s">
        <v>30</v>
      </c>
      <c r="C201" t="s">
        <v>2231</v>
      </c>
      <c r="D201" t="s">
        <v>2306</v>
      </c>
      <c r="E201" t="s">
        <v>30</v>
      </c>
      <c r="F201">
        <v>97</v>
      </c>
      <c r="G201" t="s">
        <v>2307</v>
      </c>
      <c r="H201" t="s">
        <v>2308</v>
      </c>
      <c r="J201">
        <v>4528</v>
      </c>
      <c r="M201">
        <v>43</v>
      </c>
      <c r="P201">
        <v>105</v>
      </c>
      <c r="S201" t="s">
        <v>2309</v>
      </c>
    </row>
    <row r="202" spans="1:19" hidden="1" x14ac:dyDescent="0.25">
      <c r="A202" t="s">
        <v>564</v>
      </c>
      <c r="B202" t="s">
        <v>30</v>
      </c>
      <c r="C202" t="s">
        <v>2310</v>
      </c>
      <c r="D202" t="s">
        <v>2311</v>
      </c>
      <c r="E202" t="s">
        <v>30</v>
      </c>
      <c r="F202">
        <v>98</v>
      </c>
      <c r="G202" t="s">
        <v>2312</v>
      </c>
      <c r="H202" t="s">
        <v>2313</v>
      </c>
      <c r="J202">
        <v>4136</v>
      </c>
      <c r="M202">
        <v>40</v>
      </c>
      <c r="P202">
        <v>103</v>
      </c>
      <c r="S202" t="s">
        <v>2314</v>
      </c>
    </row>
    <row r="203" spans="1:19" hidden="1" x14ac:dyDescent="0.25">
      <c r="A203" t="s">
        <v>564</v>
      </c>
      <c r="B203" t="s">
        <v>30</v>
      </c>
      <c r="C203" t="s">
        <v>2178</v>
      </c>
      <c r="D203" t="s">
        <v>2315</v>
      </c>
      <c r="E203" t="s">
        <v>2182</v>
      </c>
      <c r="F203">
        <v>99</v>
      </c>
      <c r="G203" t="s">
        <v>2316</v>
      </c>
      <c r="H203" t="s">
        <v>2317</v>
      </c>
      <c r="I203">
        <v>73</v>
      </c>
      <c r="J203">
        <v>3938</v>
      </c>
      <c r="K203">
        <v>12921</v>
      </c>
      <c r="L203">
        <v>-0.69519424696506049</v>
      </c>
      <c r="M203">
        <v>39</v>
      </c>
      <c r="N203">
        <v>115</v>
      </c>
      <c r="O203">
        <v>-0.66086956521739126</v>
      </c>
      <c r="P203">
        <v>101</v>
      </c>
      <c r="Q203">
        <v>112</v>
      </c>
      <c r="R203">
        <v>-0.10121380515338339</v>
      </c>
      <c r="S203" t="s">
        <v>2318</v>
      </c>
    </row>
    <row r="204" spans="1:19" hidden="1" x14ac:dyDescent="0.25">
      <c r="A204" t="s">
        <v>564</v>
      </c>
      <c r="B204" t="s">
        <v>30</v>
      </c>
      <c r="C204" t="s">
        <v>2247</v>
      </c>
      <c r="D204" t="s">
        <v>2319</v>
      </c>
      <c r="E204" t="s">
        <v>2320</v>
      </c>
      <c r="F204">
        <v>100</v>
      </c>
      <c r="G204" t="s">
        <v>2321</v>
      </c>
      <c r="H204" t="s">
        <v>2322</v>
      </c>
      <c r="I204">
        <v>103</v>
      </c>
      <c r="J204">
        <v>3769</v>
      </c>
      <c r="K204">
        <v>4562</v>
      </c>
      <c r="L204">
        <v>-0.1739290536393765</v>
      </c>
      <c r="M204">
        <v>32</v>
      </c>
      <c r="N204">
        <v>49</v>
      </c>
      <c r="O204">
        <v>-0.34693877551020408</v>
      </c>
      <c r="P204">
        <v>118</v>
      </c>
      <c r="Q204">
        <v>93</v>
      </c>
      <c r="R204">
        <v>0.26492113661470479</v>
      </c>
      <c r="S204" t="s">
        <v>2323</v>
      </c>
    </row>
    <row r="205" spans="1:19" hidden="1" x14ac:dyDescent="0.25">
      <c r="A205" t="s">
        <v>564</v>
      </c>
      <c r="B205" t="s">
        <v>30</v>
      </c>
      <c r="C205" t="s">
        <v>2324</v>
      </c>
      <c r="D205" t="s">
        <v>2325</v>
      </c>
      <c r="E205" t="s">
        <v>2245</v>
      </c>
      <c r="F205">
        <v>101</v>
      </c>
      <c r="G205" t="s">
        <v>2326</v>
      </c>
      <c r="H205" t="s">
        <v>2327</v>
      </c>
      <c r="I205">
        <v>85</v>
      </c>
      <c r="J205">
        <v>3574</v>
      </c>
      <c r="K205">
        <v>8589</v>
      </c>
      <c r="L205">
        <v>-0.58391488707728201</v>
      </c>
      <c r="M205">
        <v>35</v>
      </c>
      <c r="N205">
        <v>87</v>
      </c>
      <c r="O205">
        <v>-0.5977011494252874</v>
      </c>
      <c r="P205">
        <v>102</v>
      </c>
      <c r="Q205">
        <v>99</v>
      </c>
      <c r="R205">
        <v>3.4268709265041809E-2</v>
      </c>
      <c r="S205" t="s">
        <v>2328</v>
      </c>
    </row>
    <row r="206" spans="1:19" hidden="1" x14ac:dyDescent="0.25">
      <c r="A206" t="s">
        <v>564</v>
      </c>
      <c r="B206" t="s">
        <v>30</v>
      </c>
      <c r="C206" t="s">
        <v>2220</v>
      </c>
      <c r="D206" t="s">
        <v>2329</v>
      </c>
      <c r="E206" t="s">
        <v>30</v>
      </c>
      <c r="F206">
        <v>102</v>
      </c>
      <c r="G206" t="s">
        <v>2330</v>
      </c>
      <c r="H206" t="s">
        <v>2331</v>
      </c>
      <c r="J206">
        <v>3489</v>
      </c>
      <c r="M206">
        <v>60</v>
      </c>
      <c r="P206">
        <v>58</v>
      </c>
      <c r="S206" t="s">
        <v>2332</v>
      </c>
    </row>
    <row r="207" spans="1:19" hidden="1" x14ac:dyDescent="0.25">
      <c r="A207" t="s">
        <v>564</v>
      </c>
      <c r="B207" t="s">
        <v>30</v>
      </c>
      <c r="C207" t="s">
        <v>2320</v>
      </c>
      <c r="D207" t="s">
        <v>2333</v>
      </c>
      <c r="E207" t="s">
        <v>2334</v>
      </c>
      <c r="F207">
        <v>103</v>
      </c>
      <c r="G207" t="s">
        <v>2335</v>
      </c>
      <c r="H207" t="s">
        <v>2336</v>
      </c>
      <c r="I207">
        <v>131</v>
      </c>
      <c r="J207">
        <v>3382</v>
      </c>
      <c r="K207">
        <v>0</v>
      </c>
      <c r="M207">
        <v>36</v>
      </c>
      <c r="N207">
        <v>0</v>
      </c>
      <c r="P207">
        <v>94</v>
      </c>
      <c r="S207" t="s">
        <v>2337</v>
      </c>
    </row>
    <row r="208" spans="1:19" hidden="1" x14ac:dyDescent="0.25">
      <c r="A208" t="s">
        <v>564</v>
      </c>
      <c r="B208" t="s">
        <v>30</v>
      </c>
      <c r="C208" t="s">
        <v>2302</v>
      </c>
      <c r="D208" t="s">
        <v>2338</v>
      </c>
      <c r="E208" t="s">
        <v>2339</v>
      </c>
      <c r="F208">
        <v>104</v>
      </c>
      <c r="G208" t="s">
        <v>2340</v>
      </c>
      <c r="H208" t="s">
        <v>2341</v>
      </c>
      <c r="I208">
        <v>120</v>
      </c>
      <c r="J208">
        <v>3297</v>
      </c>
      <c r="K208">
        <v>0</v>
      </c>
      <c r="M208">
        <v>29</v>
      </c>
      <c r="N208">
        <v>0</v>
      </c>
      <c r="P208">
        <v>114</v>
      </c>
      <c r="S208" t="s">
        <v>2342</v>
      </c>
    </row>
    <row r="209" spans="1:19" hidden="1" x14ac:dyDescent="0.25">
      <c r="A209" t="s">
        <v>564</v>
      </c>
      <c r="B209" t="s">
        <v>30</v>
      </c>
      <c r="C209" t="s">
        <v>2343</v>
      </c>
      <c r="D209" t="s">
        <v>2344</v>
      </c>
      <c r="E209" t="s">
        <v>30</v>
      </c>
      <c r="F209">
        <v>105</v>
      </c>
      <c r="G209" t="s">
        <v>2345</v>
      </c>
      <c r="H209" t="s">
        <v>2346</v>
      </c>
      <c r="J209">
        <v>3232</v>
      </c>
      <c r="M209">
        <v>36</v>
      </c>
      <c r="P209">
        <v>90</v>
      </c>
      <c r="S209" t="s">
        <v>2347</v>
      </c>
    </row>
    <row r="210" spans="1:19" hidden="1" x14ac:dyDescent="0.25">
      <c r="A210" t="s">
        <v>564</v>
      </c>
      <c r="B210" t="s">
        <v>30</v>
      </c>
      <c r="C210" t="s">
        <v>2205</v>
      </c>
      <c r="D210" t="s">
        <v>2348</v>
      </c>
      <c r="E210" t="s">
        <v>2272</v>
      </c>
      <c r="F210">
        <v>106</v>
      </c>
      <c r="G210" t="s">
        <v>2349</v>
      </c>
      <c r="H210" t="s">
        <v>2350</v>
      </c>
      <c r="I210">
        <v>90</v>
      </c>
      <c r="J210">
        <v>2894</v>
      </c>
      <c r="K210">
        <v>7486</v>
      </c>
      <c r="L210">
        <v>-0.61342724936282078</v>
      </c>
      <c r="M210">
        <v>16</v>
      </c>
      <c r="N210">
        <v>41</v>
      </c>
      <c r="O210">
        <v>-0.6097560975609756</v>
      </c>
      <c r="P210">
        <v>181</v>
      </c>
      <c r="Q210">
        <v>183</v>
      </c>
      <c r="R210">
        <v>-9.4073264922282848E-3</v>
      </c>
      <c r="S210" t="s">
        <v>2351</v>
      </c>
    </row>
    <row r="211" spans="1:19" hidden="1" x14ac:dyDescent="0.25">
      <c r="A211" t="s">
        <v>564</v>
      </c>
      <c r="B211" t="s">
        <v>30</v>
      </c>
      <c r="C211" t="s">
        <v>2352</v>
      </c>
      <c r="D211" t="s">
        <v>2353</v>
      </c>
      <c r="E211" t="s">
        <v>2354</v>
      </c>
      <c r="F211">
        <v>107</v>
      </c>
      <c r="G211" t="s">
        <v>2355</v>
      </c>
      <c r="H211" t="s">
        <v>2356</v>
      </c>
      <c r="I211">
        <v>110</v>
      </c>
      <c r="J211">
        <v>2404</v>
      </c>
      <c r="K211">
        <v>3386</v>
      </c>
      <c r="L211">
        <v>-0.28991178459730133</v>
      </c>
      <c r="M211">
        <v>18</v>
      </c>
      <c r="N211">
        <v>28</v>
      </c>
      <c r="O211">
        <v>-0.35714285714285721</v>
      </c>
      <c r="P211">
        <v>134</v>
      </c>
      <c r="Q211">
        <v>121</v>
      </c>
      <c r="R211">
        <v>0.104581668404198</v>
      </c>
      <c r="S211" t="s">
        <v>2357</v>
      </c>
    </row>
    <row r="212" spans="1:19" hidden="1" x14ac:dyDescent="0.25">
      <c r="A212" t="s">
        <v>564</v>
      </c>
      <c r="B212" t="s">
        <v>30</v>
      </c>
      <c r="C212" t="s">
        <v>2358</v>
      </c>
      <c r="D212" t="s">
        <v>2359</v>
      </c>
      <c r="E212" t="s">
        <v>30</v>
      </c>
      <c r="F212">
        <v>108</v>
      </c>
      <c r="G212" t="s">
        <v>2360</v>
      </c>
      <c r="H212" t="s">
        <v>2361</v>
      </c>
      <c r="J212">
        <v>2051</v>
      </c>
      <c r="M212">
        <v>37</v>
      </c>
      <c r="P212">
        <v>55</v>
      </c>
      <c r="S212" t="s">
        <v>2362</v>
      </c>
    </row>
    <row r="213" spans="1:19" hidden="1" x14ac:dyDescent="0.25">
      <c r="A213" t="s">
        <v>564</v>
      </c>
      <c r="B213" t="s">
        <v>30</v>
      </c>
      <c r="C213" t="s">
        <v>2363</v>
      </c>
      <c r="D213" t="s">
        <v>2364</v>
      </c>
      <c r="E213" t="s">
        <v>30</v>
      </c>
      <c r="F213">
        <v>109</v>
      </c>
      <c r="G213" t="s">
        <v>2365</v>
      </c>
      <c r="H213" t="s">
        <v>2366</v>
      </c>
      <c r="J213">
        <v>1795</v>
      </c>
      <c r="M213">
        <v>19</v>
      </c>
      <c r="P213">
        <v>94</v>
      </c>
      <c r="S213" t="s">
        <v>2367</v>
      </c>
    </row>
    <row r="214" spans="1:19" hidden="1" x14ac:dyDescent="0.25">
      <c r="A214" t="s">
        <v>564</v>
      </c>
      <c r="B214" t="s">
        <v>30</v>
      </c>
      <c r="C214" t="s">
        <v>2354</v>
      </c>
      <c r="D214" t="s">
        <v>2368</v>
      </c>
      <c r="E214" t="s">
        <v>30</v>
      </c>
      <c r="F214">
        <v>110</v>
      </c>
      <c r="G214" t="s">
        <v>2369</v>
      </c>
      <c r="H214" t="s">
        <v>2370</v>
      </c>
      <c r="J214">
        <v>1749</v>
      </c>
      <c r="M214">
        <v>15</v>
      </c>
      <c r="P214">
        <v>117</v>
      </c>
      <c r="S214" t="s">
        <v>2371</v>
      </c>
    </row>
    <row r="215" spans="1:19" hidden="1" x14ac:dyDescent="0.25">
      <c r="A215" t="s">
        <v>564</v>
      </c>
      <c r="B215" t="s">
        <v>30</v>
      </c>
      <c r="C215" t="s">
        <v>2018</v>
      </c>
      <c r="D215" t="s">
        <v>2372</v>
      </c>
      <c r="E215" t="s">
        <v>2373</v>
      </c>
      <c r="F215">
        <v>111</v>
      </c>
      <c r="G215" t="s">
        <v>2374</v>
      </c>
      <c r="H215" t="s">
        <v>2375</v>
      </c>
      <c r="I215">
        <v>152</v>
      </c>
      <c r="J215">
        <v>355</v>
      </c>
      <c r="K215">
        <v>0</v>
      </c>
      <c r="M215">
        <v>4</v>
      </c>
      <c r="N215">
        <v>0</v>
      </c>
      <c r="P215">
        <v>89</v>
      </c>
      <c r="S215" t="s">
        <v>2376</v>
      </c>
    </row>
    <row r="216" spans="1:19" hidden="1" x14ac:dyDescent="0.25">
      <c r="A216" t="s">
        <v>564</v>
      </c>
      <c r="B216" t="s">
        <v>30</v>
      </c>
      <c r="C216" t="s">
        <v>2377</v>
      </c>
      <c r="D216" t="s">
        <v>2378</v>
      </c>
      <c r="E216" t="s">
        <v>2358</v>
      </c>
      <c r="F216">
        <v>112</v>
      </c>
      <c r="G216" t="s">
        <v>2379</v>
      </c>
      <c r="H216" t="s">
        <v>2380</v>
      </c>
      <c r="I216">
        <v>108</v>
      </c>
      <c r="K216">
        <v>3972</v>
      </c>
      <c r="N216">
        <v>64</v>
      </c>
      <c r="Q216">
        <v>62</v>
      </c>
      <c r="S216" t="s">
        <v>2381</v>
      </c>
    </row>
    <row r="217" spans="1:19" hidden="1" x14ac:dyDescent="0.25">
      <c r="A217" t="s">
        <v>564</v>
      </c>
      <c r="B217" t="s">
        <v>30</v>
      </c>
      <c r="C217" t="s">
        <v>2382</v>
      </c>
      <c r="D217" t="s">
        <v>2383</v>
      </c>
      <c r="E217" t="s">
        <v>2384</v>
      </c>
      <c r="F217">
        <v>113</v>
      </c>
      <c r="G217" t="s">
        <v>2385</v>
      </c>
      <c r="H217" t="s">
        <v>2386</v>
      </c>
      <c r="I217">
        <v>159</v>
      </c>
      <c r="K217">
        <v>0</v>
      </c>
      <c r="N217">
        <v>0</v>
      </c>
      <c r="S217" t="s">
        <v>2387</v>
      </c>
    </row>
    <row r="218" spans="1:19" hidden="1" x14ac:dyDescent="0.25">
      <c r="A218" t="s">
        <v>564</v>
      </c>
      <c r="B218" t="s">
        <v>30</v>
      </c>
      <c r="C218" t="s">
        <v>2388</v>
      </c>
      <c r="D218" t="s">
        <v>2389</v>
      </c>
      <c r="E218" t="s">
        <v>2390</v>
      </c>
      <c r="F218">
        <v>114</v>
      </c>
      <c r="G218" t="s">
        <v>2391</v>
      </c>
      <c r="H218" t="s">
        <v>2392</v>
      </c>
      <c r="I218">
        <v>143</v>
      </c>
      <c r="K218">
        <v>0</v>
      </c>
      <c r="N218">
        <v>0</v>
      </c>
      <c r="S218" t="s">
        <v>2393</v>
      </c>
    </row>
    <row r="219" spans="1:19" hidden="1" x14ac:dyDescent="0.25">
      <c r="A219" t="s">
        <v>564</v>
      </c>
      <c r="B219" t="s">
        <v>30</v>
      </c>
      <c r="C219" t="s">
        <v>2394</v>
      </c>
      <c r="D219" t="s">
        <v>2395</v>
      </c>
      <c r="E219" t="s">
        <v>2396</v>
      </c>
      <c r="F219">
        <v>115</v>
      </c>
      <c r="G219" t="s">
        <v>2397</v>
      </c>
      <c r="H219" t="s">
        <v>2398</v>
      </c>
      <c r="I219">
        <v>192</v>
      </c>
      <c r="K219">
        <v>0</v>
      </c>
      <c r="N219">
        <v>0</v>
      </c>
      <c r="S219" t="s">
        <v>2399</v>
      </c>
    </row>
    <row r="220" spans="1:19" hidden="1" x14ac:dyDescent="0.25">
      <c r="A220" t="s">
        <v>564</v>
      </c>
      <c r="B220" t="s">
        <v>30</v>
      </c>
      <c r="C220" t="s">
        <v>2400</v>
      </c>
      <c r="D220" t="s">
        <v>2401</v>
      </c>
      <c r="E220" t="s">
        <v>2402</v>
      </c>
      <c r="F220">
        <v>116</v>
      </c>
      <c r="G220" t="s">
        <v>2403</v>
      </c>
      <c r="H220" t="s">
        <v>2404</v>
      </c>
      <c r="I220">
        <v>118</v>
      </c>
      <c r="K220">
        <v>0</v>
      </c>
      <c r="N220">
        <v>0</v>
      </c>
      <c r="S220" t="s">
        <v>2405</v>
      </c>
    </row>
    <row r="221" spans="1:19" hidden="1" x14ac:dyDescent="0.25">
      <c r="A221" t="s">
        <v>564</v>
      </c>
      <c r="B221" t="s">
        <v>30</v>
      </c>
      <c r="C221" t="s">
        <v>2406</v>
      </c>
      <c r="D221" t="s">
        <v>2407</v>
      </c>
      <c r="E221" t="s">
        <v>2408</v>
      </c>
      <c r="F221">
        <v>117</v>
      </c>
      <c r="G221" t="s">
        <v>2409</v>
      </c>
      <c r="H221" t="s">
        <v>2410</v>
      </c>
      <c r="I221">
        <v>156</v>
      </c>
      <c r="K221">
        <v>0</v>
      </c>
      <c r="N221">
        <v>0</v>
      </c>
      <c r="S221" t="s">
        <v>2411</v>
      </c>
    </row>
    <row r="222" spans="1:19" hidden="1" x14ac:dyDescent="0.25">
      <c r="A222" t="s">
        <v>564</v>
      </c>
      <c r="B222" t="s">
        <v>30</v>
      </c>
      <c r="C222" t="s">
        <v>2402</v>
      </c>
      <c r="D222" t="s">
        <v>2412</v>
      </c>
      <c r="E222" t="s">
        <v>2413</v>
      </c>
      <c r="F222">
        <v>118</v>
      </c>
      <c r="G222" t="s">
        <v>2414</v>
      </c>
      <c r="H222" t="s">
        <v>2415</v>
      </c>
      <c r="I222">
        <v>194</v>
      </c>
      <c r="K222">
        <v>0</v>
      </c>
      <c r="N222">
        <v>0</v>
      </c>
      <c r="S222" t="s">
        <v>2416</v>
      </c>
    </row>
    <row r="223" spans="1:19" hidden="1" x14ac:dyDescent="0.25">
      <c r="A223" t="s">
        <v>564</v>
      </c>
      <c r="B223" t="s">
        <v>30</v>
      </c>
      <c r="C223" t="s">
        <v>2417</v>
      </c>
      <c r="D223" t="s">
        <v>2418</v>
      </c>
      <c r="E223" t="s">
        <v>2394</v>
      </c>
      <c r="F223">
        <v>119</v>
      </c>
      <c r="G223" t="s">
        <v>2419</v>
      </c>
      <c r="H223" t="s">
        <v>2420</v>
      </c>
      <c r="I223">
        <v>115</v>
      </c>
      <c r="K223">
        <v>0</v>
      </c>
      <c r="N223">
        <v>0</v>
      </c>
      <c r="S223" t="s">
        <v>2421</v>
      </c>
    </row>
    <row r="224" spans="1:19" hidden="1" x14ac:dyDescent="0.25">
      <c r="A224" t="s">
        <v>564</v>
      </c>
      <c r="B224" t="s">
        <v>30</v>
      </c>
      <c r="C224" t="s">
        <v>2339</v>
      </c>
      <c r="D224" t="s">
        <v>2422</v>
      </c>
      <c r="E224" t="s">
        <v>2423</v>
      </c>
      <c r="F224">
        <v>120</v>
      </c>
      <c r="G224" t="s">
        <v>2424</v>
      </c>
      <c r="H224" t="s">
        <v>2425</v>
      </c>
      <c r="I224">
        <v>140</v>
      </c>
      <c r="K224">
        <v>0</v>
      </c>
      <c r="N224">
        <v>0</v>
      </c>
      <c r="S224" t="s">
        <v>2426</v>
      </c>
    </row>
    <row r="225" spans="1:19" hidden="1" x14ac:dyDescent="0.25">
      <c r="A225" t="s">
        <v>564</v>
      </c>
      <c r="B225" t="s">
        <v>30</v>
      </c>
      <c r="C225" t="s">
        <v>2427</v>
      </c>
      <c r="D225" t="s">
        <v>2428</v>
      </c>
      <c r="E225" t="s">
        <v>30</v>
      </c>
      <c r="F225">
        <v>121</v>
      </c>
      <c r="G225" t="s">
        <v>2429</v>
      </c>
      <c r="H225" t="s">
        <v>2430</v>
      </c>
      <c r="S225" t="s">
        <v>2431</v>
      </c>
    </row>
    <row r="226" spans="1:19" hidden="1" x14ac:dyDescent="0.25">
      <c r="A226" t="s">
        <v>564</v>
      </c>
      <c r="B226" t="s">
        <v>30</v>
      </c>
      <c r="C226" t="s">
        <v>2432</v>
      </c>
      <c r="D226" t="s">
        <v>2433</v>
      </c>
      <c r="E226" t="s">
        <v>30</v>
      </c>
      <c r="F226">
        <v>122</v>
      </c>
      <c r="G226" t="s">
        <v>2434</v>
      </c>
      <c r="H226" t="s">
        <v>2435</v>
      </c>
      <c r="S226" t="s">
        <v>2436</v>
      </c>
    </row>
    <row r="227" spans="1:19" hidden="1" x14ac:dyDescent="0.25">
      <c r="A227" t="s">
        <v>564</v>
      </c>
      <c r="B227" t="s">
        <v>30</v>
      </c>
      <c r="C227" t="s">
        <v>2437</v>
      </c>
      <c r="D227" t="s">
        <v>2438</v>
      </c>
      <c r="E227" t="s">
        <v>2439</v>
      </c>
      <c r="F227">
        <v>123</v>
      </c>
      <c r="G227" t="s">
        <v>2440</v>
      </c>
      <c r="H227" t="s">
        <v>2441</v>
      </c>
      <c r="I227">
        <v>137</v>
      </c>
      <c r="K227">
        <v>0</v>
      </c>
      <c r="N227">
        <v>0</v>
      </c>
      <c r="S227" t="s">
        <v>2442</v>
      </c>
    </row>
    <row r="228" spans="1:19" hidden="1" x14ac:dyDescent="0.25">
      <c r="A228" t="s">
        <v>564</v>
      </c>
      <c r="B228" t="s">
        <v>30</v>
      </c>
      <c r="C228" t="s">
        <v>2443</v>
      </c>
      <c r="D228" t="s">
        <v>2444</v>
      </c>
      <c r="E228" t="s">
        <v>2445</v>
      </c>
      <c r="F228">
        <v>124</v>
      </c>
      <c r="G228" t="s">
        <v>2446</v>
      </c>
      <c r="H228" t="s">
        <v>2447</v>
      </c>
      <c r="I228">
        <v>171</v>
      </c>
      <c r="K228">
        <v>0</v>
      </c>
      <c r="N228">
        <v>0</v>
      </c>
      <c r="S228" t="s">
        <v>2448</v>
      </c>
    </row>
    <row r="229" spans="1:19" hidden="1" x14ac:dyDescent="0.25">
      <c r="A229" t="s">
        <v>564</v>
      </c>
      <c r="B229" t="s">
        <v>30</v>
      </c>
      <c r="C229" t="s">
        <v>2449</v>
      </c>
      <c r="D229" t="s">
        <v>2450</v>
      </c>
      <c r="E229" t="s">
        <v>2400</v>
      </c>
      <c r="F229">
        <v>125</v>
      </c>
      <c r="G229" t="s">
        <v>2451</v>
      </c>
      <c r="H229" t="s">
        <v>2452</v>
      </c>
      <c r="I229">
        <v>116</v>
      </c>
      <c r="K229">
        <v>0</v>
      </c>
      <c r="N229">
        <v>0</v>
      </c>
      <c r="S229" t="s">
        <v>2453</v>
      </c>
    </row>
    <row r="230" spans="1:19" hidden="1" x14ac:dyDescent="0.25">
      <c r="A230" t="s">
        <v>564</v>
      </c>
      <c r="B230" t="s">
        <v>30</v>
      </c>
      <c r="C230" t="s">
        <v>2454</v>
      </c>
      <c r="D230" t="s">
        <v>2455</v>
      </c>
      <c r="E230" t="s">
        <v>2456</v>
      </c>
      <c r="F230">
        <v>126</v>
      </c>
      <c r="G230" t="s">
        <v>2457</v>
      </c>
      <c r="H230" t="s">
        <v>2458</v>
      </c>
      <c r="I230">
        <v>162</v>
      </c>
      <c r="K230">
        <v>0</v>
      </c>
      <c r="N230">
        <v>0</v>
      </c>
      <c r="S230" t="s">
        <v>2459</v>
      </c>
    </row>
    <row r="231" spans="1:19" hidden="1" x14ac:dyDescent="0.25">
      <c r="A231" t="s">
        <v>564</v>
      </c>
      <c r="B231" t="s">
        <v>30</v>
      </c>
      <c r="C231" t="s">
        <v>2460</v>
      </c>
      <c r="D231" t="s">
        <v>2461</v>
      </c>
      <c r="E231" t="s">
        <v>2462</v>
      </c>
      <c r="F231">
        <v>127</v>
      </c>
      <c r="G231" t="s">
        <v>2463</v>
      </c>
      <c r="H231" t="s">
        <v>2464</v>
      </c>
      <c r="I231">
        <v>147</v>
      </c>
      <c r="K231">
        <v>0</v>
      </c>
      <c r="N231">
        <v>0</v>
      </c>
      <c r="S231" t="s">
        <v>2465</v>
      </c>
    </row>
    <row r="232" spans="1:19" hidden="1" x14ac:dyDescent="0.25">
      <c r="A232" t="s">
        <v>564</v>
      </c>
      <c r="B232" t="s">
        <v>30</v>
      </c>
      <c r="C232" t="s">
        <v>2466</v>
      </c>
      <c r="D232" t="s">
        <v>2467</v>
      </c>
      <c r="E232" t="s">
        <v>2468</v>
      </c>
      <c r="F232">
        <v>128</v>
      </c>
      <c r="G232" t="s">
        <v>2469</v>
      </c>
      <c r="H232" t="s">
        <v>2470</v>
      </c>
      <c r="I232">
        <v>146</v>
      </c>
      <c r="K232">
        <v>0</v>
      </c>
      <c r="N232">
        <v>0</v>
      </c>
      <c r="S232" t="s">
        <v>2471</v>
      </c>
    </row>
    <row r="233" spans="1:19" hidden="1" x14ac:dyDescent="0.25">
      <c r="A233" t="s">
        <v>564</v>
      </c>
      <c r="B233" t="s">
        <v>30</v>
      </c>
      <c r="C233" t="s">
        <v>2472</v>
      </c>
      <c r="D233" t="s">
        <v>2473</v>
      </c>
      <c r="E233" t="s">
        <v>2016</v>
      </c>
      <c r="F233">
        <v>129</v>
      </c>
      <c r="G233" t="s">
        <v>2474</v>
      </c>
      <c r="H233" t="s">
        <v>2475</v>
      </c>
      <c r="I233">
        <v>40</v>
      </c>
      <c r="K233">
        <v>66561</v>
      </c>
      <c r="N233">
        <v>384</v>
      </c>
      <c r="Q233">
        <v>173</v>
      </c>
      <c r="S233" t="s">
        <v>2476</v>
      </c>
    </row>
    <row r="234" spans="1:19" hidden="1" x14ac:dyDescent="0.25">
      <c r="A234" t="s">
        <v>564</v>
      </c>
      <c r="B234" t="s">
        <v>30</v>
      </c>
      <c r="C234" t="s">
        <v>2477</v>
      </c>
      <c r="D234" t="s">
        <v>2478</v>
      </c>
      <c r="E234" t="s">
        <v>2136</v>
      </c>
      <c r="F234">
        <v>130</v>
      </c>
      <c r="G234" t="s">
        <v>2479</v>
      </c>
      <c r="H234" t="s">
        <v>2480</v>
      </c>
      <c r="I234">
        <v>64</v>
      </c>
      <c r="K234">
        <v>22463</v>
      </c>
      <c r="N234">
        <v>54</v>
      </c>
      <c r="Q234">
        <v>416</v>
      </c>
      <c r="S234" t="s">
        <v>2481</v>
      </c>
    </row>
    <row r="235" spans="1:19" hidden="1" x14ac:dyDescent="0.25">
      <c r="A235" t="s">
        <v>564</v>
      </c>
      <c r="B235" t="s">
        <v>30</v>
      </c>
      <c r="C235" t="s">
        <v>2334</v>
      </c>
      <c r="D235" t="s">
        <v>2482</v>
      </c>
      <c r="E235" t="s">
        <v>2166</v>
      </c>
      <c r="F235">
        <v>131</v>
      </c>
      <c r="G235" t="s">
        <v>2483</v>
      </c>
      <c r="H235" t="s">
        <v>2484</v>
      </c>
      <c r="I235">
        <v>70</v>
      </c>
      <c r="K235">
        <v>14697</v>
      </c>
      <c r="N235">
        <v>48</v>
      </c>
      <c r="Q235">
        <v>306</v>
      </c>
      <c r="S235" t="s">
        <v>2485</v>
      </c>
    </row>
    <row r="236" spans="1:19" hidden="1" x14ac:dyDescent="0.25">
      <c r="A236" t="s">
        <v>564</v>
      </c>
      <c r="B236" t="s">
        <v>30</v>
      </c>
      <c r="C236" t="s">
        <v>2486</v>
      </c>
      <c r="D236" t="s">
        <v>2487</v>
      </c>
      <c r="E236" t="s">
        <v>2488</v>
      </c>
      <c r="F236">
        <v>132</v>
      </c>
      <c r="G236" t="s">
        <v>2489</v>
      </c>
      <c r="H236" t="s">
        <v>2490</v>
      </c>
      <c r="I236">
        <v>205</v>
      </c>
      <c r="K236">
        <v>0</v>
      </c>
      <c r="N236">
        <v>0</v>
      </c>
      <c r="S236" t="s">
        <v>2491</v>
      </c>
    </row>
    <row r="237" spans="1:19" hidden="1" x14ac:dyDescent="0.25">
      <c r="A237" t="s">
        <v>564</v>
      </c>
      <c r="B237" t="s">
        <v>30</v>
      </c>
      <c r="C237" t="s">
        <v>2492</v>
      </c>
      <c r="D237" t="s">
        <v>2493</v>
      </c>
      <c r="E237" t="s">
        <v>30</v>
      </c>
      <c r="F237">
        <v>133</v>
      </c>
      <c r="G237" t="s">
        <v>2494</v>
      </c>
      <c r="H237" t="s">
        <v>2495</v>
      </c>
      <c r="S237" t="s">
        <v>2496</v>
      </c>
    </row>
    <row r="238" spans="1:19" hidden="1" x14ac:dyDescent="0.25">
      <c r="A238" t="s">
        <v>564</v>
      </c>
      <c r="B238" t="s">
        <v>30</v>
      </c>
      <c r="C238" t="s">
        <v>2497</v>
      </c>
      <c r="D238" t="s">
        <v>2498</v>
      </c>
      <c r="E238" t="s">
        <v>2499</v>
      </c>
      <c r="F238">
        <v>134</v>
      </c>
      <c r="G238" t="s">
        <v>2500</v>
      </c>
      <c r="H238" t="s">
        <v>2501</v>
      </c>
      <c r="I238">
        <v>198</v>
      </c>
      <c r="K238">
        <v>0</v>
      </c>
      <c r="N238">
        <v>0</v>
      </c>
      <c r="S238" t="s">
        <v>2502</v>
      </c>
    </row>
    <row r="239" spans="1:19" hidden="1" x14ac:dyDescent="0.25">
      <c r="A239" t="s">
        <v>564</v>
      </c>
      <c r="B239" t="s">
        <v>30</v>
      </c>
      <c r="C239" t="s">
        <v>2503</v>
      </c>
      <c r="D239" t="s">
        <v>2504</v>
      </c>
      <c r="E239" t="s">
        <v>30</v>
      </c>
      <c r="F239">
        <v>135</v>
      </c>
      <c r="G239" t="s">
        <v>2505</v>
      </c>
      <c r="H239" t="s">
        <v>2506</v>
      </c>
      <c r="S239" t="s">
        <v>2507</v>
      </c>
    </row>
    <row r="240" spans="1:19" hidden="1" x14ac:dyDescent="0.25">
      <c r="A240" t="s">
        <v>564</v>
      </c>
      <c r="B240" t="s">
        <v>30</v>
      </c>
      <c r="C240" t="s">
        <v>2508</v>
      </c>
      <c r="D240" t="s">
        <v>2509</v>
      </c>
      <c r="E240" t="s">
        <v>30</v>
      </c>
      <c r="F240">
        <v>136</v>
      </c>
      <c r="G240" t="s">
        <v>2510</v>
      </c>
      <c r="H240" t="s">
        <v>2511</v>
      </c>
      <c r="S240" t="s">
        <v>2512</v>
      </c>
    </row>
    <row r="241" spans="1:19" hidden="1" x14ac:dyDescent="0.25">
      <c r="A241" t="s">
        <v>564</v>
      </c>
      <c r="B241" t="s">
        <v>30</v>
      </c>
      <c r="C241" t="s">
        <v>2439</v>
      </c>
      <c r="D241" t="s">
        <v>2513</v>
      </c>
      <c r="E241" t="s">
        <v>2514</v>
      </c>
      <c r="F241">
        <v>137</v>
      </c>
      <c r="G241" t="s">
        <v>2515</v>
      </c>
      <c r="H241" t="s">
        <v>2516</v>
      </c>
      <c r="I241">
        <v>187</v>
      </c>
      <c r="K241">
        <v>0</v>
      </c>
      <c r="N241">
        <v>0</v>
      </c>
      <c r="S241" t="s">
        <v>2517</v>
      </c>
    </row>
    <row r="242" spans="1:19" hidden="1" x14ac:dyDescent="0.25">
      <c r="A242" t="s">
        <v>564</v>
      </c>
      <c r="B242" t="s">
        <v>30</v>
      </c>
      <c r="C242" t="s">
        <v>2518</v>
      </c>
      <c r="D242" t="s">
        <v>2519</v>
      </c>
      <c r="E242" t="s">
        <v>30</v>
      </c>
      <c r="F242">
        <v>138</v>
      </c>
      <c r="G242" t="s">
        <v>2483</v>
      </c>
      <c r="H242" t="s">
        <v>2520</v>
      </c>
      <c r="S242" t="s">
        <v>2521</v>
      </c>
    </row>
    <row r="243" spans="1:19" hidden="1" x14ac:dyDescent="0.25">
      <c r="A243" t="s">
        <v>564</v>
      </c>
      <c r="B243" t="s">
        <v>30</v>
      </c>
      <c r="C243" t="s">
        <v>2522</v>
      </c>
      <c r="D243" t="s">
        <v>2523</v>
      </c>
      <c r="E243" t="s">
        <v>30</v>
      </c>
      <c r="F243">
        <v>139</v>
      </c>
      <c r="G243" t="s">
        <v>2524</v>
      </c>
      <c r="H243" t="s">
        <v>2525</v>
      </c>
      <c r="S243" t="s">
        <v>2526</v>
      </c>
    </row>
    <row r="244" spans="1:19" hidden="1" x14ac:dyDescent="0.25">
      <c r="A244" t="s">
        <v>564</v>
      </c>
      <c r="B244" t="s">
        <v>30</v>
      </c>
      <c r="C244" t="s">
        <v>2423</v>
      </c>
      <c r="D244" t="s">
        <v>2527</v>
      </c>
      <c r="E244" t="s">
        <v>2091</v>
      </c>
      <c r="F244">
        <v>140</v>
      </c>
      <c r="G244" t="s">
        <v>2528</v>
      </c>
      <c r="H244" t="s">
        <v>2529</v>
      </c>
      <c r="I244">
        <v>55</v>
      </c>
      <c r="K244">
        <v>40021</v>
      </c>
      <c r="N244">
        <v>167</v>
      </c>
      <c r="Q244">
        <v>240</v>
      </c>
      <c r="S244" t="s">
        <v>2530</v>
      </c>
    </row>
    <row r="245" spans="1:19" hidden="1" x14ac:dyDescent="0.25">
      <c r="A245" t="s">
        <v>564</v>
      </c>
      <c r="B245" t="s">
        <v>30</v>
      </c>
      <c r="C245" t="s">
        <v>2531</v>
      </c>
      <c r="D245" t="s">
        <v>2532</v>
      </c>
      <c r="E245" t="s">
        <v>2533</v>
      </c>
      <c r="F245">
        <v>141</v>
      </c>
      <c r="G245" t="s">
        <v>2534</v>
      </c>
      <c r="H245" t="s">
        <v>2535</v>
      </c>
      <c r="I245">
        <v>144</v>
      </c>
      <c r="K245">
        <v>0</v>
      </c>
      <c r="N245">
        <v>0</v>
      </c>
      <c r="S245" t="s">
        <v>2536</v>
      </c>
    </row>
    <row r="246" spans="1:19" hidden="1" x14ac:dyDescent="0.25">
      <c r="A246" t="s">
        <v>564</v>
      </c>
      <c r="B246" t="s">
        <v>30</v>
      </c>
      <c r="C246" t="s">
        <v>2537</v>
      </c>
      <c r="D246" t="s">
        <v>2538</v>
      </c>
      <c r="E246" t="s">
        <v>2539</v>
      </c>
      <c r="F246">
        <v>142</v>
      </c>
      <c r="G246" t="s">
        <v>2540</v>
      </c>
      <c r="H246" t="s">
        <v>2541</v>
      </c>
      <c r="I246">
        <v>175</v>
      </c>
      <c r="K246">
        <v>0</v>
      </c>
      <c r="N246">
        <v>0</v>
      </c>
      <c r="S246" t="s">
        <v>2542</v>
      </c>
    </row>
    <row r="247" spans="1:19" hidden="1" x14ac:dyDescent="0.25">
      <c r="A247" t="s">
        <v>564</v>
      </c>
      <c r="B247" t="s">
        <v>30</v>
      </c>
      <c r="C247" t="s">
        <v>2390</v>
      </c>
      <c r="D247" t="s">
        <v>2543</v>
      </c>
      <c r="E247" t="s">
        <v>2352</v>
      </c>
      <c r="F247">
        <v>143</v>
      </c>
      <c r="G247" t="s">
        <v>2544</v>
      </c>
      <c r="H247" t="s">
        <v>2545</v>
      </c>
      <c r="I247">
        <v>107</v>
      </c>
      <c r="K247">
        <v>3979</v>
      </c>
      <c r="N247">
        <v>31</v>
      </c>
      <c r="Q247">
        <v>128</v>
      </c>
      <c r="S247" t="s">
        <v>2546</v>
      </c>
    </row>
    <row r="248" spans="1:19" hidden="1" x14ac:dyDescent="0.25">
      <c r="A248" t="s">
        <v>564</v>
      </c>
      <c r="B248" t="s">
        <v>30</v>
      </c>
      <c r="C248" t="s">
        <v>2533</v>
      </c>
      <c r="D248" t="s">
        <v>2547</v>
      </c>
      <c r="E248" t="s">
        <v>2310</v>
      </c>
      <c r="F248">
        <v>144</v>
      </c>
      <c r="G248" t="s">
        <v>2548</v>
      </c>
      <c r="H248" t="s">
        <v>2549</v>
      </c>
      <c r="I248">
        <v>98</v>
      </c>
      <c r="K248">
        <v>5890</v>
      </c>
      <c r="N248">
        <v>12</v>
      </c>
      <c r="Q248">
        <v>491</v>
      </c>
      <c r="S248" t="s">
        <v>2550</v>
      </c>
    </row>
    <row r="249" spans="1:19" hidden="1" x14ac:dyDescent="0.25">
      <c r="A249" t="s">
        <v>564</v>
      </c>
      <c r="B249" t="s">
        <v>30</v>
      </c>
      <c r="C249" t="s">
        <v>2551</v>
      </c>
      <c r="D249" t="s">
        <v>2552</v>
      </c>
      <c r="E249" t="s">
        <v>2224</v>
      </c>
      <c r="F249">
        <v>145</v>
      </c>
      <c r="G249" t="s">
        <v>2553</v>
      </c>
      <c r="H249" t="s">
        <v>2554</v>
      </c>
      <c r="I249">
        <v>81</v>
      </c>
      <c r="K249">
        <v>8984</v>
      </c>
      <c r="N249">
        <v>79</v>
      </c>
      <c r="Q249">
        <v>114</v>
      </c>
      <c r="S249" t="s">
        <v>2555</v>
      </c>
    </row>
    <row r="250" spans="1:19" hidden="1" x14ac:dyDescent="0.25">
      <c r="A250" t="s">
        <v>564</v>
      </c>
      <c r="B250" t="s">
        <v>30</v>
      </c>
      <c r="C250" t="s">
        <v>2468</v>
      </c>
      <c r="D250" t="s">
        <v>2556</v>
      </c>
      <c r="E250" t="s">
        <v>2557</v>
      </c>
      <c r="F250">
        <v>146</v>
      </c>
      <c r="G250" t="s">
        <v>2558</v>
      </c>
      <c r="H250" t="s">
        <v>2559</v>
      </c>
      <c r="I250">
        <v>154</v>
      </c>
      <c r="K250">
        <v>0</v>
      </c>
      <c r="N250">
        <v>0</v>
      </c>
      <c r="S250" t="s">
        <v>2560</v>
      </c>
    </row>
    <row r="251" spans="1:19" hidden="1" x14ac:dyDescent="0.25">
      <c r="A251" t="s">
        <v>564</v>
      </c>
      <c r="B251" t="s">
        <v>30</v>
      </c>
      <c r="C251" t="s">
        <v>2462</v>
      </c>
      <c r="D251" t="s">
        <v>2561</v>
      </c>
      <c r="E251" t="s">
        <v>30</v>
      </c>
      <c r="F251">
        <v>147</v>
      </c>
      <c r="G251" t="s">
        <v>2562</v>
      </c>
      <c r="H251" t="s">
        <v>2563</v>
      </c>
      <c r="S251" t="s">
        <v>2564</v>
      </c>
    </row>
    <row r="252" spans="1:19" hidden="1" x14ac:dyDescent="0.25">
      <c r="A252" t="s">
        <v>564</v>
      </c>
      <c r="B252" t="s">
        <v>30</v>
      </c>
      <c r="C252" t="s">
        <v>2565</v>
      </c>
      <c r="D252" t="s">
        <v>2566</v>
      </c>
      <c r="E252" t="s">
        <v>2324</v>
      </c>
      <c r="F252">
        <v>148</v>
      </c>
      <c r="G252" t="s">
        <v>2567</v>
      </c>
      <c r="H252" t="s">
        <v>2568</v>
      </c>
      <c r="I252">
        <v>101</v>
      </c>
      <c r="K252">
        <v>4717</v>
      </c>
      <c r="N252">
        <v>59</v>
      </c>
      <c r="Q252">
        <v>80</v>
      </c>
      <c r="S252" t="s">
        <v>2569</v>
      </c>
    </row>
    <row r="253" spans="1:19" hidden="1" x14ac:dyDescent="0.25">
      <c r="A253" t="s">
        <v>564</v>
      </c>
      <c r="B253" t="s">
        <v>30</v>
      </c>
      <c r="C253" t="s">
        <v>2570</v>
      </c>
      <c r="D253" t="s">
        <v>2571</v>
      </c>
      <c r="E253" t="s">
        <v>2572</v>
      </c>
      <c r="F253">
        <v>149</v>
      </c>
      <c r="G253" t="s">
        <v>2573</v>
      </c>
      <c r="H253" t="s">
        <v>2574</v>
      </c>
      <c r="I253">
        <v>167</v>
      </c>
      <c r="K253">
        <v>0</v>
      </c>
      <c r="N253">
        <v>0</v>
      </c>
      <c r="S253" t="s">
        <v>2575</v>
      </c>
    </row>
    <row r="254" spans="1:19" hidden="1" x14ac:dyDescent="0.25">
      <c r="A254" t="s">
        <v>564</v>
      </c>
      <c r="B254" t="s">
        <v>30</v>
      </c>
      <c r="C254" t="s">
        <v>2576</v>
      </c>
      <c r="D254" t="s">
        <v>2577</v>
      </c>
      <c r="E254" t="s">
        <v>30</v>
      </c>
      <c r="F254">
        <v>150</v>
      </c>
      <c r="G254" t="s">
        <v>2578</v>
      </c>
      <c r="H254" t="s">
        <v>2579</v>
      </c>
      <c r="S254" t="s">
        <v>2580</v>
      </c>
    </row>
    <row r="255" spans="1:19" hidden="1" x14ac:dyDescent="0.25">
      <c r="A255" t="s">
        <v>564</v>
      </c>
      <c r="B255" t="s">
        <v>30</v>
      </c>
      <c r="C255" t="s">
        <v>2581</v>
      </c>
      <c r="D255" t="s">
        <v>2582</v>
      </c>
      <c r="E255" t="s">
        <v>30</v>
      </c>
      <c r="F255">
        <v>151</v>
      </c>
      <c r="G255" t="s">
        <v>2583</v>
      </c>
      <c r="H255" t="s">
        <v>2584</v>
      </c>
      <c r="S255" t="s">
        <v>2585</v>
      </c>
    </row>
    <row r="256" spans="1:19" hidden="1" x14ac:dyDescent="0.25">
      <c r="A256" t="s">
        <v>564</v>
      </c>
      <c r="B256" t="s">
        <v>30</v>
      </c>
      <c r="C256" t="s">
        <v>2373</v>
      </c>
      <c r="D256" t="s">
        <v>2586</v>
      </c>
      <c r="E256" t="s">
        <v>30</v>
      </c>
      <c r="F256">
        <v>152</v>
      </c>
      <c r="G256" t="s">
        <v>2587</v>
      </c>
      <c r="H256" t="s">
        <v>2588</v>
      </c>
      <c r="S256" t="s">
        <v>2589</v>
      </c>
    </row>
    <row r="257" spans="1:19" hidden="1" x14ac:dyDescent="0.25">
      <c r="A257" t="s">
        <v>564</v>
      </c>
      <c r="B257" t="s">
        <v>30</v>
      </c>
      <c r="C257" t="s">
        <v>2590</v>
      </c>
      <c r="D257" t="s">
        <v>2591</v>
      </c>
      <c r="E257" t="s">
        <v>2592</v>
      </c>
      <c r="F257">
        <v>153</v>
      </c>
      <c r="G257" t="s">
        <v>2593</v>
      </c>
      <c r="H257" t="s">
        <v>2594</v>
      </c>
      <c r="I257">
        <v>180</v>
      </c>
      <c r="K257">
        <v>0</v>
      </c>
      <c r="N257">
        <v>0</v>
      </c>
      <c r="S257" t="s">
        <v>2595</v>
      </c>
    </row>
    <row r="258" spans="1:19" hidden="1" x14ac:dyDescent="0.25">
      <c r="A258" t="s">
        <v>564</v>
      </c>
      <c r="B258" t="s">
        <v>30</v>
      </c>
      <c r="C258" t="s">
        <v>2557</v>
      </c>
      <c r="D258" t="s">
        <v>2596</v>
      </c>
      <c r="E258" t="s">
        <v>2597</v>
      </c>
      <c r="F258">
        <v>154</v>
      </c>
      <c r="G258" t="s">
        <v>2598</v>
      </c>
      <c r="H258" t="s">
        <v>2599</v>
      </c>
      <c r="I258">
        <v>176</v>
      </c>
      <c r="K258">
        <v>0</v>
      </c>
      <c r="N258">
        <v>0</v>
      </c>
      <c r="S258" t="s">
        <v>2600</v>
      </c>
    </row>
    <row r="259" spans="1:19" hidden="1" x14ac:dyDescent="0.25">
      <c r="A259" t="s">
        <v>564</v>
      </c>
      <c r="B259" t="s">
        <v>30</v>
      </c>
      <c r="C259" t="s">
        <v>2601</v>
      </c>
      <c r="D259" t="s">
        <v>2602</v>
      </c>
      <c r="E259" t="s">
        <v>2041</v>
      </c>
      <c r="F259">
        <v>155</v>
      </c>
      <c r="G259" t="s">
        <v>2603</v>
      </c>
      <c r="H259" t="s">
        <v>2604</v>
      </c>
      <c r="I259">
        <v>45</v>
      </c>
      <c r="K259">
        <v>60688</v>
      </c>
      <c r="N259">
        <v>300</v>
      </c>
      <c r="Q259">
        <v>202</v>
      </c>
      <c r="S259" t="s">
        <v>2605</v>
      </c>
    </row>
    <row r="260" spans="1:19" hidden="1" x14ac:dyDescent="0.25">
      <c r="A260" t="s">
        <v>564</v>
      </c>
      <c r="B260" t="s">
        <v>30</v>
      </c>
      <c r="C260" t="s">
        <v>2408</v>
      </c>
      <c r="D260" t="s">
        <v>2606</v>
      </c>
      <c r="E260" t="s">
        <v>2607</v>
      </c>
      <c r="F260">
        <v>156</v>
      </c>
      <c r="G260" t="s">
        <v>2608</v>
      </c>
      <c r="H260" t="s">
        <v>2609</v>
      </c>
      <c r="I260">
        <v>186</v>
      </c>
      <c r="K260">
        <v>0</v>
      </c>
      <c r="N260">
        <v>0</v>
      </c>
      <c r="S260" t="s">
        <v>2610</v>
      </c>
    </row>
    <row r="261" spans="1:19" hidden="1" x14ac:dyDescent="0.25">
      <c r="A261" t="s">
        <v>564</v>
      </c>
      <c r="B261" t="s">
        <v>30</v>
      </c>
      <c r="C261" t="s">
        <v>2611</v>
      </c>
      <c r="D261" t="s">
        <v>2612</v>
      </c>
      <c r="E261" t="s">
        <v>2116</v>
      </c>
      <c r="F261">
        <v>157</v>
      </c>
      <c r="G261" t="s">
        <v>2613</v>
      </c>
      <c r="H261" t="s">
        <v>2614</v>
      </c>
      <c r="I261">
        <v>60</v>
      </c>
      <c r="K261">
        <v>30778</v>
      </c>
      <c r="N261">
        <v>286</v>
      </c>
      <c r="Q261">
        <v>108</v>
      </c>
      <c r="S261" t="s">
        <v>2615</v>
      </c>
    </row>
    <row r="262" spans="1:19" hidden="1" x14ac:dyDescent="0.25">
      <c r="A262" t="s">
        <v>564</v>
      </c>
      <c r="B262" t="s">
        <v>30</v>
      </c>
      <c r="C262" t="s">
        <v>2616</v>
      </c>
      <c r="D262" t="s">
        <v>2617</v>
      </c>
      <c r="E262" t="s">
        <v>2618</v>
      </c>
      <c r="F262">
        <v>158</v>
      </c>
      <c r="G262" t="s">
        <v>2619</v>
      </c>
      <c r="H262" t="s">
        <v>2620</v>
      </c>
      <c r="I262">
        <v>193</v>
      </c>
      <c r="K262">
        <v>0</v>
      </c>
      <c r="N262">
        <v>0</v>
      </c>
      <c r="S262" t="s">
        <v>2621</v>
      </c>
    </row>
    <row r="263" spans="1:19" hidden="1" x14ac:dyDescent="0.25">
      <c r="A263" t="s">
        <v>564</v>
      </c>
      <c r="B263" t="s">
        <v>30</v>
      </c>
      <c r="C263" t="s">
        <v>2384</v>
      </c>
      <c r="D263" t="s">
        <v>2622</v>
      </c>
      <c r="E263" t="s">
        <v>2623</v>
      </c>
      <c r="F263">
        <v>159</v>
      </c>
      <c r="G263" t="s">
        <v>2624</v>
      </c>
      <c r="H263" t="s">
        <v>2625</v>
      </c>
      <c r="I263">
        <v>184</v>
      </c>
      <c r="K263">
        <v>0</v>
      </c>
      <c r="N263">
        <v>0</v>
      </c>
      <c r="S263" t="s">
        <v>2626</v>
      </c>
    </row>
    <row r="264" spans="1:19" hidden="1" x14ac:dyDescent="0.25">
      <c r="A264" t="s">
        <v>564</v>
      </c>
      <c r="B264" t="s">
        <v>30</v>
      </c>
      <c r="C264" t="s">
        <v>2627</v>
      </c>
      <c r="D264" t="s">
        <v>2628</v>
      </c>
      <c r="E264" t="s">
        <v>2629</v>
      </c>
      <c r="F264">
        <v>160</v>
      </c>
      <c r="G264" t="s">
        <v>2630</v>
      </c>
      <c r="H264" t="s">
        <v>2631</v>
      </c>
      <c r="I264">
        <v>188</v>
      </c>
      <c r="K264">
        <v>0</v>
      </c>
      <c r="N264">
        <v>0</v>
      </c>
      <c r="S264" t="s">
        <v>2632</v>
      </c>
    </row>
    <row r="265" spans="1:19" hidden="1" x14ac:dyDescent="0.25">
      <c r="A265" t="s">
        <v>564</v>
      </c>
      <c r="B265" t="s">
        <v>30</v>
      </c>
      <c r="C265" t="s">
        <v>2633</v>
      </c>
      <c r="D265" t="s">
        <v>2634</v>
      </c>
      <c r="E265" t="s">
        <v>30</v>
      </c>
      <c r="F265">
        <v>161</v>
      </c>
      <c r="G265" t="s">
        <v>2635</v>
      </c>
      <c r="H265" t="s">
        <v>2636</v>
      </c>
      <c r="S265" t="s">
        <v>2637</v>
      </c>
    </row>
    <row r="266" spans="1:19" hidden="1" x14ac:dyDescent="0.25">
      <c r="A266" t="s">
        <v>564</v>
      </c>
      <c r="B266" t="s">
        <v>30</v>
      </c>
      <c r="C266" t="s">
        <v>2456</v>
      </c>
      <c r="D266" t="s">
        <v>2638</v>
      </c>
      <c r="E266" t="s">
        <v>30</v>
      </c>
      <c r="F266">
        <v>162</v>
      </c>
      <c r="G266" t="s">
        <v>2639</v>
      </c>
      <c r="H266" t="s">
        <v>2640</v>
      </c>
      <c r="S266" t="s">
        <v>2641</v>
      </c>
    </row>
    <row r="267" spans="1:19" hidden="1" x14ac:dyDescent="0.25">
      <c r="A267" t="s">
        <v>564</v>
      </c>
      <c r="B267" t="s">
        <v>30</v>
      </c>
      <c r="C267" t="s">
        <v>2642</v>
      </c>
      <c r="D267" t="s">
        <v>2643</v>
      </c>
      <c r="E267" t="s">
        <v>2644</v>
      </c>
      <c r="F267">
        <v>163</v>
      </c>
      <c r="G267" t="s">
        <v>2645</v>
      </c>
      <c r="H267" t="s">
        <v>2646</v>
      </c>
      <c r="I267">
        <v>166</v>
      </c>
      <c r="K267">
        <v>0</v>
      </c>
      <c r="N267">
        <v>0</v>
      </c>
      <c r="S267" t="s">
        <v>2647</v>
      </c>
    </row>
    <row r="268" spans="1:19" hidden="1" x14ac:dyDescent="0.25">
      <c r="A268" t="s">
        <v>564</v>
      </c>
      <c r="B268" t="s">
        <v>30</v>
      </c>
      <c r="C268" t="s">
        <v>2648</v>
      </c>
      <c r="D268" t="s">
        <v>2649</v>
      </c>
      <c r="E268" t="s">
        <v>30</v>
      </c>
      <c r="F268">
        <v>164</v>
      </c>
      <c r="G268" t="s">
        <v>2650</v>
      </c>
      <c r="H268" t="s">
        <v>2651</v>
      </c>
      <c r="S268" t="s">
        <v>2652</v>
      </c>
    </row>
    <row r="269" spans="1:19" hidden="1" x14ac:dyDescent="0.25">
      <c r="A269" t="s">
        <v>564</v>
      </c>
      <c r="B269" t="s">
        <v>30</v>
      </c>
      <c r="C269" t="s">
        <v>2653</v>
      </c>
      <c r="D269" t="s">
        <v>2654</v>
      </c>
      <c r="E269" t="s">
        <v>30</v>
      </c>
      <c r="F269">
        <v>165</v>
      </c>
      <c r="G269" t="s">
        <v>2655</v>
      </c>
      <c r="H269" t="s">
        <v>2656</v>
      </c>
      <c r="S269" t="s">
        <v>2657</v>
      </c>
    </row>
    <row r="270" spans="1:19" hidden="1" x14ac:dyDescent="0.25">
      <c r="A270" t="s">
        <v>564</v>
      </c>
      <c r="B270" t="s">
        <v>30</v>
      </c>
      <c r="C270" t="s">
        <v>2644</v>
      </c>
      <c r="D270" t="s">
        <v>2658</v>
      </c>
      <c r="E270" t="s">
        <v>2292</v>
      </c>
      <c r="F270">
        <v>166</v>
      </c>
      <c r="G270" t="s">
        <v>2659</v>
      </c>
      <c r="H270" t="s">
        <v>2660</v>
      </c>
      <c r="I270">
        <v>94</v>
      </c>
      <c r="K270">
        <v>6851</v>
      </c>
      <c r="N270">
        <v>90</v>
      </c>
      <c r="Q270">
        <v>76</v>
      </c>
      <c r="S270" t="s">
        <v>2661</v>
      </c>
    </row>
    <row r="271" spans="1:19" hidden="1" x14ac:dyDescent="0.25">
      <c r="A271" t="s">
        <v>564</v>
      </c>
      <c r="B271" t="s">
        <v>30</v>
      </c>
      <c r="C271" t="s">
        <v>2572</v>
      </c>
      <c r="D271" t="s">
        <v>2662</v>
      </c>
      <c r="E271" t="s">
        <v>2663</v>
      </c>
      <c r="F271">
        <v>167</v>
      </c>
      <c r="G271" t="s">
        <v>2664</v>
      </c>
      <c r="H271" t="s">
        <v>2665</v>
      </c>
      <c r="I271">
        <v>200</v>
      </c>
      <c r="K271">
        <v>0</v>
      </c>
      <c r="N271">
        <v>0</v>
      </c>
      <c r="S271" t="s">
        <v>2666</v>
      </c>
    </row>
    <row r="272" spans="1:19" hidden="1" x14ac:dyDescent="0.25">
      <c r="A272" t="s">
        <v>564</v>
      </c>
      <c r="B272" t="s">
        <v>30</v>
      </c>
      <c r="C272" t="s">
        <v>2667</v>
      </c>
      <c r="D272" t="s">
        <v>2668</v>
      </c>
      <c r="E272" t="s">
        <v>30</v>
      </c>
      <c r="F272">
        <v>168</v>
      </c>
      <c r="G272" t="s">
        <v>2669</v>
      </c>
      <c r="H272" t="s">
        <v>2670</v>
      </c>
      <c r="S272" t="s">
        <v>2671</v>
      </c>
    </row>
    <row r="273" spans="1:19" hidden="1" x14ac:dyDescent="0.25">
      <c r="A273" t="s">
        <v>564</v>
      </c>
      <c r="B273" t="s">
        <v>30</v>
      </c>
      <c r="C273" t="s">
        <v>2672</v>
      </c>
      <c r="D273" t="s">
        <v>2673</v>
      </c>
      <c r="E273" t="s">
        <v>2382</v>
      </c>
      <c r="F273">
        <v>169</v>
      </c>
      <c r="G273" t="s">
        <v>2674</v>
      </c>
      <c r="H273" t="s">
        <v>2675</v>
      </c>
      <c r="I273">
        <v>113</v>
      </c>
      <c r="K273">
        <v>0</v>
      </c>
      <c r="N273">
        <v>0</v>
      </c>
      <c r="S273" t="s">
        <v>2676</v>
      </c>
    </row>
    <row r="274" spans="1:19" hidden="1" x14ac:dyDescent="0.25">
      <c r="A274" t="s">
        <v>564</v>
      </c>
      <c r="B274" t="s">
        <v>30</v>
      </c>
      <c r="C274" t="s">
        <v>2677</v>
      </c>
      <c r="D274" t="s">
        <v>2678</v>
      </c>
      <c r="E274" t="s">
        <v>30</v>
      </c>
      <c r="F274">
        <v>170</v>
      </c>
      <c r="G274" t="s">
        <v>2679</v>
      </c>
      <c r="H274" t="s">
        <v>2680</v>
      </c>
      <c r="S274" t="s">
        <v>2681</v>
      </c>
    </row>
    <row r="275" spans="1:19" hidden="1" x14ac:dyDescent="0.25">
      <c r="A275" t="s">
        <v>564</v>
      </c>
      <c r="B275" t="s">
        <v>30</v>
      </c>
      <c r="C275" t="s">
        <v>2445</v>
      </c>
      <c r="D275" t="s">
        <v>2682</v>
      </c>
      <c r="E275" t="s">
        <v>2683</v>
      </c>
      <c r="F275">
        <v>171</v>
      </c>
      <c r="G275" t="s">
        <v>2684</v>
      </c>
      <c r="H275" t="s">
        <v>2685</v>
      </c>
      <c r="I275">
        <v>207</v>
      </c>
      <c r="K275">
        <v>0</v>
      </c>
      <c r="N275">
        <v>0</v>
      </c>
      <c r="S275" t="s">
        <v>2686</v>
      </c>
    </row>
    <row r="276" spans="1:19" hidden="1" x14ac:dyDescent="0.25">
      <c r="A276" t="s">
        <v>564</v>
      </c>
      <c r="B276" t="s">
        <v>30</v>
      </c>
      <c r="C276" t="s">
        <v>2687</v>
      </c>
      <c r="D276" t="s">
        <v>2688</v>
      </c>
      <c r="E276" t="s">
        <v>2689</v>
      </c>
      <c r="F276">
        <v>172</v>
      </c>
      <c r="G276" t="s">
        <v>2385</v>
      </c>
      <c r="H276" t="s">
        <v>2690</v>
      </c>
      <c r="I276">
        <v>206</v>
      </c>
      <c r="K276">
        <v>0</v>
      </c>
      <c r="N276">
        <v>0</v>
      </c>
      <c r="S276" t="s">
        <v>2691</v>
      </c>
    </row>
    <row r="277" spans="1:19" hidden="1" x14ac:dyDescent="0.25">
      <c r="A277" t="s">
        <v>564</v>
      </c>
      <c r="B277" t="s">
        <v>30</v>
      </c>
      <c r="C277" t="s">
        <v>2692</v>
      </c>
      <c r="D277" t="s">
        <v>2693</v>
      </c>
      <c r="E277" t="s">
        <v>30</v>
      </c>
      <c r="F277">
        <v>173</v>
      </c>
      <c r="G277" t="s">
        <v>2694</v>
      </c>
      <c r="H277" t="s">
        <v>2695</v>
      </c>
      <c r="S277" t="s">
        <v>2696</v>
      </c>
    </row>
    <row r="278" spans="1:19" hidden="1" x14ac:dyDescent="0.25">
      <c r="A278" t="s">
        <v>564</v>
      </c>
      <c r="B278" t="s">
        <v>30</v>
      </c>
      <c r="C278" t="s">
        <v>2697</v>
      </c>
      <c r="D278" t="s">
        <v>2698</v>
      </c>
      <c r="E278" t="s">
        <v>2576</v>
      </c>
      <c r="F278">
        <v>174</v>
      </c>
      <c r="G278" t="s">
        <v>2699</v>
      </c>
      <c r="H278" t="s">
        <v>2700</v>
      </c>
      <c r="I278">
        <v>150</v>
      </c>
      <c r="K278">
        <v>0</v>
      </c>
      <c r="N278">
        <v>0</v>
      </c>
      <c r="S278" t="s">
        <v>2701</v>
      </c>
    </row>
    <row r="279" spans="1:19" hidden="1" x14ac:dyDescent="0.25">
      <c r="A279" t="s">
        <v>564</v>
      </c>
      <c r="B279" t="s">
        <v>30</v>
      </c>
      <c r="C279" t="s">
        <v>2539</v>
      </c>
      <c r="D279" t="s">
        <v>2702</v>
      </c>
      <c r="E279" t="s">
        <v>30</v>
      </c>
      <c r="F279">
        <v>175</v>
      </c>
      <c r="G279" t="s">
        <v>2703</v>
      </c>
      <c r="H279" t="s">
        <v>2704</v>
      </c>
      <c r="S279" t="s">
        <v>2705</v>
      </c>
    </row>
    <row r="280" spans="1:19" hidden="1" x14ac:dyDescent="0.25">
      <c r="A280" t="s">
        <v>564</v>
      </c>
      <c r="B280" t="s">
        <v>30</v>
      </c>
      <c r="C280" t="s">
        <v>2597</v>
      </c>
      <c r="D280" t="s">
        <v>2706</v>
      </c>
      <c r="E280" t="s">
        <v>2707</v>
      </c>
      <c r="F280">
        <v>176</v>
      </c>
      <c r="G280" t="s">
        <v>2708</v>
      </c>
      <c r="H280" t="s">
        <v>2709</v>
      </c>
      <c r="I280">
        <v>202</v>
      </c>
      <c r="K280">
        <v>0</v>
      </c>
      <c r="N280">
        <v>0</v>
      </c>
      <c r="S280" t="s">
        <v>2710</v>
      </c>
    </row>
    <row r="281" spans="1:19" hidden="1" x14ac:dyDescent="0.25">
      <c r="A281" t="s">
        <v>564</v>
      </c>
      <c r="B281" t="s">
        <v>30</v>
      </c>
      <c r="C281" t="s">
        <v>2711</v>
      </c>
      <c r="D281" t="s">
        <v>2712</v>
      </c>
      <c r="E281" t="s">
        <v>30</v>
      </c>
      <c r="F281">
        <v>177</v>
      </c>
      <c r="G281" t="s">
        <v>2713</v>
      </c>
      <c r="H281" t="s">
        <v>2714</v>
      </c>
      <c r="S281" t="s">
        <v>2715</v>
      </c>
    </row>
    <row r="282" spans="1:19" hidden="1" x14ac:dyDescent="0.25">
      <c r="A282" t="s">
        <v>564</v>
      </c>
      <c r="B282" t="s">
        <v>30</v>
      </c>
      <c r="C282" t="s">
        <v>2716</v>
      </c>
      <c r="D282" t="s">
        <v>2717</v>
      </c>
      <c r="E282" t="s">
        <v>2642</v>
      </c>
      <c r="F282">
        <v>178</v>
      </c>
      <c r="G282" t="s">
        <v>2718</v>
      </c>
      <c r="H282" t="s">
        <v>2719</v>
      </c>
      <c r="I282">
        <v>163</v>
      </c>
      <c r="K282">
        <v>0</v>
      </c>
      <c r="N282">
        <v>0</v>
      </c>
      <c r="S282" t="s">
        <v>2720</v>
      </c>
    </row>
    <row r="283" spans="1:19" hidden="1" x14ac:dyDescent="0.25">
      <c r="A283" t="s">
        <v>564</v>
      </c>
      <c r="B283" t="s">
        <v>30</v>
      </c>
      <c r="C283" t="s">
        <v>2721</v>
      </c>
      <c r="D283" t="s">
        <v>2722</v>
      </c>
      <c r="E283" t="s">
        <v>2417</v>
      </c>
      <c r="F283">
        <v>179</v>
      </c>
      <c r="G283" t="s">
        <v>2723</v>
      </c>
      <c r="H283" t="s">
        <v>2724</v>
      </c>
      <c r="I283">
        <v>119</v>
      </c>
      <c r="K283">
        <v>0</v>
      </c>
      <c r="N283">
        <v>0</v>
      </c>
      <c r="S283" t="s">
        <v>2725</v>
      </c>
    </row>
    <row r="284" spans="1:19" hidden="1" x14ac:dyDescent="0.25">
      <c r="A284" t="s">
        <v>564</v>
      </c>
      <c r="B284" t="s">
        <v>30</v>
      </c>
      <c r="C284" t="s">
        <v>2592</v>
      </c>
      <c r="D284" t="s">
        <v>2726</v>
      </c>
      <c r="E284" t="s">
        <v>2051</v>
      </c>
      <c r="F284">
        <v>180</v>
      </c>
      <c r="G284" t="s">
        <v>2727</v>
      </c>
      <c r="H284" t="s">
        <v>2728</v>
      </c>
      <c r="I284">
        <v>47</v>
      </c>
      <c r="K284">
        <v>56361</v>
      </c>
      <c r="N284">
        <v>467</v>
      </c>
      <c r="Q284">
        <v>121</v>
      </c>
      <c r="S284" t="s">
        <v>2729</v>
      </c>
    </row>
    <row r="285" spans="1:19" hidden="1" x14ac:dyDescent="0.25">
      <c r="A285" t="s">
        <v>564</v>
      </c>
      <c r="B285" t="s">
        <v>30</v>
      </c>
      <c r="C285" t="s">
        <v>2730</v>
      </c>
      <c r="D285" t="s">
        <v>2731</v>
      </c>
      <c r="E285" t="s">
        <v>30</v>
      </c>
      <c r="F285">
        <v>181</v>
      </c>
      <c r="G285" t="s">
        <v>2732</v>
      </c>
      <c r="H285" t="s">
        <v>2733</v>
      </c>
      <c r="S285" t="s">
        <v>2734</v>
      </c>
    </row>
    <row r="286" spans="1:19" hidden="1" x14ac:dyDescent="0.25">
      <c r="A286" t="s">
        <v>564</v>
      </c>
      <c r="B286" t="s">
        <v>30</v>
      </c>
      <c r="C286" t="s">
        <v>2735</v>
      </c>
      <c r="D286" t="s">
        <v>2736</v>
      </c>
      <c r="E286" t="s">
        <v>30</v>
      </c>
      <c r="F286">
        <v>182</v>
      </c>
      <c r="G286" t="s">
        <v>2737</v>
      </c>
      <c r="H286" t="s">
        <v>2738</v>
      </c>
      <c r="S286" t="s">
        <v>2739</v>
      </c>
    </row>
    <row r="287" spans="1:19" hidden="1" x14ac:dyDescent="0.25">
      <c r="A287" t="s">
        <v>564</v>
      </c>
      <c r="B287" t="s">
        <v>30</v>
      </c>
      <c r="C287" t="s">
        <v>2740</v>
      </c>
      <c r="D287" t="s">
        <v>2741</v>
      </c>
      <c r="E287" t="s">
        <v>2742</v>
      </c>
      <c r="F287">
        <v>183</v>
      </c>
      <c r="G287" t="s">
        <v>2743</v>
      </c>
      <c r="H287" t="s">
        <v>2744</v>
      </c>
      <c r="I287">
        <v>189</v>
      </c>
      <c r="K287">
        <v>0</v>
      </c>
      <c r="N287">
        <v>0</v>
      </c>
      <c r="S287" t="s">
        <v>2745</v>
      </c>
    </row>
    <row r="288" spans="1:19" hidden="1" x14ac:dyDescent="0.25">
      <c r="A288" t="s">
        <v>564</v>
      </c>
      <c r="B288" t="s">
        <v>30</v>
      </c>
      <c r="C288" t="s">
        <v>2623</v>
      </c>
      <c r="D288" t="s">
        <v>2746</v>
      </c>
      <c r="E288" t="s">
        <v>2616</v>
      </c>
      <c r="F288">
        <v>184</v>
      </c>
      <c r="G288" t="s">
        <v>2747</v>
      </c>
      <c r="H288" t="s">
        <v>2748</v>
      </c>
      <c r="I288">
        <v>158</v>
      </c>
      <c r="K288">
        <v>0</v>
      </c>
      <c r="N288">
        <v>0</v>
      </c>
      <c r="S288" t="s">
        <v>2749</v>
      </c>
    </row>
    <row r="289" spans="1:19" hidden="1" x14ac:dyDescent="0.25">
      <c r="A289" t="s">
        <v>564</v>
      </c>
      <c r="B289" t="s">
        <v>30</v>
      </c>
      <c r="C289" t="s">
        <v>2750</v>
      </c>
      <c r="D289" t="s">
        <v>2751</v>
      </c>
      <c r="E289" t="s">
        <v>30</v>
      </c>
      <c r="F289">
        <v>185</v>
      </c>
      <c r="G289" t="s">
        <v>1960</v>
      </c>
      <c r="H289" t="s">
        <v>2752</v>
      </c>
      <c r="S289" t="s">
        <v>2753</v>
      </c>
    </row>
    <row r="290" spans="1:19" hidden="1" x14ac:dyDescent="0.25">
      <c r="A290" t="s">
        <v>564</v>
      </c>
      <c r="B290" t="s">
        <v>30</v>
      </c>
      <c r="C290" t="s">
        <v>2607</v>
      </c>
      <c r="D290" t="s">
        <v>2754</v>
      </c>
      <c r="E290" t="s">
        <v>2687</v>
      </c>
      <c r="F290">
        <v>186</v>
      </c>
      <c r="G290" t="s">
        <v>2755</v>
      </c>
      <c r="H290" t="s">
        <v>2756</v>
      </c>
      <c r="I290">
        <v>172</v>
      </c>
      <c r="K290">
        <v>0</v>
      </c>
      <c r="N290">
        <v>0</v>
      </c>
      <c r="S290" t="s">
        <v>2757</v>
      </c>
    </row>
    <row r="291" spans="1:19" hidden="1" x14ac:dyDescent="0.25">
      <c r="A291" t="s">
        <v>564</v>
      </c>
      <c r="B291" t="s">
        <v>30</v>
      </c>
      <c r="C291" t="s">
        <v>2514</v>
      </c>
      <c r="D291" t="s">
        <v>2758</v>
      </c>
      <c r="E291" t="s">
        <v>30</v>
      </c>
      <c r="F291">
        <v>187</v>
      </c>
      <c r="G291" t="s">
        <v>2759</v>
      </c>
      <c r="H291" t="s">
        <v>2760</v>
      </c>
      <c r="S291" t="s">
        <v>2761</v>
      </c>
    </row>
    <row r="292" spans="1:19" hidden="1" x14ac:dyDescent="0.25">
      <c r="A292" t="s">
        <v>564</v>
      </c>
      <c r="B292" t="s">
        <v>30</v>
      </c>
      <c r="C292" t="s">
        <v>2629</v>
      </c>
      <c r="D292" t="s">
        <v>2762</v>
      </c>
      <c r="E292" t="s">
        <v>2581</v>
      </c>
      <c r="F292">
        <v>188</v>
      </c>
      <c r="G292" t="s">
        <v>2763</v>
      </c>
      <c r="H292" t="s">
        <v>2764</v>
      </c>
      <c r="I292">
        <v>151</v>
      </c>
      <c r="K292">
        <v>0</v>
      </c>
      <c r="N292">
        <v>0</v>
      </c>
      <c r="S292" t="s">
        <v>2765</v>
      </c>
    </row>
    <row r="293" spans="1:19" hidden="1" x14ac:dyDescent="0.25">
      <c r="A293" t="s">
        <v>564</v>
      </c>
      <c r="B293" t="s">
        <v>30</v>
      </c>
      <c r="C293" t="s">
        <v>2742</v>
      </c>
      <c r="D293" t="s">
        <v>2766</v>
      </c>
      <c r="E293" t="s">
        <v>1923</v>
      </c>
      <c r="F293">
        <v>189</v>
      </c>
      <c r="G293" t="s">
        <v>2767</v>
      </c>
      <c r="H293" t="s">
        <v>2768</v>
      </c>
      <c r="I293">
        <v>21</v>
      </c>
      <c r="K293">
        <v>141736</v>
      </c>
      <c r="N293">
        <v>335</v>
      </c>
      <c r="Q293">
        <v>423</v>
      </c>
      <c r="S293" t="s">
        <v>2769</v>
      </c>
    </row>
    <row r="294" spans="1:19" hidden="1" x14ac:dyDescent="0.25">
      <c r="A294" t="s">
        <v>564</v>
      </c>
      <c r="B294" t="s">
        <v>30</v>
      </c>
      <c r="C294" t="s">
        <v>2770</v>
      </c>
      <c r="D294" t="s">
        <v>2771</v>
      </c>
      <c r="E294" t="s">
        <v>30</v>
      </c>
      <c r="F294">
        <v>190</v>
      </c>
      <c r="G294" t="s">
        <v>2772</v>
      </c>
      <c r="H294" t="s">
        <v>2773</v>
      </c>
      <c r="S294" t="s">
        <v>2774</v>
      </c>
    </row>
    <row r="295" spans="1:19" hidden="1" x14ac:dyDescent="0.25">
      <c r="A295" t="s">
        <v>564</v>
      </c>
      <c r="B295" t="s">
        <v>30</v>
      </c>
      <c r="C295" t="s">
        <v>2775</v>
      </c>
      <c r="D295" t="s">
        <v>2776</v>
      </c>
      <c r="E295" t="s">
        <v>2777</v>
      </c>
      <c r="F295">
        <v>191</v>
      </c>
      <c r="G295" t="s">
        <v>2778</v>
      </c>
      <c r="H295" t="s">
        <v>2779</v>
      </c>
      <c r="I295">
        <v>197</v>
      </c>
      <c r="K295">
        <v>0</v>
      </c>
      <c r="N295">
        <v>0</v>
      </c>
      <c r="S295" t="s">
        <v>2780</v>
      </c>
    </row>
    <row r="296" spans="1:19" hidden="1" x14ac:dyDescent="0.25">
      <c r="A296" t="s">
        <v>564</v>
      </c>
      <c r="B296" t="s">
        <v>30</v>
      </c>
      <c r="C296" t="s">
        <v>2396</v>
      </c>
      <c r="D296" t="s">
        <v>2781</v>
      </c>
      <c r="E296" t="s">
        <v>2782</v>
      </c>
      <c r="F296">
        <v>192</v>
      </c>
      <c r="G296" t="s">
        <v>2783</v>
      </c>
      <c r="H296" t="s">
        <v>2784</v>
      </c>
      <c r="I296">
        <v>199</v>
      </c>
      <c r="K296">
        <v>0</v>
      </c>
      <c r="N296">
        <v>0</v>
      </c>
      <c r="S296" t="s">
        <v>2785</v>
      </c>
    </row>
    <row r="297" spans="1:19" hidden="1" x14ac:dyDescent="0.25">
      <c r="A297" t="s">
        <v>564</v>
      </c>
      <c r="B297" t="s">
        <v>30</v>
      </c>
      <c r="C297" t="s">
        <v>2618</v>
      </c>
      <c r="D297" t="s">
        <v>2786</v>
      </c>
      <c r="E297" t="s">
        <v>2633</v>
      </c>
      <c r="F297">
        <v>193</v>
      </c>
      <c r="G297" t="s">
        <v>2787</v>
      </c>
      <c r="H297" t="s">
        <v>2788</v>
      </c>
      <c r="I297">
        <v>161</v>
      </c>
      <c r="K297">
        <v>0</v>
      </c>
      <c r="N297">
        <v>0</v>
      </c>
      <c r="S297" t="s">
        <v>2789</v>
      </c>
    </row>
    <row r="298" spans="1:19" hidden="1" x14ac:dyDescent="0.25">
      <c r="A298" t="s">
        <v>564</v>
      </c>
      <c r="B298" t="s">
        <v>30</v>
      </c>
      <c r="C298" t="s">
        <v>2413</v>
      </c>
      <c r="D298" t="s">
        <v>2790</v>
      </c>
      <c r="E298" t="s">
        <v>2388</v>
      </c>
      <c r="F298">
        <v>194</v>
      </c>
      <c r="G298" t="s">
        <v>2791</v>
      </c>
      <c r="H298" t="s">
        <v>2792</v>
      </c>
      <c r="I298">
        <v>114</v>
      </c>
      <c r="K298">
        <v>0</v>
      </c>
      <c r="N298">
        <v>0</v>
      </c>
      <c r="S298" t="s">
        <v>2793</v>
      </c>
    </row>
    <row r="299" spans="1:19" hidden="1" x14ac:dyDescent="0.25">
      <c r="A299" t="s">
        <v>564</v>
      </c>
      <c r="B299" t="s">
        <v>30</v>
      </c>
      <c r="C299" t="s">
        <v>2794</v>
      </c>
      <c r="D299" t="s">
        <v>2795</v>
      </c>
      <c r="E299" t="s">
        <v>2503</v>
      </c>
      <c r="F299">
        <v>195</v>
      </c>
      <c r="G299" t="s">
        <v>2796</v>
      </c>
      <c r="H299" t="s">
        <v>2797</v>
      </c>
      <c r="I299">
        <v>135</v>
      </c>
      <c r="K299">
        <v>0</v>
      </c>
      <c r="N299">
        <v>0</v>
      </c>
      <c r="S299" t="s">
        <v>2798</v>
      </c>
    </row>
    <row r="300" spans="1:19" hidden="1" x14ac:dyDescent="0.25">
      <c r="A300" t="s">
        <v>564</v>
      </c>
      <c r="B300" t="s">
        <v>30</v>
      </c>
      <c r="C300" t="s">
        <v>2799</v>
      </c>
      <c r="D300" t="s">
        <v>2800</v>
      </c>
      <c r="E300" t="s">
        <v>30</v>
      </c>
      <c r="F300">
        <v>196</v>
      </c>
      <c r="G300" t="s">
        <v>2801</v>
      </c>
      <c r="H300" t="s">
        <v>2802</v>
      </c>
      <c r="S300" t="s">
        <v>2803</v>
      </c>
    </row>
    <row r="301" spans="1:19" hidden="1" x14ac:dyDescent="0.25">
      <c r="A301" t="s">
        <v>564</v>
      </c>
      <c r="B301" t="s">
        <v>30</v>
      </c>
      <c r="C301" t="s">
        <v>2777</v>
      </c>
      <c r="D301" t="s">
        <v>2804</v>
      </c>
      <c r="E301" t="s">
        <v>2711</v>
      </c>
      <c r="F301">
        <v>197</v>
      </c>
      <c r="G301" t="s">
        <v>2805</v>
      </c>
      <c r="H301" t="s">
        <v>2806</v>
      </c>
      <c r="I301">
        <v>177</v>
      </c>
      <c r="K301">
        <v>0</v>
      </c>
      <c r="N301">
        <v>0</v>
      </c>
      <c r="S301" t="s">
        <v>2807</v>
      </c>
    </row>
    <row r="302" spans="1:19" hidden="1" x14ac:dyDescent="0.25">
      <c r="A302" t="s">
        <v>564</v>
      </c>
      <c r="B302" t="s">
        <v>30</v>
      </c>
      <c r="C302" t="s">
        <v>2499</v>
      </c>
      <c r="D302" t="s">
        <v>2808</v>
      </c>
      <c r="E302" t="s">
        <v>2653</v>
      </c>
      <c r="F302">
        <v>198</v>
      </c>
      <c r="G302" t="s">
        <v>2809</v>
      </c>
      <c r="H302" t="s">
        <v>2810</v>
      </c>
      <c r="I302">
        <v>165</v>
      </c>
      <c r="K302">
        <v>0</v>
      </c>
      <c r="N302">
        <v>0</v>
      </c>
      <c r="S302" t="s">
        <v>2811</v>
      </c>
    </row>
    <row r="303" spans="1:19" hidden="1" x14ac:dyDescent="0.25">
      <c r="A303" t="s">
        <v>564</v>
      </c>
      <c r="B303" t="s">
        <v>30</v>
      </c>
      <c r="C303" t="s">
        <v>2782</v>
      </c>
      <c r="D303" t="s">
        <v>2812</v>
      </c>
      <c r="E303" t="s">
        <v>30</v>
      </c>
      <c r="F303">
        <v>199</v>
      </c>
      <c r="G303" t="s">
        <v>2813</v>
      </c>
      <c r="H303" t="s">
        <v>2814</v>
      </c>
      <c r="S303" t="s">
        <v>2815</v>
      </c>
    </row>
    <row r="304" spans="1:19" hidden="1" x14ac:dyDescent="0.25">
      <c r="A304" t="s">
        <v>564</v>
      </c>
      <c r="B304" t="s">
        <v>30</v>
      </c>
      <c r="C304" t="s">
        <v>2663</v>
      </c>
      <c r="D304" t="s">
        <v>2816</v>
      </c>
      <c r="E304" t="s">
        <v>30</v>
      </c>
      <c r="F304">
        <v>200</v>
      </c>
      <c r="G304" t="s">
        <v>2163</v>
      </c>
      <c r="H304" t="s">
        <v>2817</v>
      </c>
      <c r="S304" t="s">
        <v>2818</v>
      </c>
    </row>
    <row r="305" spans="1:19" hidden="1" x14ac:dyDescent="0.25">
      <c r="A305" t="s">
        <v>564</v>
      </c>
      <c r="B305" t="s">
        <v>30</v>
      </c>
      <c r="C305" t="s">
        <v>2819</v>
      </c>
      <c r="D305" t="s">
        <v>2820</v>
      </c>
      <c r="E305" t="s">
        <v>30</v>
      </c>
      <c r="F305">
        <v>201</v>
      </c>
      <c r="G305" t="s">
        <v>2821</v>
      </c>
      <c r="H305" t="s">
        <v>2822</v>
      </c>
      <c r="S305" t="s">
        <v>2823</v>
      </c>
    </row>
    <row r="306" spans="1:19" hidden="1" x14ac:dyDescent="0.25">
      <c r="A306" t="s">
        <v>564</v>
      </c>
      <c r="B306" t="s">
        <v>30</v>
      </c>
      <c r="C306" t="s">
        <v>2707</v>
      </c>
      <c r="D306" t="s">
        <v>2824</v>
      </c>
      <c r="E306" t="s">
        <v>2667</v>
      </c>
      <c r="F306">
        <v>202</v>
      </c>
      <c r="G306" t="s">
        <v>2825</v>
      </c>
      <c r="H306" t="s">
        <v>2826</v>
      </c>
      <c r="I306">
        <v>168</v>
      </c>
      <c r="K306">
        <v>0</v>
      </c>
      <c r="N306">
        <v>0</v>
      </c>
      <c r="S306" t="s">
        <v>2827</v>
      </c>
    </row>
    <row r="307" spans="1:19" hidden="1" x14ac:dyDescent="0.25">
      <c r="A307" t="s">
        <v>564</v>
      </c>
      <c r="B307" t="s">
        <v>30</v>
      </c>
      <c r="C307" t="s">
        <v>2828</v>
      </c>
      <c r="D307" t="s">
        <v>2829</v>
      </c>
      <c r="E307" t="s">
        <v>2343</v>
      </c>
      <c r="F307">
        <v>203</v>
      </c>
      <c r="G307" t="s">
        <v>2830</v>
      </c>
      <c r="H307" t="s">
        <v>2831</v>
      </c>
      <c r="I307">
        <v>105</v>
      </c>
      <c r="K307">
        <v>3992</v>
      </c>
      <c r="N307">
        <v>46</v>
      </c>
      <c r="Q307">
        <v>87</v>
      </c>
      <c r="S307" t="s">
        <v>2832</v>
      </c>
    </row>
    <row r="308" spans="1:19" hidden="1" x14ac:dyDescent="0.25">
      <c r="A308" t="s">
        <v>564</v>
      </c>
      <c r="B308" t="s">
        <v>30</v>
      </c>
      <c r="C308" t="s">
        <v>2833</v>
      </c>
      <c r="D308" t="s">
        <v>2834</v>
      </c>
      <c r="E308" t="s">
        <v>2056</v>
      </c>
      <c r="F308">
        <v>204</v>
      </c>
      <c r="G308" t="s">
        <v>2835</v>
      </c>
      <c r="H308" t="s">
        <v>2836</v>
      </c>
      <c r="I308">
        <v>48</v>
      </c>
      <c r="K308">
        <v>53573</v>
      </c>
      <c r="N308">
        <v>517</v>
      </c>
      <c r="Q308">
        <v>104</v>
      </c>
      <c r="S308" t="s">
        <v>2837</v>
      </c>
    </row>
    <row r="309" spans="1:19" hidden="1" x14ac:dyDescent="0.25">
      <c r="A309" t="s">
        <v>564</v>
      </c>
      <c r="B309" t="s">
        <v>30</v>
      </c>
      <c r="C309" t="s">
        <v>2488</v>
      </c>
      <c r="D309" t="s">
        <v>2838</v>
      </c>
      <c r="E309" t="s">
        <v>2437</v>
      </c>
      <c r="F309">
        <v>205</v>
      </c>
      <c r="G309" t="s">
        <v>2839</v>
      </c>
      <c r="H309" t="s">
        <v>2840</v>
      </c>
      <c r="I309">
        <v>123</v>
      </c>
      <c r="K309">
        <v>0</v>
      </c>
      <c r="N309">
        <v>0</v>
      </c>
      <c r="S309" t="s">
        <v>2841</v>
      </c>
    </row>
    <row r="310" spans="1:19" hidden="1" x14ac:dyDescent="0.25">
      <c r="A310" t="s">
        <v>564</v>
      </c>
      <c r="B310" t="s">
        <v>30</v>
      </c>
      <c r="C310" t="s">
        <v>2689</v>
      </c>
      <c r="D310" t="s">
        <v>2842</v>
      </c>
      <c r="E310" t="s">
        <v>30</v>
      </c>
      <c r="F310">
        <v>206</v>
      </c>
      <c r="G310" t="s">
        <v>1960</v>
      </c>
      <c r="H310" t="s">
        <v>2843</v>
      </c>
      <c r="S310" t="s">
        <v>2844</v>
      </c>
    </row>
    <row r="311" spans="1:19" hidden="1" x14ac:dyDescent="0.25">
      <c r="A311" t="s">
        <v>564</v>
      </c>
      <c r="B311" t="s">
        <v>30</v>
      </c>
      <c r="C311" t="s">
        <v>2683</v>
      </c>
      <c r="D311" t="s">
        <v>2845</v>
      </c>
      <c r="E311" t="s">
        <v>2486</v>
      </c>
      <c r="F311">
        <v>207</v>
      </c>
      <c r="G311" t="s">
        <v>2846</v>
      </c>
      <c r="H311" t="s">
        <v>2847</v>
      </c>
      <c r="I311">
        <v>132</v>
      </c>
      <c r="K311">
        <v>0</v>
      </c>
      <c r="N311">
        <v>0</v>
      </c>
      <c r="S311" t="s">
        <v>2848</v>
      </c>
    </row>
    <row r="312" spans="1:19" hidden="1" x14ac:dyDescent="0.25">
      <c r="A312" t="s">
        <v>564</v>
      </c>
      <c r="B312" t="s">
        <v>30</v>
      </c>
      <c r="C312" t="s">
        <v>2849</v>
      </c>
      <c r="D312" t="s">
        <v>2850</v>
      </c>
      <c r="E312" t="s">
        <v>30</v>
      </c>
      <c r="F312">
        <v>208</v>
      </c>
      <c r="G312" t="s">
        <v>2851</v>
      </c>
      <c r="H312" t="s">
        <v>2852</v>
      </c>
      <c r="S312" t="s">
        <v>2853</v>
      </c>
    </row>
    <row r="313" spans="1:19" hidden="1" x14ac:dyDescent="0.25">
      <c r="A313" t="s">
        <v>564</v>
      </c>
      <c r="B313" t="s">
        <v>30</v>
      </c>
      <c r="C313" t="s">
        <v>2854</v>
      </c>
      <c r="D313" t="s">
        <v>2855</v>
      </c>
      <c r="E313" t="s">
        <v>30</v>
      </c>
      <c r="F313">
        <v>209</v>
      </c>
      <c r="G313" t="s">
        <v>1960</v>
      </c>
      <c r="H313" t="s">
        <v>2856</v>
      </c>
      <c r="S313" t="s">
        <v>2857</v>
      </c>
    </row>
    <row r="314" spans="1:19" hidden="1" x14ac:dyDescent="0.25">
      <c r="A314" t="s">
        <v>564</v>
      </c>
      <c r="B314" t="s">
        <v>30</v>
      </c>
      <c r="C314" t="s">
        <v>2858</v>
      </c>
      <c r="D314" t="s">
        <v>2859</v>
      </c>
      <c r="E314" t="s">
        <v>30</v>
      </c>
      <c r="F314">
        <v>210</v>
      </c>
      <c r="G314" t="s">
        <v>2860</v>
      </c>
      <c r="H314" t="s">
        <v>2861</v>
      </c>
      <c r="S314" t="s">
        <v>2862</v>
      </c>
    </row>
    <row r="315" spans="1:19" hidden="1" x14ac:dyDescent="0.25">
      <c r="A315" t="s">
        <v>564</v>
      </c>
      <c r="B315" t="s">
        <v>30</v>
      </c>
      <c r="C315" t="s">
        <v>2863</v>
      </c>
      <c r="D315" t="s">
        <v>2864</v>
      </c>
      <c r="E315" t="s">
        <v>2819</v>
      </c>
      <c r="F315">
        <v>211</v>
      </c>
      <c r="G315" t="s">
        <v>2865</v>
      </c>
      <c r="H315" t="s">
        <v>2866</v>
      </c>
      <c r="I315">
        <v>201</v>
      </c>
      <c r="K315">
        <v>0</v>
      </c>
      <c r="N315">
        <v>0</v>
      </c>
      <c r="S315" t="s">
        <v>2867</v>
      </c>
    </row>
    <row r="316" spans="1:19" hidden="1" x14ac:dyDescent="0.25">
      <c r="A316" t="s">
        <v>564</v>
      </c>
      <c r="B316" t="s">
        <v>30</v>
      </c>
      <c r="C316" t="s">
        <v>2868</v>
      </c>
      <c r="D316" t="s">
        <v>2869</v>
      </c>
      <c r="E316" t="s">
        <v>2406</v>
      </c>
      <c r="F316">
        <v>212</v>
      </c>
      <c r="G316" t="s">
        <v>2870</v>
      </c>
      <c r="H316" t="s">
        <v>2871</v>
      </c>
      <c r="I316">
        <v>117</v>
      </c>
      <c r="K316">
        <v>0</v>
      </c>
      <c r="N316">
        <v>0</v>
      </c>
      <c r="S316" t="s">
        <v>2872</v>
      </c>
    </row>
    <row r="317" spans="1:19" hidden="1" x14ac:dyDescent="0.25">
      <c r="A317" t="s">
        <v>564</v>
      </c>
      <c r="B317" t="s">
        <v>30</v>
      </c>
      <c r="C317" t="s">
        <v>2873</v>
      </c>
      <c r="D317" t="s">
        <v>2874</v>
      </c>
      <c r="E317" t="s">
        <v>30</v>
      </c>
      <c r="F317">
        <v>213</v>
      </c>
      <c r="G317" t="s">
        <v>2875</v>
      </c>
      <c r="H317" t="s">
        <v>2876</v>
      </c>
      <c r="S317" t="s">
        <v>2877</v>
      </c>
    </row>
    <row r="318" spans="1:19" hidden="1" x14ac:dyDescent="0.25">
      <c r="A318" t="s">
        <v>564</v>
      </c>
      <c r="B318" t="s">
        <v>30</v>
      </c>
      <c r="C318" t="s">
        <v>2878</v>
      </c>
      <c r="D318" t="s">
        <v>2879</v>
      </c>
      <c r="E318" t="s">
        <v>2141</v>
      </c>
      <c r="F318">
        <v>214</v>
      </c>
      <c r="G318" t="s">
        <v>1950</v>
      </c>
      <c r="H318" t="s">
        <v>2880</v>
      </c>
      <c r="I318">
        <v>65</v>
      </c>
      <c r="K318">
        <v>19455</v>
      </c>
      <c r="N318">
        <v>60</v>
      </c>
      <c r="Q318">
        <v>324</v>
      </c>
      <c r="S318" t="s">
        <v>2881</v>
      </c>
    </row>
    <row r="319" spans="1:19" hidden="1" x14ac:dyDescent="0.25">
      <c r="A319" t="s">
        <v>564</v>
      </c>
      <c r="B319" t="s">
        <v>30</v>
      </c>
      <c r="C319" t="s">
        <v>2882</v>
      </c>
      <c r="D319" t="s">
        <v>2883</v>
      </c>
      <c r="E319" t="s">
        <v>2492</v>
      </c>
      <c r="F319">
        <v>215</v>
      </c>
      <c r="G319" t="s">
        <v>2884</v>
      </c>
      <c r="H319" t="s">
        <v>2885</v>
      </c>
      <c r="I319">
        <v>133</v>
      </c>
      <c r="K319">
        <v>0</v>
      </c>
      <c r="N319">
        <v>0</v>
      </c>
      <c r="S319" t="s">
        <v>2886</v>
      </c>
    </row>
    <row r="320" spans="1:19" hidden="1" x14ac:dyDescent="0.25">
      <c r="A320" t="s">
        <v>564</v>
      </c>
      <c r="B320" t="s">
        <v>30</v>
      </c>
      <c r="C320" t="s">
        <v>2887</v>
      </c>
      <c r="D320" t="s">
        <v>2888</v>
      </c>
      <c r="E320" t="s">
        <v>30</v>
      </c>
      <c r="F320">
        <v>216</v>
      </c>
      <c r="G320" t="s">
        <v>2889</v>
      </c>
      <c r="H320" t="s">
        <v>2890</v>
      </c>
      <c r="S320" t="s">
        <v>2891</v>
      </c>
    </row>
    <row r="321" spans="1:19" hidden="1" x14ac:dyDescent="0.25">
      <c r="A321" t="s">
        <v>564</v>
      </c>
      <c r="B321" t="s">
        <v>30</v>
      </c>
      <c r="C321" t="s">
        <v>2892</v>
      </c>
      <c r="D321" t="s">
        <v>2893</v>
      </c>
      <c r="E321" t="s">
        <v>2454</v>
      </c>
      <c r="F321">
        <v>217</v>
      </c>
      <c r="G321" t="s">
        <v>2894</v>
      </c>
      <c r="H321" t="s">
        <v>2895</v>
      </c>
      <c r="I321">
        <v>126</v>
      </c>
      <c r="K321">
        <v>0</v>
      </c>
      <c r="N321">
        <v>0</v>
      </c>
      <c r="S321" t="s">
        <v>2896</v>
      </c>
    </row>
    <row r="322" spans="1:19" hidden="1" x14ac:dyDescent="0.25">
      <c r="A322" t="s">
        <v>564</v>
      </c>
      <c r="B322" t="s">
        <v>30</v>
      </c>
      <c r="C322" t="s">
        <v>2897</v>
      </c>
      <c r="D322" t="s">
        <v>2898</v>
      </c>
      <c r="E322" t="s">
        <v>2477</v>
      </c>
      <c r="F322">
        <v>218</v>
      </c>
      <c r="G322" t="s">
        <v>2899</v>
      </c>
      <c r="H322" t="s">
        <v>2900</v>
      </c>
      <c r="I322">
        <v>130</v>
      </c>
      <c r="K322">
        <v>0</v>
      </c>
      <c r="N322">
        <v>0</v>
      </c>
      <c r="S322" t="s">
        <v>2901</v>
      </c>
    </row>
    <row r="323" spans="1:19" hidden="1" x14ac:dyDescent="0.25">
      <c r="A323" t="s">
        <v>564</v>
      </c>
      <c r="B323" t="s">
        <v>30</v>
      </c>
      <c r="C323" t="s">
        <v>2902</v>
      </c>
      <c r="D323" t="s">
        <v>2903</v>
      </c>
      <c r="E323" t="s">
        <v>1934</v>
      </c>
      <c r="F323">
        <v>219</v>
      </c>
      <c r="G323" t="s">
        <v>2904</v>
      </c>
      <c r="H323" t="s">
        <v>2905</v>
      </c>
      <c r="I323">
        <v>23</v>
      </c>
      <c r="K323">
        <v>130990</v>
      </c>
      <c r="N323">
        <v>288</v>
      </c>
      <c r="Q323">
        <v>455</v>
      </c>
      <c r="S323" t="s">
        <v>2906</v>
      </c>
    </row>
    <row r="324" spans="1:19" hidden="1" x14ac:dyDescent="0.25">
      <c r="A324" t="s">
        <v>564</v>
      </c>
      <c r="B324" t="s">
        <v>30</v>
      </c>
      <c r="C324" t="s">
        <v>2907</v>
      </c>
      <c r="D324" t="s">
        <v>2908</v>
      </c>
      <c r="E324" t="s">
        <v>30</v>
      </c>
      <c r="F324">
        <v>220</v>
      </c>
      <c r="G324" t="s">
        <v>2909</v>
      </c>
      <c r="H324" t="s">
        <v>2910</v>
      </c>
      <c r="S324" t="s">
        <v>2911</v>
      </c>
    </row>
    <row r="325" spans="1:19" hidden="1" x14ac:dyDescent="0.25">
      <c r="A325" t="s">
        <v>564</v>
      </c>
      <c r="B325" t="s">
        <v>30</v>
      </c>
      <c r="C325" t="s">
        <v>2912</v>
      </c>
      <c r="D325" t="s">
        <v>2913</v>
      </c>
      <c r="E325" t="s">
        <v>2427</v>
      </c>
      <c r="F325">
        <v>221</v>
      </c>
      <c r="G325" t="s">
        <v>2914</v>
      </c>
      <c r="H325" t="s">
        <v>2915</v>
      </c>
      <c r="I325">
        <v>121</v>
      </c>
      <c r="K325">
        <v>0</v>
      </c>
      <c r="N325">
        <v>0</v>
      </c>
      <c r="S325" t="s">
        <v>2916</v>
      </c>
    </row>
    <row r="326" spans="1:19" hidden="1" x14ac:dyDescent="0.25">
      <c r="A326" t="s">
        <v>564</v>
      </c>
      <c r="B326" t="s">
        <v>30</v>
      </c>
      <c r="C326" t="s">
        <v>2917</v>
      </c>
      <c r="D326" t="s">
        <v>2918</v>
      </c>
      <c r="E326" t="s">
        <v>2522</v>
      </c>
      <c r="F326">
        <v>222</v>
      </c>
      <c r="G326" t="s">
        <v>2919</v>
      </c>
      <c r="H326" t="s">
        <v>2920</v>
      </c>
      <c r="I326">
        <v>139</v>
      </c>
      <c r="K326">
        <v>0</v>
      </c>
      <c r="N326">
        <v>0</v>
      </c>
      <c r="S326" t="s">
        <v>2921</v>
      </c>
    </row>
    <row r="327" spans="1:19" hidden="1" x14ac:dyDescent="0.25">
      <c r="A327" t="s">
        <v>564</v>
      </c>
      <c r="B327" t="s">
        <v>30</v>
      </c>
      <c r="C327" t="s">
        <v>2922</v>
      </c>
      <c r="D327" t="s">
        <v>2923</v>
      </c>
      <c r="E327" t="s">
        <v>30</v>
      </c>
      <c r="F327">
        <v>223</v>
      </c>
      <c r="G327" t="s">
        <v>2924</v>
      </c>
      <c r="H327" t="s">
        <v>2925</v>
      </c>
      <c r="S327" t="s">
        <v>2926</v>
      </c>
    </row>
    <row r="328" spans="1:19" hidden="1" x14ac:dyDescent="0.25">
      <c r="A328" t="s">
        <v>564</v>
      </c>
      <c r="B328" t="s">
        <v>30</v>
      </c>
      <c r="C328" t="s">
        <v>2927</v>
      </c>
      <c r="D328" t="s">
        <v>2928</v>
      </c>
      <c r="E328" t="s">
        <v>2794</v>
      </c>
      <c r="F328">
        <v>224</v>
      </c>
      <c r="G328" t="s">
        <v>2929</v>
      </c>
      <c r="H328" t="s">
        <v>2930</v>
      </c>
      <c r="I328">
        <v>195</v>
      </c>
      <c r="K328">
        <v>0</v>
      </c>
      <c r="N328">
        <v>0</v>
      </c>
      <c r="S328" t="s">
        <v>2931</v>
      </c>
    </row>
    <row r="329" spans="1:19" hidden="1" x14ac:dyDescent="0.25">
      <c r="A329" t="s">
        <v>564</v>
      </c>
      <c r="B329" t="s">
        <v>30</v>
      </c>
      <c r="C329" t="s">
        <v>2932</v>
      </c>
      <c r="D329" t="s">
        <v>2933</v>
      </c>
      <c r="E329" t="s">
        <v>30</v>
      </c>
      <c r="F329">
        <v>225</v>
      </c>
      <c r="G329" t="s">
        <v>2934</v>
      </c>
      <c r="H329" t="s">
        <v>2935</v>
      </c>
      <c r="S329" t="s">
        <v>2936</v>
      </c>
    </row>
    <row r="330" spans="1:19" hidden="1" x14ac:dyDescent="0.25">
      <c r="A330" t="s">
        <v>564</v>
      </c>
      <c r="B330" t="s">
        <v>30</v>
      </c>
      <c r="C330" t="s">
        <v>2937</v>
      </c>
      <c r="D330" t="s">
        <v>2938</v>
      </c>
      <c r="E330" t="s">
        <v>30</v>
      </c>
      <c r="F330">
        <v>226</v>
      </c>
      <c r="G330" t="s">
        <v>2939</v>
      </c>
      <c r="H330" t="s">
        <v>2940</v>
      </c>
      <c r="S330" t="s">
        <v>2941</v>
      </c>
    </row>
    <row r="331" spans="1:19" hidden="1" x14ac:dyDescent="0.25">
      <c r="A331" t="s">
        <v>564</v>
      </c>
      <c r="B331" t="s">
        <v>30</v>
      </c>
      <c r="C331" t="s">
        <v>2942</v>
      </c>
      <c r="D331" t="s">
        <v>2943</v>
      </c>
      <c r="E331" t="s">
        <v>2449</v>
      </c>
      <c r="F331">
        <v>227</v>
      </c>
      <c r="G331" t="s">
        <v>2944</v>
      </c>
      <c r="H331" t="s">
        <v>2945</v>
      </c>
      <c r="I331">
        <v>125</v>
      </c>
      <c r="K331">
        <v>0</v>
      </c>
      <c r="N331">
        <v>0</v>
      </c>
      <c r="S331" t="s">
        <v>2946</v>
      </c>
    </row>
    <row r="332" spans="1:19" hidden="1" x14ac:dyDescent="0.25">
      <c r="A332" t="s">
        <v>564</v>
      </c>
      <c r="B332" t="s">
        <v>30</v>
      </c>
      <c r="C332" t="s">
        <v>2947</v>
      </c>
      <c r="D332" t="s">
        <v>2948</v>
      </c>
      <c r="E332" t="s">
        <v>2531</v>
      </c>
      <c r="F332">
        <v>228</v>
      </c>
      <c r="G332" t="s">
        <v>2949</v>
      </c>
      <c r="H332" t="s">
        <v>2950</v>
      </c>
      <c r="I332">
        <v>141</v>
      </c>
      <c r="K332">
        <v>0</v>
      </c>
      <c r="N332">
        <v>0</v>
      </c>
      <c r="S332" t="s">
        <v>2951</v>
      </c>
    </row>
    <row r="333" spans="1:19" hidden="1" x14ac:dyDescent="0.25">
      <c r="A333" t="s">
        <v>564</v>
      </c>
      <c r="B333" t="s">
        <v>30</v>
      </c>
      <c r="C333" t="s">
        <v>2952</v>
      </c>
      <c r="D333" t="s">
        <v>2953</v>
      </c>
      <c r="E333" t="s">
        <v>2518</v>
      </c>
      <c r="F333">
        <v>229</v>
      </c>
      <c r="G333" t="s">
        <v>2954</v>
      </c>
      <c r="H333" t="s">
        <v>2955</v>
      </c>
      <c r="I333">
        <v>138</v>
      </c>
      <c r="K333">
        <v>0</v>
      </c>
      <c r="N333">
        <v>0</v>
      </c>
      <c r="S333" t="s">
        <v>2956</v>
      </c>
    </row>
    <row r="334" spans="1:19" hidden="1" x14ac:dyDescent="0.25">
      <c r="A334" t="s">
        <v>564</v>
      </c>
      <c r="B334" t="s">
        <v>30</v>
      </c>
      <c r="C334" t="s">
        <v>2957</v>
      </c>
      <c r="D334" t="s">
        <v>2958</v>
      </c>
      <c r="E334" t="s">
        <v>30</v>
      </c>
      <c r="F334">
        <v>230</v>
      </c>
      <c r="G334" t="s">
        <v>2959</v>
      </c>
      <c r="H334" t="s">
        <v>2960</v>
      </c>
      <c r="S334" t="s">
        <v>2961</v>
      </c>
    </row>
    <row r="335" spans="1:19" hidden="1" x14ac:dyDescent="0.25">
      <c r="A335" t="s">
        <v>564</v>
      </c>
      <c r="B335" t="s">
        <v>30</v>
      </c>
      <c r="C335" t="s">
        <v>2962</v>
      </c>
      <c r="D335" t="s">
        <v>2963</v>
      </c>
      <c r="E335" t="s">
        <v>2833</v>
      </c>
      <c r="F335">
        <v>231</v>
      </c>
      <c r="G335" t="s">
        <v>2964</v>
      </c>
      <c r="H335" t="s">
        <v>2965</v>
      </c>
      <c r="I335">
        <v>204</v>
      </c>
      <c r="K335">
        <v>0</v>
      </c>
      <c r="N335">
        <v>0</v>
      </c>
      <c r="S335" t="s">
        <v>2966</v>
      </c>
    </row>
    <row r="336" spans="1:19" hidden="1" x14ac:dyDescent="0.25">
      <c r="A336" t="s">
        <v>564</v>
      </c>
      <c r="B336" t="s">
        <v>30</v>
      </c>
      <c r="C336" t="s">
        <v>2967</v>
      </c>
      <c r="D336" t="s">
        <v>2968</v>
      </c>
      <c r="E336" t="s">
        <v>30</v>
      </c>
      <c r="F336">
        <v>232</v>
      </c>
      <c r="G336" t="s">
        <v>2969</v>
      </c>
      <c r="H336" t="s">
        <v>2970</v>
      </c>
      <c r="S336" t="s">
        <v>2971</v>
      </c>
    </row>
    <row r="337" spans="1:19" hidden="1" x14ac:dyDescent="0.25">
      <c r="A337" t="s">
        <v>564</v>
      </c>
      <c r="B337" t="s">
        <v>30</v>
      </c>
      <c r="C337" t="s">
        <v>2972</v>
      </c>
      <c r="D337" t="s">
        <v>2973</v>
      </c>
      <c r="E337" t="s">
        <v>30</v>
      </c>
      <c r="F337">
        <v>233</v>
      </c>
      <c r="G337" t="s">
        <v>2974</v>
      </c>
      <c r="H337" t="s">
        <v>2975</v>
      </c>
      <c r="S337" t="s">
        <v>2976</v>
      </c>
    </row>
    <row r="338" spans="1:19" hidden="1" x14ac:dyDescent="0.25">
      <c r="A338" t="s">
        <v>564</v>
      </c>
      <c r="B338" t="s">
        <v>30</v>
      </c>
      <c r="C338" t="s">
        <v>2977</v>
      </c>
      <c r="D338" t="s">
        <v>2978</v>
      </c>
      <c r="E338" t="s">
        <v>30</v>
      </c>
      <c r="F338">
        <v>234</v>
      </c>
      <c r="G338" t="s">
        <v>2979</v>
      </c>
      <c r="H338" t="s">
        <v>2980</v>
      </c>
      <c r="S338" t="s">
        <v>2981</v>
      </c>
    </row>
    <row r="339" spans="1:19" hidden="1" x14ac:dyDescent="0.25">
      <c r="A339" t="s">
        <v>564</v>
      </c>
      <c r="B339" t="s">
        <v>30</v>
      </c>
      <c r="C339" t="s">
        <v>2982</v>
      </c>
      <c r="D339" t="s">
        <v>2983</v>
      </c>
      <c r="E339" t="s">
        <v>2061</v>
      </c>
      <c r="F339">
        <v>235</v>
      </c>
      <c r="G339" t="s">
        <v>2984</v>
      </c>
      <c r="H339" t="s">
        <v>2985</v>
      </c>
      <c r="I339">
        <v>49</v>
      </c>
      <c r="K339">
        <v>49816</v>
      </c>
      <c r="N339">
        <v>1</v>
      </c>
      <c r="Q339">
        <v>49816</v>
      </c>
      <c r="S339" t="s">
        <v>2986</v>
      </c>
    </row>
    <row r="340" spans="1:19" hidden="1" x14ac:dyDescent="0.25">
      <c r="A340" t="s">
        <v>564</v>
      </c>
      <c r="B340" t="s">
        <v>30</v>
      </c>
      <c r="C340" t="s">
        <v>2987</v>
      </c>
      <c r="D340" t="s">
        <v>2988</v>
      </c>
      <c r="E340" t="s">
        <v>2799</v>
      </c>
      <c r="F340">
        <v>236</v>
      </c>
      <c r="G340" t="s">
        <v>2989</v>
      </c>
      <c r="H340" t="s">
        <v>2990</v>
      </c>
      <c r="I340">
        <v>196</v>
      </c>
      <c r="K340">
        <v>0</v>
      </c>
      <c r="N340">
        <v>0</v>
      </c>
      <c r="S340" t="s">
        <v>2991</v>
      </c>
    </row>
    <row r="341" spans="1:19" hidden="1" x14ac:dyDescent="0.25">
      <c r="A341" t="s">
        <v>564</v>
      </c>
      <c r="B341" t="s">
        <v>30</v>
      </c>
      <c r="C341" t="s">
        <v>2992</v>
      </c>
      <c r="D341" t="s">
        <v>2993</v>
      </c>
      <c r="E341" t="s">
        <v>2590</v>
      </c>
      <c r="F341">
        <v>237</v>
      </c>
      <c r="G341" t="s">
        <v>2994</v>
      </c>
      <c r="H341" t="s">
        <v>2995</v>
      </c>
      <c r="I341">
        <v>153</v>
      </c>
      <c r="K341">
        <v>0</v>
      </c>
      <c r="N341">
        <v>0</v>
      </c>
      <c r="S341" t="s">
        <v>2996</v>
      </c>
    </row>
    <row r="342" spans="1:19" hidden="1" x14ac:dyDescent="0.25">
      <c r="A342" t="s">
        <v>564</v>
      </c>
      <c r="B342" t="s">
        <v>30</v>
      </c>
      <c r="C342" t="s">
        <v>2997</v>
      </c>
      <c r="D342" t="s">
        <v>2998</v>
      </c>
      <c r="E342" t="s">
        <v>2730</v>
      </c>
      <c r="F342">
        <v>238</v>
      </c>
      <c r="G342" t="s">
        <v>2999</v>
      </c>
      <c r="H342" t="s">
        <v>3000</v>
      </c>
      <c r="I342">
        <v>181</v>
      </c>
      <c r="K342">
        <v>0</v>
      </c>
      <c r="N342">
        <v>0</v>
      </c>
      <c r="S342" t="s">
        <v>3001</v>
      </c>
    </row>
    <row r="343" spans="1:19" hidden="1" x14ac:dyDescent="0.25">
      <c r="A343" t="s">
        <v>564</v>
      </c>
      <c r="B343" t="s">
        <v>30</v>
      </c>
      <c r="C343" t="s">
        <v>3002</v>
      </c>
      <c r="D343" t="s">
        <v>3003</v>
      </c>
      <c r="E343" t="s">
        <v>30</v>
      </c>
      <c r="F343">
        <v>239</v>
      </c>
      <c r="G343" t="s">
        <v>2494</v>
      </c>
      <c r="H343" t="s">
        <v>3004</v>
      </c>
      <c r="S343" t="s">
        <v>3005</v>
      </c>
    </row>
    <row r="344" spans="1:19" hidden="1" x14ac:dyDescent="0.25">
      <c r="A344" t="s">
        <v>564</v>
      </c>
      <c r="B344" t="s">
        <v>30</v>
      </c>
      <c r="C344" t="s">
        <v>3006</v>
      </c>
      <c r="D344" t="s">
        <v>3007</v>
      </c>
      <c r="E344" t="s">
        <v>1882</v>
      </c>
      <c r="F344">
        <v>240</v>
      </c>
      <c r="G344" t="s">
        <v>3008</v>
      </c>
      <c r="H344" t="s">
        <v>3009</v>
      </c>
      <c r="I344">
        <v>13</v>
      </c>
      <c r="K344">
        <v>261047</v>
      </c>
      <c r="N344">
        <v>1485</v>
      </c>
      <c r="Q344">
        <v>176</v>
      </c>
      <c r="S344" t="s">
        <v>3010</v>
      </c>
    </row>
    <row r="345" spans="1:19" hidden="1" x14ac:dyDescent="0.25">
      <c r="A345" t="s">
        <v>564</v>
      </c>
      <c r="B345" t="s">
        <v>30</v>
      </c>
      <c r="C345" t="s">
        <v>3011</v>
      </c>
      <c r="D345" t="s">
        <v>3012</v>
      </c>
      <c r="E345" t="s">
        <v>30</v>
      </c>
      <c r="F345">
        <v>241</v>
      </c>
      <c r="G345" t="s">
        <v>3013</v>
      </c>
      <c r="H345" t="s">
        <v>3014</v>
      </c>
      <c r="S345" t="s">
        <v>3015</v>
      </c>
    </row>
    <row r="346" spans="1:19" hidden="1" x14ac:dyDescent="0.25">
      <c r="A346" t="s">
        <v>564</v>
      </c>
      <c r="B346" t="s">
        <v>30</v>
      </c>
      <c r="C346" t="s">
        <v>3016</v>
      </c>
      <c r="D346" t="s">
        <v>3017</v>
      </c>
      <c r="E346" t="s">
        <v>30</v>
      </c>
      <c r="F346">
        <v>242</v>
      </c>
      <c r="G346" t="s">
        <v>1884</v>
      </c>
      <c r="H346" t="s">
        <v>3018</v>
      </c>
      <c r="S346" t="s">
        <v>3019</v>
      </c>
    </row>
    <row r="347" spans="1:19" hidden="1" x14ac:dyDescent="0.25">
      <c r="A347" t="s">
        <v>564</v>
      </c>
      <c r="B347" t="s">
        <v>30</v>
      </c>
      <c r="C347" t="s">
        <v>3020</v>
      </c>
      <c r="D347" t="s">
        <v>3021</v>
      </c>
      <c r="E347" t="s">
        <v>2648</v>
      </c>
      <c r="F347">
        <v>243</v>
      </c>
      <c r="G347" t="s">
        <v>3022</v>
      </c>
      <c r="H347" t="s">
        <v>3023</v>
      </c>
      <c r="I347">
        <v>164</v>
      </c>
      <c r="K347">
        <v>0</v>
      </c>
      <c r="N347">
        <v>0</v>
      </c>
      <c r="S347" t="s">
        <v>3024</v>
      </c>
    </row>
    <row r="348" spans="1:19" hidden="1" x14ac:dyDescent="0.25">
      <c r="A348" t="s">
        <v>564</v>
      </c>
      <c r="B348" t="s">
        <v>30</v>
      </c>
      <c r="C348" t="s">
        <v>3025</v>
      </c>
      <c r="D348" t="s">
        <v>3026</v>
      </c>
      <c r="E348" t="s">
        <v>2080</v>
      </c>
      <c r="F348">
        <v>244</v>
      </c>
      <c r="G348" t="s">
        <v>3027</v>
      </c>
      <c r="H348" t="s">
        <v>3028</v>
      </c>
      <c r="I348">
        <v>53</v>
      </c>
      <c r="K348">
        <v>41358</v>
      </c>
      <c r="N348">
        <v>285</v>
      </c>
      <c r="Q348">
        <v>145</v>
      </c>
      <c r="S348" t="s">
        <v>3029</v>
      </c>
    </row>
    <row r="349" spans="1:19" hidden="1" x14ac:dyDescent="0.25">
      <c r="A349" t="s">
        <v>564</v>
      </c>
      <c r="B349" t="s">
        <v>30</v>
      </c>
      <c r="C349" t="s">
        <v>3030</v>
      </c>
      <c r="D349" t="s">
        <v>3031</v>
      </c>
      <c r="E349" t="s">
        <v>2076</v>
      </c>
      <c r="F349">
        <v>245</v>
      </c>
      <c r="G349" t="s">
        <v>3032</v>
      </c>
      <c r="H349" t="s">
        <v>3033</v>
      </c>
      <c r="I349">
        <v>52</v>
      </c>
      <c r="K349">
        <v>41685</v>
      </c>
      <c r="N349">
        <v>154</v>
      </c>
      <c r="Q349">
        <v>271</v>
      </c>
      <c r="S349" t="s">
        <v>3034</v>
      </c>
    </row>
    <row r="350" spans="1:19" hidden="1" x14ac:dyDescent="0.25">
      <c r="A350" t="s">
        <v>564</v>
      </c>
      <c r="B350" t="s">
        <v>30</v>
      </c>
      <c r="C350" t="s">
        <v>3035</v>
      </c>
      <c r="D350" t="s">
        <v>3036</v>
      </c>
      <c r="E350" t="s">
        <v>2721</v>
      </c>
      <c r="F350">
        <v>246</v>
      </c>
      <c r="G350" t="s">
        <v>3037</v>
      </c>
      <c r="H350" t="s">
        <v>3038</v>
      </c>
      <c r="I350">
        <v>179</v>
      </c>
      <c r="K350">
        <v>0</v>
      </c>
      <c r="N350">
        <v>0</v>
      </c>
      <c r="S350" t="s">
        <v>3039</v>
      </c>
    </row>
    <row r="351" spans="1:19" hidden="1" x14ac:dyDescent="0.25">
      <c r="A351" t="s">
        <v>564</v>
      </c>
      <c r="B351" t="s">
        <v>30</v>
      </c>
      <c r="C351" t="s">
        <v>3040</v>
      </c>
      <c r="D351" t="s">
        <v>3041</v>
      </c>
      <c r="E351" t="s">
        <v>2131</v>
      </c>
      <c r="F351">
        <v>247</v>
      </c>
      <c r="G351" t="s">
        <v>3042</v>
      </c>
      <c r="H351" t="s">
        <v>3043</v>
      </c>
      <c r="I351">
        <v>63</v>
      </c>
      <c r="K351">
        <v>24599</v>
      </c>
      <c r="N351">
        <v>206</v>
      </c>
      <c r="Q351">
        <v>119</v>
      </c>
      <c r="S351" t="s">
        <v>3044</v>
      </c>
    </row>
    <row r="352" spans="1:19" hidden="1" x14ac:dyDescent="0.25">
      <c r="A352" t="s">
        <v>564</v>
      </c>
      <c r="B352" t="s">
        <v>30</v>
      </c>
      <c r="C352" t="s">
        <v>3045</v>
      </c>
      <c r="D352" t="s">
        <v>3046</v>
      </c>
      <c r="E352" t="s">
        <v>30</v>
      </c>
      <c r="F352">
        <v>248</v>
      </c>
      <c r="G352" t="s">
        <v>1960</v>
      </c>
      <c r="H352" t="s">
        <v>3047</v>
      </c>
      <c r="S352" t="s">
        <v>3048</v>
      </c>
    </row>
    <row r="353" spans="1:19" hidden="1" x14ac:dyDescent="0.25">
      <c r="A353" t="s">
        <v>564</v>
      </c>
      <c r="B353" t="s">
        <v>30</v>
      </c>
      <c r="C353" t="s">
        <v>3049</v>
      </c>
      <c r="D353" t="s">
        <v>3050</v>
      </c>
      <c r="E353" t="s">
        <v>2037</v>
      </c>
      <c r="F353">
        <v>249</v>
      </c>
      <c r="G353" t="s">
        <v>3051</v>
      </c>
      <c r="H353" t="s">
        <v>3052</v>
      </c>
      <c r="I353">
        <v>44</v>
      </c>
      <c r="K353">
        <v>60998</v>
      </c>
      <c r="N353">
        <v>569</v>
      </c>
      <c r="Q353">
        <v>107</v>
      </c>
      <c r="S353" t="s">
        <v>3053</v>
      </c>
    </row>
    <row r="354" spans="1:19" hidden="1" x14ac:dyDescent="0.25">
      <c r="A354" t="s">
        <v>564</v>
      </c>
      <c r="B354" t="s">
        <v>30</v>
      </c>
      <c r="C354" t="s">
        <v>3054</v>
      </c>
      <c r="D354" t="s">
        <v>3055</v>
      </c>
      <c r="E354" t="s">
        <v>2611</v>
      </c>
      <c r="F354">
        <v>250</v>
      </c>
      <c r="G354" t="s">
        <v>3056</v>
      </c>
      <c r="H354" t="s">
        <v>3057</v>
      </c>
      <c r="I354">
        <v>157</v>
      </c>
      <c r="K354">
        <v>0</v>
      </c>
      <c r="N354">
        <v>0</v>
      </c>
      <c r="S354" t="s">
        <v>3058</v>
      </c>
    </row>
    <row r="355" spans="1:19" hidden="1" x14ac:dyDescent="0.25">
      <c r="A355" t="s">
        <v>564</v>
      </c>
      <c r="B355" t="s">
        <v>30</v>
      </c>
      <c r="C355" t="s">
        <v>3059</v>
      </c>
      <c r="D355" t="s">
        <v>3060</v>
      </c>
      <c r="E355" t="s">
        <v>2551</v>
      </c>
      <c r="F355">
        <v>251</v>
      </c>
      <c r="G355" t="s">
        <v>3061</v>
      </c>
      <c r="H355" t="s">
        <v>3062</v>
      </c>
      <c r="I355">
        <v>145</v>
      </c>
      <c r="K355">
        <v>0</v>
      </c>
      <c r="N355">
        <v>0</v>
      </c>
      <c r="S355" t="s">
        <v>3063</v>
      </c>
    </row>
    <row r="356" spans="1:19" hidden="1" x14ac:dyDescent="0.25">
      <c r="A356" t="s">
        <v>564</v>
      </c>
      <c r="B356" t="s">
        <v>30</v>
      </c>
      <c r="C356" t="s">
        <v>3064</v>
      </c>
      <c r="D356" t="s">
        <v>3065</v>
      </c>
      <c r="E356" t="s">
        <v>1827</v>
      </c>
      <c r="F356">
        <v>252</v>
      </c>
      <c r="G356" t="s">
        <v>3066</v>
      </c>
      <c r="H356" t="s">
        <v>3067</v>
      </c>
      <c r="I356">
        <v>2</v>
      </c>
      <c r="K356">
        <v>1303518</v>
      </c>
      <c r="N356">
        <v>2958</v>
      </c>
      <c r="Q356">
        <v>441</v>
      </c>
      <c r="S356" t="s">
        <v>3068</v>
      </c>
    </row>
    <row r="357" spans="1:19" hidden="1" x14ac:dyDescent="0.25">
      <c r="A357" t="s">
        <v>564</v>
      </c>
      <c r="B357" t="s">
        <v>30</v>
      </c>
      <c r="C357" t="s">
        <v>3069</v>
      </c>
      <c r="D357" t="s">
        <v>3070</v>
      </c>
      <c r="E357" t="s">
        <v>30</v>
      </c>
      <c r="F357">
        <v>253</v>
      </c>
      <c r="G357" t="s">
        <v>3071</v>
      </c>
      <c r="H357" t="s">
        <v>3072</v>
      </c>
      <c r="S357" t="s">
        <v>3073</v>
      </c>
    </row>
    <row r="358" spans="1:19" hidden="1" x14ac:dyDescent="0.25">
      <c r="A358" t="s">
        <v>564</v>
      </c>
      <c r="B358" t="s">
        <v>30</v>
      </c>
      <c r="C358" t="s">
        <v>3074</v>
      </c>
      <c r="D358" t="s">
        <v>3075</v>
      </c>
      <c r="E358" t="s">
        <v>30</v>
      </c>
      <c r="F358">
        <v>254</v>
      </c>
      <c r="G358" t="s">
        <v>3076</v>
      </c>
      <c r="H358" t="s">
        <v>3077</v>
      </c>
      <c r="S358" t="s">
        <v>3078</v>
      </c>
    </row>
    <row r="359" spans="1:19" hidden="1" x14ac:dyDescent="0.25">
      <c r="A359" t="s">
        <v>564</v>
      </c>
      <c r="B359" t="s">
        <v>30</v>
      </c>
      <c r="C359" t="s">
        <v>3079</v>
      </c>
      <c r="D359" t="s">
        <v>3080</v>
      </c>
      <c r="E359" t="s">
        <v>2570</v>
      </c>
      <c r="F359">
        <v>255</v>
      </c>
      <c r="G359" t="s">
        <v>3081</v>
      </c>
      <c r="H359" t="s">
        <v>3082</v>
      </c>
      <c r="I359">
        <v>149</v>
      </c>
      <c r="K359">
        <v>0</v>
      </c>
      <c r="N359">
        <v>0</v>
      </c>
      <c r="S359" t="s">
        <v>3083</v>
      </c>
    </row>
    <row r="360" spans="1:19" hidden="1" x14ac:dyDescent="0.25">
      <c r="A360" t="s">
        <v>564</v>
      </c>
      <c r="B360" t="s">
        <v>30</v>
      </c>
      <c r="C360" t="s">
        <v>3084</v>
      </c>
      <c r="D360" t="s">
        <v>3085</v>
      </c>
      <c r="E360" t="s">
        <v>2171</v>
      </c>
      <c r="F360">
        <v>256</v>
      </c>
      <c r="G360" t="s">
        <v>3086</v>
      </c>
      <c r="H360" t="s">
        <v>3087</v>
      </c>
      <c r="I360">
        <v>71</v>
      </c>
      <c r="K360">
        <v>13568</v>
      </c>
      <c r="N360">
        <v>99</v>
      </c>
      <c r="Q360">
        <v>137</v>
      </c>
      <c r="S360" t="s">
        <v>3088</v>
      </c>
    </row>
    <row r="361" spans="1:19" hidden="1" x14ac:dyDescent="0.25">
      <c r="A361" t="s">
        <v>564</v>
      </c>
      <c r="B361" t="s">
        <v>30</v>
      </c>
      <c r="C361" t="s">
        <v>3089</v>
      </c>
      <c r="D361" t="s">
        <v>3090</v>
      </c>
      <c r="E361" t="s">
        <v>30</v>
      </c>
      <c r="F361">
        <v>257</v>
      </c>
      <c r="G361" t="s">
        <v>3091</v>
      </c>
      <c r="H361" t="s">
        <v>3092</v>
      </c>
      <c r="S361" t="s">
        <v>3093</v>
      </c>
    </row>
    <row r="362" spans="1:19" hidden="1" x14ac:dyDescent="0.25">
      <c r="A362" t="s">
        <v>564</v>
      </c>
      <c r="B362" t="s">
        <v>30</v>
      </c>
      <c r="C362" t="s">
        <v>3094</v>
      </c>
      <c r="D362" t="s">
        <v>3095</v>
      </c>
      <c r="E362" t="s">
        <v>2775</v>
      </c>
      <c r="F362">
        <v>258</v>
      </c>
      <c r="G362" t="s">
        <v>3096</v>
      </c>
      <c r="H362" t="s">
        <v>3097</v>
      </c>
      <c r="I362">
        <v>191</v>
      </c>
      <c r="K362">
        <v>0</v>
      </c>
      <c r="N362">
        <v>0</v>
      </c>
      <c r="S362" t="s">
        <v>3098</v>
      </c>
    </row>
    <row r="363" spans="1:19" hidden="1" x14ac:dyDescent="0.25">
      <c r="A363" t="s">
        <v>564</v>
      </c>
      <c r="B363" t="s">
        <v>30</v>
      </c>
      <c r="C363" t="s">
        <v>3099</v>
      </c>
      <c r="D363" t="s">
        <v>3100</v>
      </c>
      <c r="E363" t="s">
        <v>30</v>
      </c>
      <c r="F363">
        <v>259</v>
      </c>
      <c r="G363" t="s">
        <v>3101</v>
      </c>
      <c r="H363" t="s">
        <v>3102</v>
      </c>
      <c r="S363" t="s">
        <v>3103</v>
      </c>
    </row>
    <row r="364" spans="1:19" hidden="1" x14ac:dyDescent="0.25">
      <c r="A364" t="s">
        <v>564</v>
      </c>
      <c r="B364" t="s">
        <v>30</v>
      </c>
      <c r="C364" t="s">
        <v>3104</v>
      </c>
      <c r="D364" t="s">
        <v>3105</v>
      </c>
      <c r="E364" t="s">
        <v>2377</v>
      </c>
      <c r="F364">
        <v>260</v>
      </c>
      <c r="G364" t="s">
        <v>3106</v>
      </c>
      <c r="H364" t="s">
        <v>3107</v>
      </c>
      <c r="I364">
        <v>112</v>
      </c>
      <c r="K364">
        <v>1658</v>
      </c>
      <c r="N364">
        <v>12</v>
      </c>
      <c r="Q364">
        <v>138</v>
      </c>
      <c r="S364" t="s">
        <v>3108</v>
      </c>
    </row>
    <row r="365" spans="1:19" hidden="1" x14ac:dyDescent="0.25">
      <c r="A365" t="s">
        <v>564</v>
      </c>
      <c r="B365" t="s">
        <v>30</v>
      </c>
      <c r="C365" t="s">
        <v>3109</v>
      </c>
      <c r="D365" t="s">
        <v>3110</v>
      </c>
      <c r="E365" t="s">
        <v>30</v>
      </c>
      <c r="F365">
        <v>261</v>
      </c>
      <c r="G365" t="s">
        <v>3111</v>
      </c>
      <c r="H365" t="s">
        <v>3112</v>
      </c>
      <c r="S365" t="s">
        <v>3113</v>
      </c>
    </row>
    <row r="366" spans="1:19" hidden="1" x14ac:dyDescent="0.25">
      <c r="A366" t="s">
        <v>564</v>
      </c>
      <c r="B366" t="s">
        <v>30</v>
      </c>
      <c r="C366" t="s">
        <v>3114</v>
      </c>
      <c r="D366" t="s">
        <v>3115</v>
      </c>
      <c r="E366" t="s">
        <v>2627</v>
      </c>
      <c r="F366">
        <v>262</v>
      </c>
      <c r="G366" t="s">
        <v>3116</v>
      </c>
      <c r="H366" t="s">
        <v>3117</v>
      </c>
      <c r="I366">
        <v>160</v>
      </c>
      <c r="K366">
        <v>0</v>
      </c>
      <c r="N366">
        <v>0</v>
      </c>
      <c r="S366" t="s">
        <v>3118</v>
      </c>
    </row>
    <row r="367" spans="1:19" hidden="1" x14ac:dyDescent="0.25">
      <c r="A367" t="s">
        <v>563</v>
      </c>
      <c r="B367" t="s">
        <v>30</v>
      </c>
      <c r="C367" t="s">
        <v>3114</v>
      </c>
      <c r="D367" t="s">
        <v>2438</v>
      </c>
      <c r="E367" t="s">
        <v>2468</v>
      </c>
      <c r="F367">
        <v>262</v>
      </c>
      <c r="G367" t="s">
        <v>2440</v>
      </c>
      <c r="H367" t="s">
        <v>2441</v>
      </c>
      <c r="I367">
        <v>146</v>
      </c>
      <c r="K367">
        <v>0</v>
      </c>
      <c r="N367">
        <v>0</v>
      </c>
      <c r="S367" t="s">
        <v>2442</v>
      </c>
    </row>
    <row r="368" spans="1:19" hidden="1" x14ac:dyDescent="0.25">
      <c r="A368" t="s">
        <v>563</v>
      </c>
      <c r="B368" t="s">
        <v>30</v>
      </c>
      <c r="C368" t="s">
        <v>3119</v>
      </c>
      <c r="D368" t="s">
        <v>2781</v>
      </c>
      <c r="E368" t="s">
        <v>2171</v>
      </c>
      <c r="F368">
        <v>263</v>
      </c>
      <c r="G368" t="s">
        <v>2783</v>
      </c>
      <c r="H368" t="s">
        <v>2784</v>
      </c>
      <c r="I368">
        <v>71</v>
      </c>
      <c r="K368">
        <v>24961</v>
      </c>
      <c r="N368">
        <v>226</v>
      </c>
      <c r="Q368">
        <v>110</v>
      </c>
      <c r="S368" t="s">
        <v>2785</v>
      </c>
    </row>
    <row r="369" spans="1:19" hidden="1" x14ac:dyDescent="0.25">
      <c r="A369" t="s">
        <v>563</v>
      </c>
      <c r="B369" t="s">
        <v>30</v>
      </c>
      <c r="C369" t="s">
        <v>3120</v>
      </c>
      <c r="D369" t="s">
        <v>3105</v>
      </c>
      <c r="E369" t="s">
        <v>2382</v>
      </c>
      <c r="F369">
        <v>264</v>
      </c>
      <c r="G369" t="s">
        <v>3106</v>
      </c>
      <c r="H369" t="s">
        <v>3107</v>
      </c>
      <c r="I369">
        <v>113</v>
      </c>
      <c r="K369">
        <v>4140</v>
      </c>
      <c r="N369">
        <v>29</v>
      </c>
      <c r="Q369">
        <v>143</v>
      </c>
      <c r="S369" t="s">
        <v>3108</v>
      </c>
    </row>
    <row r="370" spans="1:19" hidden="1" x14ac:dyDescent="0.25">
      <c r="A370" t="s">
        <v>563</v>
      </c>
      <c r="B370" t="s">
        <v>30</v>
      </c>
      <c r="C370" t="s">
        <v>3121</v>
      </c>
      <c r="D370" t="s">
        <v>3122</v>
      </c>
      <c r="E370" t="s">
        <v>2742</v>
      </c>
      <c r="F370">
        <v>265</v>
      </c>
      <c r="G370" t="s">
        <v>3123</v>
      </c>
      <c r="H370" t="s">
        <v>3124</v>
      </c>
      <c r="I370">
        <v>189</v>
      </c>
      <c r="K370">
        <v>0</v>
      </c>
      <c r="N370">
        <v>0</v>
      </c>
      <c r="S370" t="s">
        <v>3125</v>
      </c>
    </row>
    <row r="371" spans="1:19" hidden="1" x14ac:dyDescent="0.25">
      <c r="A371" t="s">
        <v>563</v>
      </c>
      <c r="B371" t="s">
        <v>30</v>
      </c>
      <c r="C371" t="s">
        <v>3126</v>
      </c>
      <c r="D371" t="s">
        <v>2859</v>
      </c>
      <c r="E371" t="s">
        <v>2782</v>
      </c>
      <c r="F371">
        <v>266</v>
      </c>
      <c r="G371" t="s">
        <v>2860</v>
      </c>
      <c r="H371" t="s">
        <v>2861</v>
      </c>
      <c r="I371">
        <v>199</v>
      </c>
      <c r="K371">
        <v>0</v>
      </c>
      <c r="N371">
        <v>0</v>
      </c>
      <c r="S371" t="s">
        <v>2862</v>
      </c>
    </row>
    <row r="372" spans="1:19" hidden="1" x14ac:dyDescent="0.25">
      <c r="A372" t="s">
        <v>563</v>
      </c>
      <c r="B372" t="s">
        <v>30</v>
      </c>
      <c r="C372" t="s">
        <v>3127</v>
      </c>
      <c r="D372" t="s">
        <v>2993</v>
      </c>
      <c r="E372" t="s">
        <v>2592</v>
      </c>
      <c r="F372">
        <v>267</v>
      </c>
      <c r="G372" t="s">
        <v>2994</v>
      </c>
      <c r="H372" t="s">
        <v>2995</v>
      </c>
      <c r="I372">
        <v>180</v>
      </c>
      <c r="K372">
        <v>0</v>
      </c>
      <c r="N372">
        <v>0</v>
      </c>
      <c r="S372" t="s">
        <v>2996</v>
      </c>
    </row>
  </sheetData>
  <autoFilter ref="A1:U372" xr:uid="{00000000-0009-0000-0000-000007000000}">
    <filterColumn colId="1">
      <filters>
        <filter val="咖啡机"/>
      </filters>
    </filterColumn>
  </autoFilter>
  <phoneticPr fontId="22" type="noConversion"/>
  <hyperlinks>
    <hyperlink ref="S2" r:id="rId1" xr:uid="{00000000-0004-0000-0700-000000000000}"/>
    <hyperlink ref="S3" r:id="rId2" xr:uid="{00000000-0004-0000-0700-000001000000}"/>
    <hyperlink ref="S4" r:id="rId3" xr:uid="{00000000-0004-0000-0700-000002000000}"/>
    <hyperlink ref="S5" r:id="rId4" xr:uid="{00000000-0004-0000-0700-000003000000}"/>
    <hyperlink ref="S6" r:id="rId5" xr:uid="{00000000-0004-0000-0700-000004000000}"/>
    <hyperlink ref="S7" r:id="rId6" xr:uid="{00000000-0004-0000-0700-000005000000}"/>
    <hyperlink ref="S8" r:id="rId7" xr:uid="{00000000-0004-0000-0700-000006000000}"/>
    <hyperlink ref="S9" r:id="rId8" xr:uid="{00000000-0004-0000-0700-000007000000}"/>
    <hyperlink ref="S10" r:id="rId9" xr:uid="{00000000-0004-0000-0700-000008000000}"/>
    <hyperlink ref="S11" r:id="rId10" xr:uid="{00000000-0004-0000-0700-000009000000}"/>
    <hyperlink ref="S12" r:id="rId11" xr:uid="{00000000-0004-0000-0700-00000A000000}"/>
    <hyperlink ref="S13" r:id="rId12" xr:uid="{00000000-0004-0000-0700-00000B000000}"/>
    <hyperlink ref="S14" r:id="rId13" xr:uid="{00000000-0004-0000-0700-00000C000000}"/>
    <hyperlink ref="S15" r:id="rId14" xr:uid="{00000000-0004-0000-0700-00000D000000}"/>
    <hyperlink ref="S16" r:id="rId15" xr:uid="{00000000-0004-0000-0700-00000E000000}"/>
    <hyperlink ref="S106" r:id="rId16" xr:uid="{00000000-0004-0000-0700-00000F000000}"/>
    <hyperlink ref="S17" r:id="rId17" xr:uid="{DBF8347C-2C10-B843-8294-7DDFB5D537BC}"/>
    <hyperlink ref="S22" r:id="rId18" xr:uid="{C7E75962-20FE-E043-961D-8A3E625ACA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店铺整体生意</vt:lpstr>
      <vt:lpstr>咖啡机表现</vt:lpstr>
      <vt:lpstr>咖啡市场情况</vt:lpstr>
      <vt:lpstr>calculation</vt:lpstr>
      <vt:lpstr>dat_nespresso_shop_overview</vt:lpstr>
      <vt:lpstr>dat_nespresso_shop_chl</vt:lpstr>
      <vt:lpstr>dat_nespresso_shop_ct_each</vt:lpstr>
      <vt:lpstr>dat_nespresso_shop_ct_chl</vt:lpstr>
      <vt:lpstr>dat_nespresso_shop_ct_rk_item</vt:lpstr>
      <vt:lpstr>dat_nespresso_shop_rk_se</vt:lpstr>
      <vt:lpstr>dat_nespresso_profile_d</vt:lpstr>
      <vt:lpstr>dat_nespresso_profile_s</vt:lpstr>
      <vt:lpstr>dat_nespresso_mkt_overview</vt:lpstr>
      <vt:lpstr>dat_nespresso_mkt_index</vt:lpstr>
      <vt:lpstr>dat_nespresso_mkt_rk_brand</vt:lpstr>
      <vt:lpstr>dat_nespresso_mkt_rk_item</vt:lpstr>
      <vt:lpstr>dat_nespresso_mkt_rk_shop</vt:lpstr>
      <vt:lpstr>dat_nespresso_compet</vt:lpstr>
      <vt:lpstr>dat_nespresso_compet_chl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Yinfinity</cp:lastModifiedBy>
  <dcterms:created xsi:type="dcterms:W3CDTF">2023-11-16T04:26:44Z</dcterms:created>
  <dcterms:modified xsi:type="dcterms:W3CDTF">2024-01-23T08:03:05Z</dcterms:modified>
</cp:coreProperties>
</file>