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Default Extension="vsd" ContentType="application/vnd.visi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ellieschachter/Downloads/"/>
    </mc:Choice>
  </mc:AlternateContent>
  <bookViews>
    <workbookView xWindow="2780" yWindow="460" windowWidth="18840" windowHeight="14460" tabRatio="798"/>
  </bookViews>
  <sheets>
    <sheet name="GUI" sheetId="16" r:id="rId1"/>
    <sheet name="User Input" sheetId="15" r:id="rId2"/>
    <sheet name="Routes" sheetId="12" r:id="rId3"/>
    <sheet name="Coefficients" sheetId="14" r:id="rId4"/>
    <sheet name="TOPSIS" sheetId="8" r:id="rId5"/>
  </sheets>
  <definedNames>
    <definedName name="_xlnm._FilterDatabase" localSheetId="2" hidden="1">Coefficients!$I$2:$P$40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" i="8" l="1"/>
  <c r="R5" i="8"/>
  <c r="S5" i="8"/>
  <c r="T5" i="8"/>
  <c r="U5" i="8"/>
  <c r="Q6" i="8"/>
  <c r="R6" i="8"/>
  <c r="S6" i="8"/>
  <c r="T6" i="8"/>
  <c r="U6" i="8"/>
  <c r="Q7" i="8"/>
  <c r="R7" i="8"/>
  <c r="S7" i="8"/>
  <c r="T7" i="8"/>
  <c r="U7" i="8"/>
  <c r="Q8" i="8"/>
  <c r="R8" i="8"/>
  <c r="S8" i="8"/>
  <c r="T8" i="8"/>
  <c r="U8" i="8"/>
  <c r="Q9" i="8"/>
  <c r="R9" i="8"/>
  <c r="S9" i="8"/>
  <c r="T9" i="8"/>
  <c r="U9" i="8"/>
  <c r="Q10" i="8"/>
  <c r="R10" i="8"/>
  <c r="S10" i="8"/>
  <c r="T10" i="8"/>
  <c r="U10" i="8"/>
  <c r="Q11" i="8"/>
  <c r="R11" i="8"/>
  <c r="S11" i="8"/>
  <c r="T11" i="8"/>
  <c r="U11" i="8"/>
  <c r="Q12" i="8"/>
  <c r="R12" i="8"/>
  <c r="S12" i="8"/>
  <c r="T12" i="8"/>
  <c r="U12" i="8"/>
  <c r="Q13" i="8"/>
  <c r="R13" i="8"/>
  <c r="S13" i="8"/>
  <c r="T13" i="8"/>
  <c r="U13" i="8"/>
  <c r="Q14" i="8"/>
  <c r="R14" i="8"/>
  <c r="S14" i="8"/>
  <c r="T14" i="8"/>
  <c r="U14" i="8"/>
  <c r="Q15" i="8"/>
  <c r="R15" i="8"/>
  <c r="S15" i="8"/>
  <c r="T15" i="8"/>
  <c r="U15" i="8"/>
  <c r="Q16" i="8"/>
  <c r="R16" i="8"/>
  <c r="S16" i="8"/>
  <c r="T16" i="8"/>
  <c r="U16" i="8"/>
  <c r="Q17" i="8"/>
  <c r="R17" i="8"/>
  <c r="S17" i="8"/>
  <c r="T17" i="8"/>
  <c r="U17" i="8"/>
  <c r="R4" i="8"/>
  <c r="S4" i="8"/>
  <c r="T4" i="8"/>
  <c r="U4" i="8"/>
  <c r="Q4" i="8"/>
  <c r="J5" i="8"/>
  <c r="K5" i="8"/>
  <c r="L5" i="8"/>
  <c r="M5" i="8"/>
  <c r="N5" i="8"/>
  <c r="J6" i="8"/>
  <c r="K6" i="8"/>
  <c r="L6" i="8"/>
  <c r="M6" i="8"/>
  <c r="N6" i="8"/>
  <c r="J7" i="8"/>
  <c r="K7" i="8"/>
  <c r="L7" i="8"/>
  <c r="M7" i="8"/>
  <c r="N7" i="8"/>
  <c r="J8" i="8"/>
  <c r="K8" i="8"/>
  <c r="L8" i="8"/>
  <c r="M8" i="8"/>
  <c r="N8" i="8"/>
  <c r="J9" i="8"/>
  <c r="K9" i="8"/>
  <c r="L9" i="8"/>
  <c r="M9" i="8"/>
  <c r="N9" i="8"/>
  <c r="J10" i="8"/>
  <c r="K10" i="8"/>
  <c r="L10" i="8"/>
  <c r="M10" i="8"/>
  <c r="N10" i="8"/>
  <c r="J11" i="8"/>
  <c r="K11" i="8"/>
  <c r="L11" i="8"/>
  <c r="M11" i="8"/>
  <c r="N11" i="8"/>
  <c r="J12" i="8"/>
  <c r="K12" i="8"/>
  <c r="L12" i="8"/>
  <c r="M12" i="8"/>
  <c r="N12" i="8"/>
  <c r="J13" i="8"/>
  <c r="K13" i="8"/>
  <c r="L13" i="8"/>
  <c r="M13" i="8"/>
  <c r="N13" i="8"/>
  <c r="J14" i="8"/>
  <c r="K14" i="8"/>
  <c r="L14" i="8"/>
  <c r="M14" i="8"/>
  <c r="N14" i="8"/>
  <c r="J15" i="8"/>
  <c r="K15" i="8"/>
  <c r="L15" i="8"/>
  <c r="M15" i="8"/>
  <c r="N15" i="8"/>
  <c r="J16" i="8"/>
  <c r="K16" i="8"/>
  <c r="L16" i="8"/>
  <c r="M16" i="8"/>
  <c r="N16" i="8"/>
  <c r="J17" i="8"/>
  <c r="K17" i="8"/>
  <c r="L17" i="8"/>
  <c r="M17" i="8"/>
  <c r="N17" i="8"/>
  <c r="K4" i="8"/>
  <c r="L4" i="8"/>
  <c r="M4" i="8"/>
  <c r="N4" i="8"/>
  <c r="J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N36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M36" i="8"/>
  <c r="L36" i="8"/>
  <c r="K36" i="8"/>
  <c r="J36" i="8"/>
  <c r="N35" i="8"/>
  <c r="M35" i="8"/>
  <c r="L35" i="8"/>
  <c r="K35" i="8"/>
  <c r="J35" i="8"/>
  <c r="N34" i="8"/>
  <c r="M34" i="8"/>
  <c r="L34" i="8"/>
  <c r="K34" i="8"/>
  <c r="J34" i="8"/>
  <c r="N33" i="8"/>
  <c r="M33" i="8"/>
  <c r="L33" i="8"/>
  <c r="K33" i="8"/>
  <c r="J33" i="8"/>
  <c r="N32" i="8"/>
  <c r="M32" i="8"/>
  <c r="L32" i="8"/>
  <c r="K32" i="8"/>
  <c r="J32" i="8"/>
  <c r="N31" i="8"/>
  <c r="M31" i="8"/>
  <c r="L31" i="8"/>
  <c r="K31" i="8"/>
  <c r="J31" i="8"/>
  <c r="N30" i="8"/>
  <c r="M30" i="8"/>
  <c r="L30" i="8"/>
  <c r="K30" i="8"/>
  <c r="J30" i="8"/>
  <c r="N29" i="8"/>
  <c r="M29" i="8"/>
  <c r="L29" i="8"/>
  <c r="K29" i="8"/>
  <c r="J29" i="8"/>
  <c r="N28" i="8"/>
  <c r="M28" i="8"/>
  <c r="L28" i="8"/>
  <c r="K28" i="8"/>
  <c r="J28" i="8"/>
  <c r="N27" i="8"/>
  <c r="M27" i="8"/>
  <c r="L27" i="8"/>
  <c r="K27" i="8"/>
  <c r="J27" i="8"/>
  <c r="N26" i="8"/>
  <c r="M26" i="8"/>
  <c r="L26" i="8"/>
  <c r="K26" i="8"/>
  <c r="J26" i="8"/>
  <c r="N25" i="8"/>
  <c r="M25" i="8"/>
  <c r="L25" i="8"/>
  <c r="K25" i="8"/>
  <c r="J25" i="8"/>
  <c r="N24" i="8"/>
  <c r="M24" i="8"/>
  <c r="L24" i="8"/>
  <c r="K24" i="8"/>
  <c r="J24" i="8"/>
  <c r="N23" i="8"/>
  <c r="M23" i="8"/>
  <c r="L23" i="8"/>
  <c r="K23" i="8"/>
  <c r="J23" i="8"/>
  <c r="N22" i="8"/>
  <c r="M22" i="8"/>
  <c r="L22" i="8"/>
  <c r="K22" i="8"/>
  <c r="J22" i="8"/>
  <c r="N21" i="8"/>
  <c r="M21" i="8"/>
  <c r="L21" i="8"/>
  <c r="K21" i="8"/>
  <c r="J21" i="8"/>
  <c r="N20" i="8"/>
  <c r="M20" i="8"/>
  <c r="L20" i="8"/>
  <c r="K20" i="8"/>
  <c r="J20" i="8"/>
  <c r="N19" i="8"/>
  <c r="M19" i="8"/>
  <c r="L19" i="8"/>
  <c r="K19" i="8"/>
  <c r="J19" i="8"/>
  <c r="N18" i="8"/>
  <c r="M18" i="8"/>
  <c r="L18" i="8"/>
  <c r="K18" i="8"/>
  <c r="J18" i="8"/>
  <c r="N2" i="8"/>
  <c r="M2" i="8"/>
  <c r="L2" i="8"/>
  <c r="K2" i="8"/>
  <c r="J2" i="8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23" i="14"/>
  <c r="N20" i="14"/>
  <c r="N21" i="14"/>
  <c r="N22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3" i="14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O4" i="12"/>
  <c r="O5" i="12"/>
  <c r="U47" i="12"/>
  <c r="U48" i="12"/>
  <c r="U49" i="12"/>
  <c r="U50" i="12"/>
  <c r="U51" i="12"/>
  <c r="U52" i="12"/>
  <c r="U53" i="12"/>
  <c r="U54" i="12"/>
  <c r="R2" i="8"/>
  <c r="Q2" i="8"/>
  <c r="S2" i="8"/>
  <c r="T2" i="8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U3" i="14"/>
  <c r="V45" i="12"/>
  <c r="V46" i="12"/>
  <c r="V47" i="12"/>
  <c r="V48" i="12"/>
  <c r="V49" i="12"/>
  <c r="V50" i="12"/>
  <c r="V51" i="12"/>
  <c r="V52" i="12"/>
  <c r="V53" i="12"/>
  <c r="V54" i="12"/>
  <c r="V3" i="12"/>
  <c r="P4" i="12"/>
  <c r="U2" i="8"/>
  <c r="U37" i="12"/>
  <c r="U43" i="12"/>
  <c r="U33" i="12"/>
  <c r="U36" i="12"/>
  <c r="U5" i="12"/>
  <c r="U4" i="12"/>
  <c r="U40" i="12"/>
  <c r="U46" i="12"/>
  <c r="U44" i="12"/>
  <c r="U42" i="12"/>
  <c r="U45" i="12"/>
  <c r="U27" i="12"/>
  <c r="U31" i="12"/>
  <c r="U39" i="12"/>
  <c r="U3" i="12"/>
  <c r="U13" i="12"/>
  <c r="U6" i="12"/>
  <c r="U10" i="12"/>
  <c r="U18" i="12"/>
  <c r="U22" i="12"/>
  <c r="U34" i="12"/>
  <c r="U12" i="12"/>
  <c r="U21" i="12"/>
  <c r="U30" i="12"/>
  <c r="U19" i="12"/>
  <c r="U23" i="12"/>
  <c r="U35" i="12"/>
  <c r="U28" i="12"/>
  <c r="U32" i="12"/>
  <c r="U14" i="12"/>
  <c r="U15" i="12"/>
  <c r="U20" i="12"/>
  <c r="U41" i="12"/>
  <c r="U38" i="12"/>
  <c r="U9" i="12"/>
  <c r="U17" i="12"/>
  <c r="U26" i="12"/>
  <c r="U8" i="12"/>
  <c r="U16" i="12"/>
  <c r="U25" i="12"/>
  <c r="U7" i="12"/>
  <c r="U11" i="12"/>
  <c r="U24" i="12"/>
  <c r="U29" i="12"/>
  <c r="R28" i="12"/>
  <c r="T42" i="12"/>
  <c r="R24" i="12"/>
  <c r="Q17" i="12"/>
  <c r="R36" i="12"/>
  <c r="Q13" i="12"/>
  <c r="R32" i="12"/>
  <c r="R3" i="12"/>
  <c r="T46" i="12"/>
  <c r="Q21" i="12"/>
  <c r="Q9" i="12"/>
  <c r="Q5" i="12"/>
  <c r="T38" i="12"/>
  <c r="R20" i="12"/>
  <c r="R16" i="12"/>
  <c r="R12" i="12"/>
  <c r="R8" i="12"/>
  <c r="R4" i="12"/>
  <c r="Q45" i="12"/>
  <c r="Q41" i="12"/>
  <c r="T34" i="12"/>
  <c r="T30" i="12"/>
  <c r="T26" i="12"/>
  <c r="T22" i="12"/>
  <c r="T3" i="12"/>
  <c r="R44" i="12"/>
  <c r="R40" i="12"/>
  <c r="Q37" i="12"/>
  <c r="Q33" i="12"/>
  <c r="Q29" i="12"/>
  <c r="Q25" i="12"/>
  <c r="T18" i="12"/>
  <c r="T14" i="12"/>
  <c r="T10" i="12"/>
  <c r="T6" i="12"/>
  <c r="Q53" i="12"/>
  <c r="T50" i="12"/>
  <c r="T53" i="12"/>
  <c r="Q52" i="12"/>
  <c r="R51" i="12"/>
  <c r="T49" i="12"/>
  <c r="Q48" i="12"/>
  <c r="R47" i="12"/>
  <c r="T45" i="12"/>
  <c r="Q44" i="12"/>
  <c r="R43" i="12"/>
  <c r="T41" i="12"/>
  <c r="Q40" i="12"/>
  <c r="R39" i="12"/>
  <c r="T37" i="12"/>
  <c r="Q36" i="12"/>
  <c r="R35" i="12"/>
  <c r="T33" i="12"/>
  <c r="Q32" i="12"/>
  <c r="R31" i="12"/>
  <c r="T29" i="12"/>
  <c r="Q28" i="12"/>
  <c r="R27" i="12"/>
  <c r="T25" i="12"/>
  <c r="Q24" i="12"/>
  <c r="R23" i="12"/>
  <c r="T21" i="12"/>
  <c r="Q20" i="12"/>
  <c r="R19" i="12"/>
  <c r="T17" i="12"/>
  <c r="Q16" i="12"/>
  <c r="R15" i="12"/>
  <c r="T13" i="12"/>
  <c r="Q12" i="12"/>
  <c r="R11" i="12"/>
  <c r="T9" i="12"/>
  <c r="Q8" i="12"/>
  <c r="R7" i="12"/>
  <c r="T5" i="12"/>
  <c r="Q4" i="12"/>
  <c r="Q49" i="12"/>
  <c r="Q3" i="12"/>
  <c r="R54" i="12"/>
  <c r="T52" i="12"/>
  <c r="Q51" i="12"/>
  <c r="R50" i="12"/>
  <c r="T48" i="12"/>
  <c r="Q47" i="12"/>
  <c r="R46" i="12"/>
  <c r="T44" i="12"/>
  <c r="Q43" i="12"/>
  <c r="R42" i="12"/>
  <c r="T40" i="12"/>
  <c r="Q39" i="12"/>
  <c r="R38" i="12"/>
  <c r="T36" i="12"/>
  <c r="Q35" i="12"/>
  <c r="R34" i="12"/>
  <c r="T32" i="12"/>
  <c r="Q31" i="12"/>
  <c r="R30" i="12"/>
  <c r="T28" i="12"/>
  <c r="Q27" i="12"/>
  <c r="R26" i="12"/>
  <c r="T24" i="12"/>
  <c r="Q23" i="12"/>
  <c r="R22" i="12"/>
  <c r="T20" i="12"/>
  <c r="Q19" i="12"/>
  <c r="R18" i="12"/>
  <c r="T16" i="12"/>
  <c r="Q15" i="12"/>
  <c r="R14" i="12"/>
  <c r="T12" i="12"/>
  <c r="Q11" i="12"/>
  <c r="R10" i="12"/>
  <c r="T8" i="12"/>
  <c r="Q7" i="12"/>
  <c r="R6" i="12"/>
  <c r="T4" i="12"/>
  <c r="T54" i="12"/>
  <c r="R52" i="12"/>
  <c r="R48" i="12"/>
  <c r="Q54" i="12"/>
  <c r="R53" i="12"/>
  <c r="T51" i="12"/>
  <c r="Q50" i="12"/>
  <c r="R49" i="12"/>
  <c r="T47" i="12"/>
  <c r="Q46" i="12"/>
  <c r="R45" i="12"/>
  <c r="T43" i="12"/>
  <c r="Q42" i="12"/>
  <c r="R41" i="12"/>
  <c r="T39" i="12"/>
  <c r="Q38" i="12"/>
  <c r="R37" i="12"/>
  <c r="T35" i="12"/>
  <c r="Q34" i="12"/>
  <c r="R33" i="12"/>
  <c r="T31" i="12"/>
  <c r="Q30" i="12"/>
  <c r="R29" i="12"/>
  <c r="T27" i="12"/>
  <c r="Q26" i="12"/>
  <c r="R25" i="12"/>
  <c r="T23" i="12"/>
  <c r="Q22" i="12"/>
  <c r="R21" i="12"/>
  <c r="T19" i="12"/>
  <c r="Q18" i="12"/>
  <c r="R17" i="12"/>
  <c r="T15" i="12"/>
  <c r="Q14" i="12"/>
  <c r="R13" i="12"/>
  <c r="T11" i="12"/>
  <c r="Q10" i="12"/>
  <c r="R9" i="12"/>
  <c r="T7" i="12"/>
  <c r="Q6" i="12"/>
  <c r="R5" i="12"/>
  <c r="P5" i="12"/>
  <c r="P6" i="12"/>
  <c r="O6" i="12"/>
  <c r="O7" i="12"/>
  <c r="P7" i="12"/>
  <c r="O8" i="12"/>
  <c r="P8" i="12"/>
  <c r="O9" i="12"/>
  <c r="O10" i="12"/>
  <c r="P9" i="12"/>
  <c r="O11" i="12"/>
  <c r="P10" i="12"/>
  <c r="P11" i="12"/>
  <c r="O12" i="12"/>
  <c r="O13" i="12"/>
  <c r="P12" i="12"/>
  <c r="O14" i="12"/>
  <c r="P13" i="12"/>
  <c r="O15" i="12"/>
  <c r="P14" i="12"/>
  <c r="P15" i="12"/>
  <c r="O16" i="12"/>
  <c r="O17" i="12"/>
  <c r="P16" i="12"/>
  <c r="O18" i="12"/>
  <c r="P17" i="12"/>
  <c r="O19" i="12"/>
  <c r="P18" i="12"/>
  <c r="O20" i="12"/>
  <c r="P19" i="12"/>
  <c r="O21" i="12"/>
  <c r="P20" i="12"/>
  <c r="P21" i="12"/>
  <c r="O22" i="12"/>
  <c r="O23" i="12"/>
  <c r="P22" i="12"/>
  <c r="O24" i="12"/>
  <c r="P23" i="12"/>
  <c r="O25" i="12"/>
  <c r="P24" i="12"/>
  <c r="O26" i="12"/>
  <c r="P25" i="12"/>
  <c r="O27" i="12"/>
  <c r="P26" i="12"/>
  <c r="P27" i="12"/>
  <c r="O28" i="12"/>
  <c r="O29" i="12"/>
  <c r="P28" i="12"/>
  <c r="P29" i="12"/>
  <c r="O30" i="12"/>
  <c r="O31" i="12"/>
  <c r="P30" i="12"/>
  <c r="O32" i="12"/>
  <c r="P31" i="12"/>
  <c r="O33" i="12"/>
  <c r="P32" i="12"/>
  <c r="P33" i="12"/>
  <c r="O34" i="12"/>
  <c r="O35" i="12"/>
  <c r="P34" i="12"/>
  <c r="O36" i="12"/>
  <c r="P35" i="12"/>
  <c r="O37" i="12"/>
  <c r="P36" i="12"/>
  <c r="P37" i="12"/>
  <c r="O38" i="12"/>
  <c r="O39" i="12"/>
  <c r="P38" i="12"/>
  <c r="O40" i="12"/>
  <c r="P39" i="12"/>
  <c r="O41" i="12"/>
  <c r="P40" i="12"/>
  <c r="O42" i="12"/>
  <c r="P41" i="12"/>
  <c r="O43" i="12"/>
  <c r="P42" i="12"/>
  <c r="O44" i="12"/>
  <c r="P43" i="12"/>
  <c r="O45" i="12"/>
  <c r="P44" i="12"/>
  <c r="P45" i="12"/>
  <c r="O46" i="12"/>
  <c r="O47" i="12"/>
  <c r="P46" i="12"/>
  <c r="O48" i="12"/>
  <c r="P47" i="12"/>
  <c r="P48" i="12"/>
  <c r="O49" i="12"/>
  <c r="O50" i="12"/>
  <c r="P49" i="12"/>
  <c r="O51" i="12"/>
  <c r="P50" i="12"/>
  <c r="O52" i="12"/>
  <c r="P51" i="12"/>
  <c r="P52" i="12"/>
  <c r="O53" i="12"/>
  <c r="O54" i="12"/>
  <c r="P53" i="12"/>
  <c r="P54" i="12"/>
  <c r="E4" i="8"/>
  <c r="G4" i="8"/>
  <c r="D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T5" i="8"/>
  <c r="AT6" i="8"/>
  <c r="AT7" i="8"/>
  <c r="AT8" i="8"/>
  <c r="AT9" i="8"/>
  <c r="AT10" i="8"/>
  <c r="AT11" i="8"/>
  <c r="AT12" i="8"/>
  <c r="AT13" i="8"/>
  <c r="AT14" i="8"/>
  <c r="AT15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C4" i="8"/>
  <c r="F4" i="8"/>
  <c r="G5" i="8"/>
  <c r="C5" i="8"/>
  <c r="D5" i="8"/>
  <c r="F5" i="8"/>
  <c r="E5" i="8"/>
  <c r="D6" i="8"/>
  <c r="E6" i="8"/>
  <c r="F6" i="8"/>
  <c r="G6" i="8"/>
  <c r="C6" i="8"/>
  <c r="E7" i="8"/>
  <c r="D7" i="8"/>
  <c r="G7" i="8"/>
  <c r="C7" i="8"/>
  <c r="F7" i="8"/>
  <c r="G8" i="8"/>
  <c r="E8" i="8"/>
  <c r="C8" i="8"/>
  <c r="D8" i="8"/>
  <c r="F8" i="8"/>
  <c r="C9" i="8"/>
  <c r="D9" i="8"/>
  <c r="F9" i="8"/>
  <c r="G9" i="8"/>
  <c r="E9" i="8"/>
  <c r="E10" i="8"/>
  <c r="G10" i="8"/>
  <c r="F10" i="8"/>
  <c r="D10" i="8"/>
  <c r="C10" i="8"/>
  <c r="E11" i="8"/>
  <c r="G11" i="8"/>
  <c r="F11" i="8"/>
  <c r="C11" i="8"/>
  <c r="D11" i="8"/>
  <c r="G12" i="8"/>
  <c r="C12" i="8"/>
  <c r="E12" i="8"/>
  <c r="D12" i="8"/>
  <c r="F12" i="8"/>
  <c r="E13" i="8"/>
  <c r="C13" i="8"/>
  <c r="D13" i="8"/>
  <c r="G13" i="8"/>
  <c r="F13" i="8"/>
  <c r="E14" i="8"/>
  <c r="F14" i="8"/>
  <c r="G14" i="8"/>
  <c r="C14" i="8"/>
  <c r="D14" i="8"/>
  <c r="E15" i="8"/>
  <c r="D15" i="8"/>
  <c r="G15" i="8"/>
  <c r="C15" i="8"/>
  <c r="F15" i="8"/>
  <c r="E16" i="8"/>
  <c r="D16" i="8"/>
  <c r="C16" i="8"/>
  <c r="G16" i="8"/>
  <c r="F16" i="8"/>
  <c r="E17" i="8"/>
  <c r="D17" i="8"/>
  <c r="C17" i="8"/>
  <c r="G17" i="8"/>
  <c r="F17" i="8"/>
  <c r="E18" i="8"/>
  <c r="G18" i="8"/>
  <c r="D18" i="8"/>
  <c r="F18" i="8"/>
  <c r="C18" i="8"/>
  <c r="E19" i="8"/>
  <c r="D19" i="8"/>
  <c r="F19" i="8"/>
  <c r="C19" i="8"/>
  <c r="G19" i="8"/>
  <c r="E20" i="8"/>
  <c r="C20" i="8"/>
  <c r="F20" i="8"/>
  <c r="G20" i="8"/>
  <c r="D20" i="8"/>
  <c r="G21" i="8"/>
  <c r="F21" i="8"/>
  <c r="C21" i="8"/>
  <c r="E21" i="8"/>
  <c r="D21" i="8"/>
  <c r="D22" i="8"/>
  <c r="G22" i="8"/>
  <c r="F22" i="8"/>
  <c r="C22" i="8"/>
  <c r="E22" i="8"/>
  <c r="F23" i="8"/>
  <c r="G23" i="8"/>
  <c r="E23" i="8"/>
  <c r="D23" i="8"/>
  <c r="C23" i="8"/>
  <c r="G24" i="8"/>
  <c r="E24" i="8"/>
  <c r="C24" i="8"/>
  <c r="F24" i="8"/>
  <c r="D24" i="8"/>
  <c r="C25" i="8"/>
  <c r="D25" i="8"/>
  <c r="E25" i="8"/>
  <c r="G25" i="8"/>
  <c r="F25" i="8"/>
  <c r="E26" i="8"/>
  <c r="G26" i="8"/>
  <c r="D26" i="8"/>
  <c r="C26" i="8"/>
  <c r="F26" i="8"/>
  <c r="G27" i="8"/>
  <c r="E27" i="8"/>
  <c r="D27" i="8"/>
  <c r="C27" i="8"/>
  <c r="F27" i="8"/>
  <c r="E28" i="8"/>
  <c r="F28" i="8"/>
  <c r="C28" i="8"/>
  <c r="G28" i="8"/>
  <c r="D28" i="8"/>
  <c r="G29" i="8"/>
  <c r="E29" i="8"/>
  <c r="D29" i="8"/>
  <c r="F29" i="8"/>
  <c r="C29" i="8"/>
  <c r="G30" i="8"/>
  <c r="C30" i="8"/>
  <c r="E30" i="8"/>
  <c r="F30" i="8"/>
  <c r="D30" i="8"/>
  <c r="G31" i="8"/>
  <c r="C31" i="8"/>
  <c r="F31" i="8"/>
  <c r="D31" i="8"/>
  <c r="E31" i="8"/>
  <c r="G32" i="8"/>
  <c r="D32" i="8"/>
  <c r="F32" i="8"/>
  <c r="E32" i="8"/>
  <c r="C32" i="8"/>
  <c r="E33" i="8"/>
  <c r="D33" i="8"/>
  <c r="F33" i="8"/>
  <c r="C33" i="8"/>
  <c r="G33" i="8"/>
  <c r="C34" i="8"/>
  <c r="G34" i="8"/>
  <c r="E34" i="8"/>
  <c r="F34" i="8"/>
  <c r="D34" i="8"/>
  <c r="D35" i="8"/>
  <c r="E35" i="8"/>
  <c r="G35" i="8"/>
  <c r="C35" i="8"/>
  <c r="F35" i="8"/>
  <c r="E36" i="8"/>
  <c r="E2" i="8"/>
  <c r="F36" i="8"/>
  <c r="F2" i="8"/>
  <c r="D36" i="8"/>
  <c r="D2" i="8"/>
  <c r="G36" i="8"/>
  <c r="G2" i="8"/>
  <c r="C36" i="8"/>
  <c r="C2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Y2" i="8"/>
  <c r="AF15" i="8"/>
  <c r="Y1" i="8"/>
  <c r="AN10" i="8"/>
  <c r="AB1" i="8"/>
  <c r="AQ8" i="8"/>
  <c r="AB2" i="8"/>
  <c r="AI16" i="8"/>
  <c r="AF11" i="8"/>
  <c r="AA2" i="8"/>
  <c r="AH15" i="8"/>
  <c r="AA1" i="8"/>
  <c r="AP14" i="8"/>
  <c r="Z2" i="8"/>
  <c r="AG8" i="8"/>
  <c r="Z1" i="8"/>
  <c r="AO6" i="8"/>
  <c r="AQ6" i="8"/>
  <c r="X1" i="8"/>
  <c r="AM8" i="8"/>
  <c r="X2" i="8"/>
  <c r="AE13" i="8"/>
  <c r="AF6" i="8"/>
  <c r="AI6" i="8"/>
  <c r="AH8" i="8"/>
  <c r="AI14" i="8"/>
  <c r="AH4" i="8"/>
  <c r="AI11" i="8"/>
  <c r="AN14" i="8"/>
  <c r="AP4" i="8"/>
  <c r="AP8" i="8"/>
  <c r="AF16" i="8"/>
  <c r="AI10" i="8"/>
  <c r="AI7" i="8"/>
  <c r="AH14" i="8"/>
  <c r="AF4" i="8"/>
  <c r="AI5" i="8"/>
  <c r="AI4" i="8"/>
  <c r="AI17" i="8"/>
  <c r="AG17" i="8"/>
  <c r="AH7" i="8"/>
  <c r="AM16" i="8"/>
  <c r="AQ14" i="8"/>
  <c r="AF10" i="8"/>
  <c r="AF7" i="8"/>
  <c r="AP17" i="8"/>
  <c r="AM15" i="8"/>
  <c r="AG7" i="8"/>
  <c r="AO12" i="8"/>
  <c r="AM9" i="8"/>
  <c r="AF5" i="8"/>
  <c r="AM4" i="8"/>
  <c r="AG4" i="8"/>
  <c r="AG16" i="8"/>
  <c r="AF14" i="8"/>
  <c r="AM13" i="8"/>
  <c r="AI15" i="8"/>
  <c r="AH5" i="8"/>
  <c r="AM10" i="8"/>
  <c r="AI8" i="8"/>
  <c r="AF8" i="8"/>
  <c r="AI9" i="8"/>
  <c r="AF17" i="8"/>
  <c r="AM12" i="8"/>
  <c r="AM17" i="8"/>
  <c r="AP9" i="8"/>
  <c r="AE5" i="8"/>
  <c r="AO8" i="8"/>
  <c r="AP16" i="8"/>
  <c r="AQ11" i="8"/>
  <c r="AO5" i="8"/>
  <c r="AO13" i="8"/>
  <c r="AN7" i="8"/>
  <c r="AP13" i="8"/>
  <c r="AQ4" i="8"/>
  <c r="AQ12" i="8"/>
  <c r="AO10" i="8"/>
  <c r="AP10" i="8"/>
  <c r="AE11" i="8"/>
  <c r="AQ13" i="8"/>
  <c r="AO15" i="8"/>
  <c r="AN9" i="8"/>
  <c r="AP11" i="8"/>
  <c r="AP12" i="8"/>
  <c r="AE4" i="8"/>
  <c r="AE8" i="8"/>
  <c r="AE16" i="8"/>
  <c r="AQ10" i="8"/>
  <c r="AO4" i="8"/>
  <c r="AG12" i="8"/>
  <c r="AN6" i="8"/>
  <c r="AH16" i="8"/>
  <c r="AE9" i="8"/>
  <c r="AQ7" i="8"/>
  <c r="AQ15" i="8"/>
  <c r="AG9" i="8"/>
  <c r="AO17" i="8"/>
  <c r="AN11" i="8"/>
  <c r="AP5" i="8"/>
  <c r="AH13" i="8"/>
  <c r="AM6" i="8"/>
  <c r="AM14" i="8"/>
  <c r="AI12" i="8"/>
  <c r="AG10" i="8"/>
  <c r="AN4" i="8"/>
  <c r="AN8" i="8"/>
  <c r="AN16" i="8"/>
  <c r="AH10" i="8"/>
  <c r="AM11" i="8"/>
  <c r="AQ5" i="8"/>
  <c r="AI13" i="8"/>
  <c r="AO7" i="8"/>
  <c r="AG15" i="8"/>
  <c r="AF9" i="8"/>
  <c r="AN17" i="8"/>
  <c r="AH11" i="8"/>
  <c r="AO9" i="8"/>
  <c r="AE6" i="8"/>
  <c r="AE14" i="8"/>
  <c r="AQ16" i="8"/>
  <c r="AO14" i="8"/>
  <c r="AN12" i="8"/>
  <c r="AP6" i="8"/>
  <c r="AE7" i="8"/>
  <c r="AO11" i="8"/>
  <c r="AN13" i="8"/>
  <c r="AP15" i="8"/>
  <c r="AE12" i="8"/>
  <c r="AO16" i="8"/>
  <c r="AM5" i="8"/>
  <c r="AE17" i="8"/>
  <c r="AG5" i="8"/>
  <c r="AG13" i="8"/>
  <c r="AN15" i="8"/>
  <c r="AH9" i="8"/>
  <c r="AH17" i="8"/>
  <c r="AE10" i="8"/>
  <c r="AG6" i="8"/>
  <c r="AG14" i="8"/>
  <c r="AF12" i="8"/>
  <c r="AH6" i="8"/>
  <c r="AM7" i="8"/>
  <c r="AE15" i="8"/>
  <c r="AQ9" i="8"/>
  <c r="AQ17" i="8"/>
  <c r="AG11" i="8"/>
  <c r="AN5" i="8"/>
  <c r="AF13" i="8"/>
  <c r="AP7" i="8"/>
  <c r="AH12" i="8"/>
  <c r="AJ7" i="8"/>
  <c r="AJ13" i="8"/>
  <c r="AR7" i="8"/>
  <c r="AU7" i="8"/>
  <c r="AR5" i="8"/>
  <c r="AR6" i="8"/>
  <c r="AR8" i="8"/>
  <c r="AR14" i="8"/>
  <c r="AJ8" i="8"/>
  <c r="AJ10" i="8"/>
  <c r="AJ4" i="8"/>
  <c r="AJ15" i="8"/>
  <c r="AJ17" i="8"/>
  <c r="AJ14" i="8"/>
  <c r="AJ16" i="8"/>
  <c r="AJ11" i="8"/>
  <c r="AJ5" i="8"/>
  <c r="AU5" i="8"/>
  <c r="AR10" i="8"/>
  <c r="AR9" i="8"/>
  <c r="AR15" i="8"/>
  <c r="AJ6" i="8"/>
  <c r="AU6" i="8"/>
  <c r="AR11" i="8"/>
  <c r="AJ9" i="8"/>
  <c r="AR17" i="8"/>
  <c r="AR16" i="8"/>
  <c r="AJ12" i="8"/>
  <c r="AR12" i="8"/>
  <c r="AR13" i="8"/>
  <c r="AU13" i="8"/>
  <c r="AR4" i="8"/>
  <c r="AU8" i="8"/>
  <c r="AU14" i="8"/>
  <c r="AU11" i="8"/>
  <c r="AU4" i="8"/>
  <c r="AU10" i="8"/>
  <c r="AU9" i="8"/>
  <c r="AU12" i="8"/>
  <c r="AU17" i="8"/>
  <c r="AU15" i="8"/>
  <c r="AU16" i="8"/>
  <c r="AV8" i="8"/>
  <c r="AV5" i="8"/>
  <c r="AV17" i="8"/>
  <c r="AV10" i="8"/>
  <c r="AV11" i="8"/>
  <c r="AV7" i="8"/>
  <c r="AV9" i="8"/>
  <c r="AV4" i="8"/>
  <c r="AV14" i="8"/>
  <c r="AV16" i="8"/>
  <c r="AV15" i="8"/>
  <c r="AV12" i="8"/>
  <c r="AV6" i="8"/>
  <c r="AV13" i="8"/>
  <c r="B14" i="16"/>
  <c r="H14" i="16"/>
  <c r="N14" i="16"/>
  <c r="N23" i="16" a="1"/>
  <c r="N23" i="16"/>
  <c r="O23" i="16"/>
  <c r="N24" i="16" a="1"/>
  <c r="N24" i="16"/>
  <c r="O24" i="16"/>
  <c r="N22" i="16" a="1"/>
  <c r="N22" i="16"/>
  <c r="O22" i="16"/>
  <c r="H24" i="16" a="1"/>
  <c r="H24" i="16"/>
  <c r="I24" i="16"/>
  <c r="H23" i="16" a="1"/>
  <c r="H23" i="16"/>
  <c r="I23" i="16"/>
  <c r="H22" i="16" a="1"/>
  <c r="H22" i="16"/>
  <c r="I22" i="16"/>
  <c r="B16" i="16" a="1"/>
  <c r="B16" i="16"/>
  <c r="C16" i="16"/>
  <c r="B22" i="16" a="1"/>
  <c r="B22" i="16"/>
  <c r="C22" i="16"/>
  <c r="B23" i="16" a="1"/>
  <c r="B23" i="16"/>
  <c r="C23" i="16"/>
  <c r="B24" i="16" a="1"/>
  <c r="B24" i="16"/>
  <c r="C24" i="16"/>
  <c r="B19" i="16" a="1"/>
  <c r="B19" i="16"/>
  <c r="C19" i="16"/>
  <c r="C14" i="16"/>
  <c r="G14" i="16"/>
  <c r="F14" i="16"/>
  <c r="D14" i="16"/>
  <c r="B17" i="16" a="1"/>
  <c r="B17" i="16"/>
  <c r="C17" i="16"/>
  <c r="E14" i="16"/>
  <c r="B18" i="16" a="1"/>
  <c r="B18" i="16"/>
  <c r="C18" i="16"/>
  <c r="B21" i="16" a="1"/>
  <c r="B21" i="16"/>
  <c r="C21" i="16"/>
  <c r="B20" i="16" a="1"/>
  <c r="B20" i="16"/>
  <c r="C20" i="16"/>
  <c r="N19" i="16" a="1"/>
  <c r="N19" i="16"/>
  <c r="O19" i="16"/>
  <c r="P14" i="16"/>
  <c r="O14" i="16"/>
  <c r="Q14" i="16"/>
  <c r="R14" i="16"/>
  <c r="S14" i="16"/>
  <c r="N20" i="16" a="1"/>
  <c r="N20" i="16"/>
  <c r="O20" i="16"/>
  <c r="N16" i="16" a="1"/>
  <c r="N16" i="16"/>
  <c r="O16" i="16"/>
  <c r="N18" i="16" a="1"/>
  <c r="N18" i="16"/>
  <c r="O18" i="16"/>
  <c r="N17" i="16" a="1"/>
  <c r="N17" i="16"/>
  <c r="O17" i="16"/>
  <c r="N21" i="16" a="1"/>
  <c r="N21" i="16"/>
  <c r="O21" i="16"/>
  <c r="J14" i="16"/>
  <c r="M14" i="16"/>
  <c r="H21" i="16" a="1"/>
  <c r="H21" i="16"/>
  <c r="I21" i="16"/>
  <c r="K14" i="16"/>
  <c r="L14" i="16"/>
  <c r="H19" i="16" a="1"/>
  <c r="H19" i="16"/>
  <c r="I19" i="16"/>
  <c r="H18" i="16" a="1"/>
  <c r="H18" i="16"/>
  <c r="I18" i="16"/>
  <c r="H17" i="16" a="1"/>
  <c r="H17" i="16"/>
  <c r="I17" i="16"/>
  <c r="H20" i="16" a="1"/>
  <c r="H20" i="16"/>
  <c r="I20" i="16"/>
  <c r="I14" i="16"/>
  <c r="H16" i="16" a="1"/>
  <c r="H16" i="16"/>
  <c r="I16" i="16"/>
</calcChain>
</file>

<file path=xl/sharedStrings.xml><?xml version="1.0" encoding="utf-8"?>
<sst xmlns="http://schemas.openxmlformats.org/spreadsheetml/2006/main" count="288" uniqueCount="117">
  <si>
    <t>Cost</t>
  </si>
  <si>
    <t>Bike</t>
  </si>
  <si>
    <t>Hubway</t>
  </si>
  <si>
    <t>Walk</t>
  </si>
  <si>
    <t>Time</t>
  </si>
  <si>
    <t>Transfers</t>
  </si>
  <si>
    <t>Mode</t>
  </si>
  <si>
    <t>Comfort</t>
  </si>
  <si>
    <t>From</t>
  </si>
  <si>
    <t>To</t>
  </si>
  <si>
    <t>E</t>
  </si>
  <si>
    <t>Ruggles Station</t>
  </si>
  <si>
    <t>Downtown Crossing</t>
  </si>
  <si>
    <t>The Daily Catch</t>
  </si>
  <si>
    <t>Orange Line</t>
  </si>
  <si>
    <t>70 Sleeper St.</t>
  </si>
  <si>
    <t>Reliability</t>
  </si>
  <si>
    <t>748 Columbus Ave</t>
  </si>
  <si>
    <t>Normalized</t>
  </si>
  <si>
    <t>scale 1-10</t>
  </si>
  <si>
    <t>S* separation values</t>
  </si>
  <si>
    <t>S- separation values</t>
  </si>
  <si>
    <t>Si*=j=1n(Vij-Vj*)</t>
  </si>
  <si>
    <t>Si-=j=1n(Vij-Vj-)</t>
  </si>
  <si>
    <t>Ci*=Si-(Si++Si-)</t>
  </si>
  <si>
    <t>Route</t>
  </si>
  <si>
    <t>Closeness</t>
  </si>
  <si>
    <t>ID</t>
  </si>
  <si>
    <t>Destination Name</t>
  </si>
  <si>
    <t>A</t>
  </si>
  <si>
    <t>B</t>
  </si>
  <si>
    <t>C</t>
  </si>
  <si>
    <t>D</t>
  </si>
  <si>
    <t>F</t>
  </si>
  <si>
    <t>G</t>
  </si>
  <si>
    <t>H</t>
  </si>
  <si>
    <t>Destinations:</t>
  </si>
  <si>
    <t>Modes:</t>
  </si>
  <si>
    <t>W</t>
  </si>
  <si>
    <t>Description</t>
  </si>
  <si>
    <t>U</t>
  </si>
  <si>
    <t>Uber</t>
  </si>
  <si>
    <t>Drive</t>
  </si>
  <si>
    <t>RL</t>
  </si>
  <si>
    <t>Red Line</t>
  </si>
  <si>
    <t>OL</t>
  </si>
  <si>
    <t>GLB</t>
  </si>
  <si>
    <t>Green Line B</t>
  </si>
  <si>
    <t>GLC</t>
  </si>
  <si>
    <t>GLD</t>
  </si>
  <si>
    <t>GLE</t>
  </si>
  <si>
    <t>Green Line C</t>
  </si>
  <si>
    <t>Green Line D</t>
  </si>
  <si>
    <t>Green Line E</t>
  </si>
  <si>
    <t>BL</t>
  </si>
  <si>
    <t>Blue Line</t>
  </si>
  <si>
    <t>CR</t>
  </si>
  <si>
    <t>Commuter Rail</t>
  </si>
  <si>
    <t>BK</t>
  </si>
  <si>
    <t>State Street</t>
  </si>
  <si>
    <t>South Station</t>
  </si>
  <si>
    <t>Courthouse</t>
  </si>
  <si>
    <t>Franklin St./ Arch St.</t>
  </si>
  <si>
    <t>Watermark Seaport</t>
  </si>
  <si>
    <t>I</t>
  </si>
  <si>
    <t>J</t>
  </si>
  <si>
    <t>Arcs:</t>
  </si>
  <si>
    <t>SL1</t>
  </si>
  <si>
    <t>Silver Line 1</t>
  </si>
  <si>
    <t>A-B-W</t>
  </si>
  <si>
    <t>B-C-OL</t>
  </si>
  <si>
    <t>C-J-W</t>
  </si>
  <si>
    <t>Time (min)</t>
  </si>
  <si>
    <t>Routes:</t>
  </si>
  <si>
    <t>B-E-CR</t>
  </si>
  <si>
    <t>E-F-SL1</t>
  </si>
  <si>
    <t>F-J-W</t>
  </si>
  <si>
    <t>B-D-OL</t>
  </si>
  <si>
    <t>D-E-W</t>
  </si>
  <si>
    <t>E-J-W</t>
  </si>
  <si>
    <t>D-E-RL</t>
  </si>
  <si>
    <t>D-J-W</t>
  </si>
  <si>
    <t>D-G-W</t>
  </si>
  <si>
    <t>G-H-H</t>
  </si>
  <si>
    <t>H-J-W</t>
  </si>
  <si>
    <t>B-H-H</t>
  </si>
  <si>
    <t>A-I-D</t>
  </si>
  <si>
    <t>I-J-W</t>
  </si>
  <si>
    <t>A-J-U</t>
  </si>
  <si>
    <t>A-J-BK</t>
  </si>
  <si>
    <t>A-J-W</t>
  </si>
  <si>
    <t>Candidate Routes</t>
  </si>
  <si>
    <t>Route #</t>
  </si>
  <si>
    <t>TOTAL:</t>
  </si>
  <si>
    <t>Rating</t>
  </si>
  <si>
    <t>Best</t>
  </si>
  <si>
    <t>Worst</t>
  </si>
  <si>
    <t>Sum</t>
  </si>
  <si>
    <t>Degree of Closeness</t>
  </si>
  <si>
    <t>Rank</t>
  </si>
  <si>
    <t>Step</t>
  </si>
  <si>
    <t>TOPSIS Model for Travel Planning</t>
  </si>
  <si>
    <t>Importance</t>
  </si>
  <si>
    <t>Directions:</t>
  </si>
  <si>
    <t>1=least important</t>
  </si>
  <si>
    <t>10=most important</t>
  </si>
  <si>
    <t>This a model helps you plan your favorite route to the Daily Catch restaurant in Seaport district.</t>
  </si>
  <si>
    <t>2nd Best Route</t>
  </si>
  <si>
    <t>3rd Best Route</t>
  </si>
  <si>
    <t>Best Route</t>
  </si>
  <si>
    <t>How Important is…</t>
  </si>
  <si>
    <t>1 = Not important, 10 = Very Important</t>
  </si>
  <si>
    <t>INPUT</t>
  </si>
  <si>
    <t>minimum</t>
  </si>
  <si>
    <t>maximum</t>
  </si>
  <si>
    <t>Squared values Routes</t>
  </si>
  <si>
    <t>route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</si>
</sst>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"/>
    <numFmt numFmtId="165" formatCode="0.00000"/>
    <numFmt numFmtId="166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9" fontId="0" fillId="2" borderId="1" xfId="1" applyFont="1" applyFill="1" applyBorder="1"/>
    <xf numFmtId="0" fontId="4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5" fontId="0" fillId="0" borderId="1" xfId="0" applyNumberFormat="1" applyFill="1" applyBorder="1"/>
    <xf numFmtId="0" fontId="0" fillId="3" borderId="0" xfId="0" applyFill="1"/>
    <xf numFmtId="0" fontId="6" fillId="0" borderId="0" xfId="0" applyFont="1"/>
    <xf numFmtId="0" fontId="0" fillId="6" borderId="1" xfId="0" applyFont="1" applyFill="1" applyBorder="1"/>
    <xf numFmtId="165" fontId="0" fillId="6" borderId="1" xfId="0" applyNumberFormat="1" applyFont="1" applyFill="1" applyBorder="1"/>
    <xf numFmtId="0" fontId="0" fillId="4" borderId="1" xfId="0" applyFont="1" applyFill="1" applyBorder="1"/>
    <xf numFmtId="165" fontId="0" fillId="4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165" fontId="0" fillId="0" borderId="1" xfId="0" applyNumberFormat="1" applyFont="1" applyFill="1" applyBorder="1"/>
    <xf numFmtId="165" fontId="0" fillId="0" borderId="1" xfId="0" applyNumberFormat="1" applyBorder="1"/>
    <xf numFmtId="0" fontId="0" fillId="0" borderId="2" xfId="0" applyBorder="1"/>
    <xf numFmtId="0" fontId="1" fillId="5" borderId="1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8" fillId="0" borderId="0" xfId="0" applyFont="1"/>
    <xf numFmtId="0" fontId="0" fillId="7" borderId="2" xfId="0" applyFill="1" applyBorder="1"/>
    <xf numFmtId="0" fontId="0" fillId="7" borderId="1" xfId="0" applyFill="1" applyBorder="1"/>
    <xf numFmtId="166" fontId="0" fillId="0" borderId="0" xfId="0" applyNumberFormat="1"/>
    <xf numFmtId="166" fontId="7" fillId="0" borderId="0" xfId="0" applyNumberFormat="1" applyFont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0" xfId="2" applyNumberFormat="1" applyFont="1" applyBorder="1"/>
    <xf numFmtId="2" fontId="0" fillId="0" borderId="10" xfId="0" applyNumberFormat="1" applyBorder="1"/>
    <xf numFmtId="9" fontId="0" fillId="0" borderId="10" xfId="1" applyFont="1" applyBorder="1"/>
    <xf numFmtId="0" fontId="0" fillId="0" borderId="11" xfId="0" applyBorder="1"/>
    <xf numFmtId="0" fontId="1" fillId="5" borderId="3" xfId="0" applyFont="1" applyFill="1" applyBorder="1"/>
    <xf numFmtId="0" fontId="0" fillId="0" borderId="3" xfId="0" applyBorder="1"/>
    <xf numFmtId="0" fontId="0" fillId="0" borderId="15" xfId="0" applyBorder="1"/>
    <xf numFmtId="0" fontId="1" fillId="5" borderId="5" xfId="0" applyFont="1" applyFill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Font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1" xfId="0" applyFont="1" applyBorder="1"/>
    <xf numFmtId="0" fontId="9" fillId="0" borderId="0" xfId="0" applyNumberFormat="1" applyFont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7" fillId="0" borderId="0" xfId="0" applyFont="1"/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1"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</font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9" defaultPivotStyle="PivotStyleMedium7"/>
  <colors>
    <mruColors>
      <color rgb="FFFFCCCC"/>
      <color rgb="FFFFBDBD"/>
      <color rgb="FFFFA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197242</xdr:colOff>
      <xdr:row>2</xdr:row>
      <xdr:rowOff>141660</xdr:rowOff>
    </xdr:from>
    <xdr:to>
      <xdr:col>11</xdr:col>
      <xdr:colOff>346548</xdr:colOff>
      <xdr:row>24</xdr:row>
      <xdr:rowOff>157775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pSpPr/>
      </xdr:nvGrpSpPr>
      <xdr:grpSpPr>
        <a:xfrm>
          <a:off x="197242" y="538535"/>
          <a:ext cx="7396244" cy="4381739"/>
          <a:chOff x="693697" y="73211"/>
          <a:chExt cx="7433663" cy="4406682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265" name="Object 1" hidden="1">
                <a:extLst>
                  <a:ext uri="{63B3BB69-23CF-44E3-9099-C40C66FF867C}">
                    <a14:compatExt spid="_x0000_s11265"/>
                  </a:ext>
                  <a:ext uri="{FF2B5EF4-FFF2-40B4-BE49-F238E27FC236}">
                    <a16:creationId xmlns:a16="http://schemas.microsoft.com/office/drawing/2014/main" xmlns="" id="{00000000-0008-0000-0100-0000012C0000}"/>
                  </a:ext>
                </a:extLst>
              </xdr:cNvPr>
              <xdr:cNvSpPr/>
            </xdr:nvSpPr>
            <xdr:spPr bwMode="auto">
              <a:xfrm>
                <a:off x="693697" y="386868"/>
                <a:ext cx="7212694" cy="4093025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xmlns="" id="{00000000-0008-0000-0100-000002000000}"/>
              </a:ext>
            </a:extLst>
          </xdr:cNvPr>
          <xdr:cNvSpPr txBox="1"/>
        </xdr:nvSpPr>
        <xdr:spPr>
          <a:xfrm>
            <a:off x="841509" y="1604041"/>
            <a:ext cx="276412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A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100-000004000000}"/>
              </a:ext>
            </a:extLst>
          </xdr:cNvPr>
          <xdr:cNvSpPr txBox="1"/>
        </xdr:nvSpPr>
        <xdr:spPr>
          <a:xfrm>
            <a:off x="1798065" y="2657181"/>
            <a:ext cx="281215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B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xmlns="" id="{00000000-0008-0000-0100-000006000000}"/>
              </a:ext>
            </a:extLst>
          </xdr:cNvPr>
          <xdr:cNvSpPr txBox="1"/>
        </xdr:nvSpPr>
        <xdr:spPr>
          <a:xfrm>
            <a:off x="3600931" y="73211"/>
            <a:ext cx="276412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100-000007000000}"/>
              </a:ext>
            </a:extLst>
          </xdr:cNvPr>
          <xdr:cNvSpPr txBox="1"/>
        </xdr:nvSpPr>
        <xdr:spPr>
          <a:xfrm>
            <a:off x="3499331" y="2575644"/>
            <a:ext cx="276412" cy="2945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D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xmlns="" id="{00000000-0008-0000-0100-000008000000}"/>
              </a:ext>
            </a:extLst>
          </xdr:cNvPr>
          <xdr:cNvSpPr txBox="1"/>
        </xdr:nvSpPr>
        <xdr:spPr>
          <a:xfrm>
            <a:off x="5170396" y="810239"/>
            <a:ext cx="281214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E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xmlns="" id="{00000000-0008-0000-0100-000009000000}"/>
              </a:ext>
            </a:extLst>
          </xdr:cNvPr>
          <xdr:cNvSpPr txBox="1"/>
        </xdr:nvSpPr>
        <xdr:spPr>
          <a:xfrm>
            <a:off x="5277974" y="2462091"/>
            <a:ext cx="281214" cy="2892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G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xmlns="" id="{00000000-0008-0000-0100-00000A000000}"/>
              </a:ext>
            </a:extLst>
          </xdr:cNvPr>
          <xdr:cNvSpPr txBox="1"/>
        </xdr:nvSpPr>
        <xdr:spPr>
          <a:xfrm>
            <a:off x="6707310" y="868509"/>
            <a:ext cx="276412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F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xmlns="" id="{00000000-0008-0000-0100-00000B000000}"/>
              </a:ext>
            </a:extLst>
          </xdr:cNvPr>
          <xdr:cNvSpPr txBox="1"/>
        </xdr:nvSpPr>
        <xdr:spPr>
          <a:xfrm>
            <a:off x="6261744" y="2864222"/>
            <a:ext cx="276412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H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xmlns="" id="{00000000-0008-0000-0100-00000C000000}"/>
              </a:ext>
            </a:extLst>
          </xdr:cNvPr>
          <xdr:cNvSpPr txBox="1"/>
        </xdr:nvSpPr>
        <xdr:spPr>
          <a:xfrm>
            <a:off x="7151063" y="3221530"/>
            <a:ext cx="281215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I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xmlns="" id="{00000000-0008-0000-0100-00000D000000}"/>
              </a:ext>
            </a:extLst>
          </xdr:cNvPr>
          <xdr:cNvSpPr txBox="1"/>
        </xdr:nvSpPr>
        <xdr:spPr>
          <a:xfrm>
            <a:off x="7846146" y="1650359"/>
            <a:ext cx="281214" cy="2892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J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368300</xdr:colOff>
          <xdr:row>0</xdr:row>
          <xdr:rowOff>76200</xdr:rowOff>
        </xdr:from>
        <xdr:to>
          <xdr:col>2</xdr:col>
          <xdr:colOff>228600</xdr:colOff>
          <xdr:row>7</xdr:row>
          <xdr:rowOff>101600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xmlns="" id="{00000000-0008-0000-01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Microsoft_Visio_2003-2010_Drawing11111.vsd"/><Relationship Id="rId5" Type="http://schemas.openxmlformats.org/officeDocument/2006/relationships/image" Target="../media/image1.emf"/><Relationship Id="rId6" Type="http://schemas.openxmlformats.org/officeDocument/2006/relationships/oleObject" Target="../embeddings/Microsoft_Visio_2003-2010_Drawing122222.vsd"/><Relationship Id="rId7" Type="http://schemas.openxmlformats.org/officeDocument/2006/relationships/image" Target="../media/image2.emf"/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>
      <selection activeCell="K7" sqref="K7"/>
    </sheetView>
  </sheetViews>
  <sheetFormatPr baseColWidth="10" defaultColWidth="8.83203125" defaultRowHeight="16" x14ac:dyDescent="0.2"/>
  <cols>
    <col min="2" max="2" width="12.5" bestFit="1" customWidth="1"/>
    <col min="8" max="8" width="12.5" bestFit="1" customWidth="1"/>
    <col min="14" max="14" width="12.5" bestFit="1" customWidth="1"/>
  </cols>
  <sheetData>
    <row r="1" spans="1:19" ht="23.5" x14ac:dyDescent="0.55000000000000004">
      <c r="C1" s="42" t="s">
        <v>101</v>
      </c>
    </row>
    <row r="2" spans="1:19" x14ac:dyDescent="0.2">
      <c r="C2" t="s">
        <v>106</v>
      </c>
    </row>
    <row r="3" spans="1:19" x14ac:dyDescent="0.2">
      <c r="C3" s="2" t="s">
        <v>110</v>
      </c>
    </row>
    <row r="4" spans="1:19" x14ac:dyDescent="0.2">
      <c r="E4" s="39" t="s">
        <v>94</v>
      </c>
      <c r="F4" s="39" t="s">
        <v>112</v>
      </c>
    </row>
    <row r="5" spans="1:19" x14ac:dyDescent="0.2">
      <c r="D5" s="75" t="s">
        <v>113</v>
      </c>
      <c r="E5" s="38" t="s">
        <v>4</v>
      </c>
      <c r="F5" s="43">
        <v>1</v>
      </c>
      <c r="G5" t="s">
        <v>111</v>
      </c>
    </row>
    <row r="6" spans="1:19" x14ac:dyDescent="0.2">
      <c r="D6" s="75" t="s">
        <v>113</v>
      </c>
      <c r="E6" s="7" t="s">
        <v>0</v>
      </c>
      <c r="F6" s="44">
        <v>1</v>
      </c>
    </row>
    <row r="7" spans="1:19" x14ac:dyDescent="0.2">
      <c r="D7" s="75" t="s">
        <v>114</v>
      </c>
      <c r="E7" s="7" t="s">
        <v>7</v>
      </c>
      <c r="F7" s="44">
        <v>1</v>
      </c>
    </row>
    <row r="8" spans="1:19" x14ac:dyDescent="0.2">
      <c r="D8" s="75" t="s">
        <v>114</v>
      </c>
      <c r="E8" s="7" t="s">
        <v>16</v>
      </c>
      <c r="F8" s="44">
        <v>1</v>
      </c>
    </row>
    <row r="9" spans="1:19" x14ac:dyDescent="0.2">
      <c r="D9" s="75" t="s">
        <v>113</v>
      </c>
      <c r="E9" s="7" t="s">
        <v>5</v>
      </c>
      <c r="F9" s="44">
        <v>1</v>
      </c>
    </row>
    <row r="10" spans="1:19" x14ac:dyDescent="0.2">
      <c r="A10" s="75"/>
    </row>
    <row r="11" spans="1:19" ht="17" thickBot="1" x14ac:dyDescent="0.25">
      <c r="C11" s="5"/>
      <c r="D11" s="13"/>
    </row>
    <row r="12" spans="1:19" ht="17" thickBot="1" x14ac:dyDescent="0.25">
      <c r="A12" s="41"/>
      <c r="C12" s="76" t="s">
        <v>109</v>
      </c>
      <c r="D12" s="77"/>
      <c r="E12" s="77"/>
      <c r="F12" s="77"/>
      <c r="G12" s="78"/>
      <c r="I12" s="79" t="s">
        <v>107</v>
      </c>
      <c r="J12" s="80"/>
      <c r="K12" s="80"/>
      <c r="L12" s="80"/>
      <c r="M12" s="81"/>
      <c r="O12" s="82" t="s">
        <v>108</v>
      </c>
      <c r="P12" s="83"/>
      <c r="Q12" s="83"/>
      <c r="R12" s="83"/>
      <c r="S12" s="84"/>
    </row>
    <row r="13" spans="1:19" x14ac:dyDescent="0.2">
      <c r="B13" t="s">
        <v>116</v>
      </c>
      <c r="C13" s="53" t="s">
        <v>4</v>
      </c>
      <c r="D13" s="54" t="s">
        <v>0</v>
      </c>
      <c r="E13" s="54" t="s">
        <v>7</v>
      </c>
      <c r="F13" s="54" t="s">
        <v>16</v>
      </c>
      <c r="G13" s="55" t="s">
        <v>5</v>
      </c>
      <c r="H13" s="13" t="s">
        <v>116</v>
      </c>
      <c r="I13" s="53" t="s">
        <v>4</v>
      </c>
      <c r="J13" s="54" t="s">
        <v>0</v>
      </c>
      <c r="K13" s="54" t="s">
        <v>7</v>
      </c>
      <c r="L13" s="54" t="s">
        <v>16</v>
      </c>
      <c r="M13" s="55" t="s">
        <v>5</v>
      </c>
      <c r="N13" s="13" t="s">
        <v>116</v>
      </c>
      <c r="O13" s="53" t="s">
        <v>4</v>
      </c>
      <c r="P13" s="54" t="s">
        <v>0</v>
      </c>
      <c r="Q13" s="54" t="s">
        <v>7</v>
      </c>
      <c r="R13" s="54" t="s">
        <v>16</v>
      </c>
      <c r="S13" s="55" t="s">
        <v>5</v>
      </c>
    </row>
    <row r="14" spans="1:19" ht="17" thickBot="1" x14ac:dyDescent="0.25">
      <c r="B14" s="40">
        <f>INDEX(TOPSIS!$AT$3:$AT$36,MATCH(1,TOPSIS!$AV$3:$AV$36,0))</f>
        <v>12</v>
      </c>
      <c r="C14" s="56">
        <f>INDEX(TOPSIS!$B$3:$G$36,MATCH(GUI!$B$14,TOPSIS!$B$3:$B$36,0),MATCH(GUI!C13,TOPSIS!$B$3:$G$3,0))</f>
        <v>17</v>
      </c>
      <c r="D14" s="57">
        <f>INDEX(TOPSIS!$B$3:$G$36,MATCH(GUI!$B$14,TOPSIS!$B$3:$B$36,0),MATCH(GUI!D13,TOPSIS!$B$3:$G$3,0))</f>
        <v>9.19</v>
      </c>
      <c r="E14" s="58">
        <f>INDEX(TOPSIS!$B$3:$G$36,MATCH(GUI!$B$14,TOPSIS!$B$3:$B$36,0),MATCH(GUI!E13,TOPSIS!$B$3:$G$3,0))</f>
        <v>10</v>
      </c>
      <c r="F14" s="59">
        <f>INDEX(TOPSIS!$B$3:$G$36,MATCH(GUI!$B$14,TOPSIS!$B$3:$B$36,0),MATCH(GUI!F13,TOPSIS!$B$3:$G$3,0))</f>
        <v>0.9</v>
      </c>
      <c r="G14" s="60">
        <f>INDEX(TOPSIS!$B$3:$G$36,MATCH(GUI!$B$14,TOPSIS!$B$3:$B$36,0),MATCH(GUI!G13,TOPSIS!$B$3:$G$3,0))</f>
        <v>1</v>
      </c>
      <c r="H14" s="40">
        <f>INDEX(TOPSIS!$AT$3:$AT$36,MATCH(2,TOPSIS!$AV$3:$AV$36,0))</f>
        <v>14</v>
      </c>
      <c r="I14" s="56">
        <f>INDEX(TOPSIS!$B$3:$G$36,MATCH(GUI!$H$14,TOPSIS!$B$3:$B$36,0),MATCH(GUI!I13,TOPSIS!$B$3:$G$3,0))</f>
        <v>55</v>
      </c>
      <c r="J14" s="57">
        <f>INDEX(TOPSIS!$B$3:$G$36,MATCH(GUI!$H$14,TOPSIS!$B$3:$B$36,0),MATCH(GUI!J13,TOPSIS!$B$3:$G$3,0))</f>
        <v>0</v>
      </c>
      <c r="K14" s="58">
        <f>INDEX(TOPSIS!$B$3:$G$36,MATCH(GUI!$H$14,TOPSIS!$B$3:$B$36,0),MATCH(GUI!K13,TOPSIS!$B$3:$G$3,0))</f>
        <v>6</v>
      </c>
      <c r="L14" s="59">
        <f>INDEX(TOPSIS!$B$3:$G$36,MATCH(GUI!$H$14,TOPSIS!$B$3:$B$36,0),MATCH(GUI!L13,TOPSIS!$B$3:$G$3,0))</f>
        <v>1</v>
      </c>
      <c r="M14" s="60">
        <f>INDEX(TOPSIS!$B$3:$G$36,MATCH(GUI!$H$14,TOPSIS!$B$3:$B$36,0),MATCH(GUI!M13,TOPSIS!$B$3:$G$3,0))</f>
        <v>1</v>
      </c>
      <c r="N14" s="40">
        <f>INDEX(TOPSIS!$AT$3:$AT$36,MATCH(3,TOPSIS!$AV$3:$AV$36,0))</f>
        <v>3</v>
      </c>
      <c r="O14" s="56">
        <f>INDEX(TOPSIS!$B$3:$G$36,MATCH(GUI!$N$14,TOPSIS!$B$3:$B$36,0),MATCH(GUI!O13,TOPSIS!$B$3:$G$3,0))</f>
        <v>26</v>
      </c>
      <c r="P14" s="57">
        <f>INDEX(TOPSIS!$B$3:$G$36,MATCH(GUI!$N$14,TOPSIS!$B$3:$B$36,0),MATCH(GUI!P13,TOPSIS!$B$3:$G$3,0))</f>
        <v>2.25</v>
      </c>
      <c r="Q14" s="58">
        <f>INDEX(TOPSIS!$B$3:$G$36,MATCH(GUI!$N$14,TOPSIS!$B$3:$B$36,0),MATCH(GUI!Q13,TOPSIS!$B$3:$G$3,0))</f>
        <v>6.666666666666667</v>
      </c>
      <c r="R14" s="59">
        <f>INDEX(TOPSIS!$B$3:$G$36,MATCH(GUI!$N$14,TOPSIS!$B$3:$B$36,0),MATCH(GUI!R13,TOPSIS!$B$3:$G$3,0))</f>
        <v>0.96</v>
      </c>
      <c r="S14" s="60">
        <f>INDEX(TOPSIS!$B$3:$G$36,MATCH(GUI!$N$14,TOPSIS!$B$3:$B$36,0),MATCH(GUI!S13,TOPSIS!$B$3:$G$3,0))</f>
        <v>3</v>
      </c>
    </row>
    <row r="15" spans="1:19" x14ac:dyDescent="0.2">
      <c r="A15" s="41"/>
      <c r="B15" s="61" t="s">
        <v>27</v>
      </c>
      <c r="C15" s="65" t="s">
        <v>103</v>
      </c>
      <c r="D15" s="66"/>
      <c r="E15" s="66"/>
      <c r="F15" s="66"/>
      <c r="G15" s="67"/>
      <c r="H15" s="64" t="s">
        <v>27</v>
      </c>
      <c r="I15" s="65" t="s">
        <v>103</v>
      </c>
      <c r="J15" s="66"/>
      <c r="K15" s="66"/>
      <c r="L15" s="66"/>
      <c r="M15" s="67"/>
      <c r="N15" s="39" t="s">
        <v>27</v>
      </c>
      <c r="O15" s="65" t="s">
        <v>103</v>
      </c>
      <c r="P15" s="66"/>
      <c r="Q15" s="66"/>
      <c r="R15" s="66"/>
      <c r="S15" s="67"/>
    </row>
    <row r="16" spans="1:19" x14ac:dyDescent="0.2">
      <c r="A16" s="73">
        <v>1</v>
      </c>
      <c r="B16" s="62" t="str">
        <f t="array" ref="B16">IFERROR(INDEX(Routes!$N$2:$N$54, MATCH($A16&amp;B$14,Routes!$P$2:$P$54&amp;Routes!$O$2:$O$54,0)),"")</f>
        <v>A-J-U</v>
      </c>
      <c r="C16" s="68" t="str">
        <f>IF(B16="","","("&amp;A16&amp;") "&amp;IFERROR(INDEX(Routes!$V:$V,MATCH(GUI!B16,Routes!$N:$N,0)),""))</f>
        <v>(1) Uber from 748 Columbus Ave to The Daily Catch</v>
      </c>
      <c r="D16" s="51"/>
      <c r="E16" s="51"/>
      <c r="F16" s="51"/>
      <c r="G16" s="69"/>
      <c r="H16" s="52" t="str">
        <f t="array" ref="H16">IFERROR(INDEX(Routes!$N$2:$N$54, MATCH($A16&amp;H$14,Routes!$P$2:$P$54&amp;Routes!$O$2:$O$54,0)),"")</f>
        <v>A-J-W</v>
      </c>
      <c r="I16" s="68" t="str">
        <f>IF(H16="","","("&amp;$A16&amp;") "&amp;IFERROR(INDEX(Routes!$V:$V,MATCH(GUI!H16,Routes!$N:$N,0)),""))</f>
        <v>(1) Walk from 748 Columbus Ave to The Daily Catch</v>
      </c>
      <c r="J16" s="51"/>
      <c r="K16" s="51"/>
      <c r="L16" s="51"/>
      <c r="M16" s="69"/>
      <c r="N16" s="7" t="str">
        <f t="array" ref="N16">IFERROR(INDEX(Routes!$N$2:$N$54, MATCH($A16&amp;N$14,Routes!$P$2:$P$54&amp;Routes!$O$2:$O$54,0)),"")</f>
        <v>A-B-W</v>
      </c>
      <c r="O16" s="68" t="str">
        <f>IF(N16="","","("&amp;$A16&amp;") "&amp;IFERROR(INDEX(Routes!$V:$V,MATCH(GUI!N16,Routes!$N:$N,0)),""))</f>
        <v>(1) Walk from 748 Columbus Ave to Ruggles Station</v>
      </c>
      <c r="P16" s="51"/>
      <c r="Q16" s="51"/>
      <c r="R16" s="51"/>
      <c r="S16" s="69"/>
    </row>
    <row r="17" spans="1:19" x14ac:dyDescent="0.2">
      <c r="A17" s="73">
        <v>2</v>
      </c>
      <c r="B17" s="62" t="str">
        <f t="array" ref="B17">IFERROR(INDEX(Routes!$N$2:$N$54, MATCH($A17&amp;B$14,Routes!$P$2:$P$54&amp;Routes!$O$2:$O$54,0)),"")</f>
        <v/>
      </c>
      <c r="C17" s="68" t="str">
        <f>IF(B17="","","("&amp;A17&amp;") "&amp;IFERROR(INDEX(Routes!$V:$V,MATCH(GUI!B17,Routes!$N:$N,0)),""))</f>
        <v/>
      </c>
      <c r="D17" s="51"/>
      <c r="E17" s="51"/>
      <c r="F17" s="51"/>
      <c r="G17" s="69"/>
      <c r="H17" s="52" t="str">
        <f t="array" ref="H17">IFERROR(INDEX(Routes!$N$2:$N$54, MATCH($A17&amp;H$14,Routes!$P$2:$P$54&amp;Routes!$O$2:$O$54,0)),"")</f>
        <v/>
      </c>
      <c r="I17" s="68" t="str">
        <f>IF(H17="","","("&amp;$A17&amp;") "&amp;IFERROR(INDEX(Routes!$V:$V,MATCH(GUI!H17,Routes!$N:$N,0)),""))</f>
        <v/>
      </c>
      <c r="J17" s="51"/>
      <c r="K17" s="51"/>
      <c r="L17" s="51"/>
      <c r="M17" s="69"/>
      <c r="N17" s="7" t="str">
        <f t="array" ref="N17">IFERROR(INDEX(Routes!$N$2:$N$54, MATCH($A17&amp;N$14,Routes!$P$2:$P$54&amp;Routes!$O$2:$O$54,0)),"")</f>
        <v>B-E-CR</v>
      </c>
      <c r="O17" s="68" t="str">
        <f>IF(N17="","","("&amp;$A17&amp;") "&amp;IFERROR(INDEX(Routes!$V:$V,MATCH(GUI!N17,Routes!$N:$N,0)),""))</f>
        <v>(2) Commuter Rail from Ruggles Station to South Station</v>
      </c>
      <c r="P17" s="51"/>
      <c r="Q17" s="51"/>
      <c r="R17" s="51"/>
      <c r="S17" s="69"/>
    </row>
    <row r="18" spans="1:19" x14ac:dyDescent="0.2">
      <c r="A18" s="73">
        <v>3</v>
      </c>
      <c r="B18" s="62" t="str">
        <f t="array" ref="B18">IFERROR(INDEX(Routes!$N$2:$N$54, MATCH($A18&amp;B$14,Routes!$P$2:$P$54&amp;Routes!$O$2:$O$54,0)),"")</f>
        <v/>
      </c>
      <c r="C18" s="68" t="str">
        <f>IF(B18="","","("&amp;A18&amp;") "&amp;IFERROR(INDEX(Routes!$V:$V,MATCH(GUI!B18,Routes!$N:$N,0)),""))</f>
        <v/>
      </c>
      <c r="D18" s="51"/>
      <c r="E18" s="51"/>
      <c r="F18" s="51"/>
      <c r="G18" s="69"/>
      <c r="H18" s="52" t="str">
        <f t="array" ref="H18">IFERROR(INDEX(Routes!$N$2:$N$54, MATCH($A18&amp;H$14,Routes!$P$2:$P$54&amp;Routes!$O$2:$O$54,0)),"")</f>
        <v/>
      </c>
      <c r="I18" s="68" t="str">
        <f>IF(H18="","","("&amp;$A18&amp;") "&amp;IFERROR(INDEX(Routes!$V:$V,MATCH(GUI!H18,Routes!$N:$N,0)),""))</f>
        <v/>
      </c>
      <c r="J18" s="51"/>
      <c r="K18" s="51"/>
      <c r="L18" s="51"/>
      <c r="M18" s="69"/>
      <c r="N18" s="7" t="str">
        <f t="array" ref="N18">IFERROR(INDEX(Routes!$N$2:$N$54, MATCH($A18&amp;N$14,Routes!$P$2:$P$54&amp;Routes!$O$2:$O$54,0)),"")</f>
        <v>E-J-W</v>
      </c>
      <c r="O18" s="68" t="str">
        <f>IF(N18="","","("&amp;$A18&amp;") "&amp;IFERROR(INDEX(Routes!$V:$V,MATCH(GUI!N18,Routes!$N:$N,0)),""))</f>
        <v>(3) Walk from South Station to The Daily Catch</v>
      </c>
      <c r="P18" s="51"/>
      <c r="Q18" s="51"/>
      <c r="R18" s="51"/>
      <c r="S18" s="69"/>
    </row>
    <row r="19" spans="1:19" x14ac:dyDescent="0.2">
      <c r="A19" s="73">
        <v>4</v>
      </c>
      <c r="B19" s="63" t="str">
        <f t="array" ref="B19">IFERROR(INDEX(Routes!$N$2:$N$54, MATCH($A19&amp;B$14,Routes!$P$2:$P$54&amp;Routes!$O$2:$O$54,0)),"")</f>
        <v/>
      </c>
      <c r="C19" s="68" t="str">
        <f>IF(B19="","","("&amp;A19&amp;") "&amp;IFERROR(INDEX(Routes!$V:$V,MATCH(GUI!B19,Routes!$N:$N,0)),""))</f>
        <v/>
      </c>
      <c r="D19" s="51"/>
      <c r="E19" s="51"/>
      <c r="F19" s="51"/>
      <c r="G19" s="69"/>
      <c r="H19" s="52" t="str">
        <f t="array" ref="H19">IFERROR(INDEX(Routes!$N$2:$N$54, MATCH($A19&amp;H$14,Routes!$P$2:$P$54&amp;Routes!$O$2:$O$54,0)),"")</f>
        <v/>
      </c>
      <c r="I19" s="68" t="str">
        <f>IF(H19="","","("&amp;$A19&amp;") "&amp;IFERROR(INDEX(Routes!$V:$V,MATCH(GUI!H19,Routes!$N:$N,0)),""))</f>
        <v/>
      </c>
      <c r="J19" s="51"/>
      <c r="K19" s="51"/>
      <c r="L19" s="51"/>
      <c r="M19" s="69"/>
      <c r="N19" s="7" t="str">
        <f t="array" ref="N19">IFERROR(INDEX(Routes!$N$2:$N$54, MATCH($A19&amp;N$14,Routes!$P$2:$P$54&amp;Routes!$O$2:$O$54,0)),"")</f>
        <v/>
      </c>
      <c r="O19" s="68" t="str">
        <f>IF(N19="","","("&amp;$A19&amp;") "&amp;IFERROR(INDEX(Routes!$V:$V,MATCH(GUI!N19,Routes!$N:$N,0)),""))</f>
        <v/>
      </c>
      <c r="P19" s="51"/>
      <c r="Q19" s="51"/>
      <c r="R19" s="51"/>
      <c r="S19" s="69"/>
    </row>
    <row r="20" spans="1:19" x14ac:dyDescent="0.2">
      <c r="A20" s="73">
        <v>5</v>
      </c>
      <c r="B20" s="5" t="str">
        <f t="array" ref="B20">IFERROR(INDEX(Routes!$N$2:$N$54, MATCH($A20&amp;B$14,Routes!$P$2:$P$54&amp;Routes!$O$2:$O$54,0)),"")</f>
        <v/>
      </c>
      <c r="C20" s="68" t="str">
        <f>IF(B20="","","("&amp;A20&amp;") "&amp;IFERROR(INDEX(Routes!$V:$V,MATCH(GUI!B20,Routes!$N:$N,0)),""))</f>
        <v/>
      </c>
      <c r="D20" s="51"/>
      <c r="E20" s="51"/>
      <c r="F20" s="51"/>
      <c r="G20" s="69"/>
      <c r="H20" s="5" t="str">
        <f t="array" ref="H20">IFERROR(INDEX(Routes!$N$2:$N$54, MATCH($A20&amp;H$14,Routes!$P$2:$P$54&amp;Routes!$O$2:$O$54,0)),"")</f>
        <v/>
      </c>
      <c r="I20" s="68" t="str">
        <f>IF(H20="","","("&amp;$A20&amp;") "&amp;IFERROR(INDEX(Routes!$V:$V,MATCH(GUI!H20,Routes!$N:$N,0)),""))</f>
        <v/>
      </c>
      <c r="J20" s="51"/>
      <c r="K20" s="51"/>
      <c r="L20" s="51"/>
      <c r="M20" s="69"/>
      <c r="N20" s="5" t="str">
        <f t="array" ref="N20">IFERROR(INDEX(Routes!$N$2:$N$54, MATCH($A20&amp;N$14,Routes!$P$2:$P$54&amp;Routes!$O$2:$O$54,0)),"")</f>
        <v/>
      </c>
      <c r="O20" s="68" t="str">
        <f>IF(N20="","","("&amp;$A20&amp;") "&amp;IFERROR(INDEX(Routes!$V:$V,MATCH(GUI!N20,Routes!$N:$N,0)),""))</f>
        <v/>
      </c>
      <c r="P20" s="51"/>
      <c r="Q20" s="51"/>
      <c r="R20" s="51"/>
      <c r="S20" s="69"/>
    </row>
    <row r="21" spans="1:19" x14ac:dyDescent="0.2">
      <c r="A21" s="73">
        <v>6</v>
      </c>
      <c r="B21" s="5" t="str">
        <f t="array" ref="B21">IFERROR(INDEX(Routes!$N$2:$N$54, MATCH($A21&amp;B$14,Routes!$P$2:$P$54&amp;Routes!$O$2:$O$54,0)),"")</f>
        <v/>
      </c>
      <c r="C21" s="68" t="str">
        <f>IF(B21="","","("&amp;A21&amp;") "&amp;IFERROR(INDEX(Routes!$V:$V,MATCH(GUI!B21,Routes!$N:$N,0)),""))</f>
        <v/>
      </c>
      <c r="D21" s="51"/>
      <c r="E21" s="51"/>
      <c r="F21" s="51"/>
      <c r="G21" s="69"/>
      <c r="H21" s="5" t="str">
        <f t="array" ref="H21">IFERROR(INDEX(Routes!$N$2:$N$54, MATCH($A21&amp;H$14,Routes!$P$2:$P$54&amp;Routes!$O$2:$O$54,0)),"")</f>
        <v/>
      </c>
      <c r="I21" s="68" t="str">
        <f>IF(H21="","","("&amp;$A21&amp;") "&amp;IFERROR(INDEX(Routes!$V:$V,MATCH(GUI!H21,Routes!$N:$N,0)),""))</f>
        <v/>
      </c>
      <c r="J21" s="51"/>
      <c r="K21" s="51"/>
      <c r="L21" s="51"/>
      <c r="M21" s="69"/>
      <c r="N21" s="5" t="str">
        <f t="array" ref="N21">IFERROR(INDEX(Routes!$N$2:$N$54, MATCH($A21&amp;N$14,Routes!$P$2:$P$54&amp;Routes!$O$2:$O$54,0)),"")</f>
        <v/>
      </c>
      <c r="O21" s="68" t="str">
        <f>IF(N21="","","("&amp;$A21&amp;") "&amp;IFERROR(INDEX(Routes!$V:$V,MATCH(GUI!N21,Routes!$N:$N,0)),""))</f>
        <v/>
      </c>
      <c r="P21" s="51"/>
      <c r="Q21" s="51"/>
      <c r="R21" s="51"/>
      <c r="S21" s="69"/>
    </row>
    <row r="22" spans="1:19" x14ac:dyDescent="0.2">
      <c r="A22" s="73">
        <v>7</v>
      </c>
      <c r="B22" s="13" t="str">
        <f t="array" ref="B22">IFERROR(INDEX(Routes!$N$2:$N$54, MATCH($A22&amp;B$14,Routes!$P$2:$P$54&amp;Routes!$O$2:$O$54,0)),"")</f>
        <v/>
      </c>
      <c r="C22" s="68" t="str">
        <f>IF(B22="","","("&amp;A22&amp;") "&amp;IFERROR(INDEX(Routes!$V:$V,MATCH(GUI!B22,Routes!$N:$N,0)),""))</f>
        <v/>
      </c>
      <c r="D22" s="51"/>
      <c r="E22" s="51"/>
      <c r="F22" s="51"/>
      <c r="G22" s="69"/>
      <c r="H22" s="13" t="str">
        <f t="array" ref="H22">IFERROR(INDEX(Routes!$N$2:$N$54, MATCH($A22&amp;H$14,Routes!$P$2:$P$54&amp;Routes!$O$2:$O$54,0)),"")</f>
        <v/>
      </c>
      <c r="I22" s="68" t="str">
        <f>IF(H22="","","("&amp;$A22&amp;") "&amp;IFERROR(INDEX(Routes!$V:$V,MATCH(GUI!H22,Routes!$N:$N,0)),""))</f>
        <v/>
      </c>
      <c r="J22" s="51"/>
      <c r="K22" s="51"/>
      <c r="L22" s="51"/>
      <c r="M22" s="69"/>
      <c r="N22" s="13" t="str">
        <f t="array" ref="N22">IFERROR(INDEX(Routes!$N$2:$N$54, MATCH($A22&amp;N$14,Routes!$P$2:$P$54&amp;Routes!$O$2:$O$54,0)),"")</f>
        <v/>
      </c>
      <c r="O22" s="68" t="str">
        <f>IF(N22="","","("&amp;$A22&amp;") "&amp;IFERROR(INDEX(Routes!$V:$V,MATCH(GUI!N22,Routes!$N:$N,0)),""))</f>
        <v/>
      </c>
      <c r="P22" s="51"/>
      <c r="Q22" s="51"/>
      <c r="R22" s="51"/>
      <c r="S22" s="69"/>
    </row>
    <row r="23" spans="1:19" x14ac:dyDescent="0.2">
      <c r="A23" s="74">
        <v>8</v>
      </c>
      <c r="B23" s="13" t="str">
        <f t="array" ref="B23">IFERROR(INDEX(Routes!$N$2:$N$54, MATCH($A23&amp;B$14,Routes!$P$2:$P$54&amp;Routes!$O$2:$O$54,0)),"")</f>
        <v/>
      </c>
      <c r="C23" s="68" t="str">
        <f>IF(B23="","","("&amp;A23&amp;") "&amp;IFERROR(INDEX(Routes!$V:$V,MATCH(GUI!B23,Routes!$N:$N,0)),""))</f>
        <v/>
      </c>
      <c r="D23" s="51"/>
      <c r="E23" s="51"/>
      <c r="F23" s="51"/>
      <c r="G23" s="69"/>
      <c r="H23" s="13" t="str">
        <f t="array" ref="H23">IFERROR(INDEX(Routes!$N$2:$N$54, MATCH($A23&amp;H$14,Routes!$P$2:$P$54&amp;Routes!$O$2:$O$54,0)),"")</f>
        <v/>
      </c>
      <c r="I23" s="68" t="str">
        <f>IF(H23="","","("&amp;$A23&amp;") "&amp;IFERROR(INDEX(Routes!$V:$V,MATCH(GUI!H23,Routes!$N:$N,0)),""))</f>
        <v/>
      </c>
      <c r="J23" s="51"/>
      <c r="K23" s="51"/>
      <c r="L23" s="51"/>
      <c r="M23" s="69"/>
      <c r="N23" s="13" t="str">
        <f t="array" ref="N23">IFERROR(INDEX(Routes!$N$2:$N$54, MATCH($A23&amp;N$14,Routes!$P$2:$P$54&amp;Routes!$O$2:$O$54,0)),"")</f>
        <v/>
      </c>
      <c r="O23" s="68" t="str">
        <f>IF(N23="","","("&amp;$A23&amp;") "&amp;IFERROR(INDEX(Routes!$V:$V,MATCH(GUI!N23,Routes!$N:$N,0)),""))</f>
        <v/>
      </c>
      <c r="P23" s="51"/>
      <c r="Q23" s="51"/>
      <c r="R23" s="51"/>
      <c r="S23" s="69"/>
    </row>
    <row r="24" spans="1:19" ht="17" thickBot="1" x14ac:dyDescent="0.25">
      <c r="A24" s="74">
        <v>9</v>
      </c>
      <c r="B24" s="13" t="str">
        <f t="array" ref="B24">IFERROR(INDEX(Routes!$N$2:$N$54, MATCH($A24&amp;B$14,Routes!$P$2:$P$54&amp;Routes!$O$2:$O$54,0)),"")</f>
        <v/>
      </c>
      <c r="C24" s="72" t="str">
        <f>IF(B24="","","("&amp;A24&amp;") "&amp;IFERROR(INDEX(Routes!$V:$V,MATCH(GUI!B24,Routes!$N:$N,0)),""))</f>
        <v/>
      </c>
      <c r="D24" s="70"/>
      <c r="E24" s="70"/>
      <c r="F24" s="70"/>
      <c r="G24" s="71"/>
      <c r="H24" s="13" t="str">
        <f t="array" ref="H24">IFERROR(INDEX(Routes!$N$2:$N$54, MATCH($A24&amp;H$14,Routes!$P$2:$P$54&amp;Routes!$O$2:$O$54,0)),"")</f>
        <v/>
      </c>
      <c r="I24" s="72" t="str">
        <f>IF(H24="","","("&amp;$A24&amp;") "&amp;IFERROR(INDEX(Routes!$V:$V,MATCH(GUI!H24,Routes!$N:$N,0)),""))</f>
        <v/>
      </c>
      <c r="J24" s="70"/>
      <c r="K24" s="70"/>
      <c r="L24" s="70"/>
      <c r="M24" s="71"/>
      <c r="N24" s="13" t="str">
        <f t="array" ref="N24">IFERROR(INDEX(Routes!$N$2:$N$54, MATCH($A24&amp;N$14,Routes!$P$2:$P$54&amp;Routes!$O$2:$O$54,0)),"")</f>
        <v/>
      </c>
      <c r="O24" s="72" t="str">
        <f>IF(N24="","","("&amp;$A24&amp;") "&amp;IFERROR(INDEX(Routes!$V:$V,MATCH(GUI!N24,Routes!$N:$N,0)),""))</f>
        <v/>
      </c>
      <c r="P24" s="70"/>
      <c r="Q24" s="70"/>
      <c r="R24" s="70"/>
      <c r="S24" s="71"/>
    </row>
  </sheetData>
  <mergeCells count="3">
    <mergeCell ref="C12:G12"/>
    <mergeCell ref="I12:M12"/>
    <mergeCell ref="O12:S12"/>
  </mergeCells>
  <dataValidations count="1">
    <dataValidation type="list" allowBlank="1" showInputMessage="1" showErrorMessage="1" sqref="F5:F9">
      <formula1>"1,2,3,4,5,6,7,8,9,10"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showGridLines="0" workbookViewId="0">
      <selection activeCell="J4" sqref="J4:K10"/>
    </sheetView>
  </sheetViews>
  <sheetFormatPr baseColWidth="10" defaultColWidth="8.83203125" defaultRowHeight="16" x14ac:dyDescent="0.2"/>
  <cols>
    <col min="2" max="2" width="10.83203125" customWidth="1"/>
    <col min="3" max="3" width="10.1640625" bestFit="1" customWidth="1"/>
    <col min="5" max="5" width="8.83203125" style="41"/>
    <col min="6" max="6" width="8.6640625" hidden="1" customWidth="1"/>
    <col min="7" max="11" width="8.33203125" customWidth="1"/>
    <col min="12" max="13" width="9.1640625" customWidth="1"/>
  </cols>
  <sheetData>
    <row r="1" spans="2:4" ht="23.5" x14ac:dyDescent="0.55000000000000004">
      <c r="B1" s="42" t="s">
        <v>101</v>
      </c>
    </row>
    <row r="2" spans="2:4" x14ac:dyDescent="0.2">
      <c r="B2" t="s">
        <v>102</v>
      </c>
      <c r="C2" t="s">
        <v>104</v>
      </c>
      <c r="D2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C1:V54"/>
  <sheetViews>
    <sheetView showGridLines="0" zoomScale="80" zoomScaleNormal="80" zoomScalePageLayoutView="80" workbookViewId="0">
      <selection activeCell="N3" sqref="N1:N1048576"/>
    </sheetView>
  </sheetViews>
  <sheetFormatPr baseColWidth="10" defaultColWidth="8.83203125" defaultRowHeight="16" x14ac:dyDescent="0.2"/>
  <cols>
    <col min="13" max="13" width="5.5" customWidth="1"/>
    <col min="14" max="17" width="8.83203125" style="1"/>
    <col min="18" max="18" width="8.83203125" style="14"/>
    <col min="19" max="21" width="8.83203125" style="1"/>
    <col min="22" max="22" width="49.5" style="1" bestFit="1" customWidth="1"/>
  </cols>
  <sheetData>
    <row r="1" spans="3:22" x14ac:dyDescent="0.35">
      <c r="N1" s="20" t="s">
        <v>73</v>
      </c>
    </row>
    <row r="2" spans="3:22" x14ac:dyDescent="0.35">
      <c r="N2" s="16" t="s">
        <v>27</v>
      </c>
      <c r="O2" s="16" t="s">
        <v>25</v>
      </c>
      <c r="P2" s="16" t="s">
        <v>100</v>
      </c>
      <c r="Q2" s="16" t="s">
        <v>72</v>
      </c>
      <c r="R2" s="15" t="s">
        <v>0</v>
      </c>
      <c r="S2" s="16" t="s">
        <v>16</v>
      </c>
      <c r="T2" s="16" t="s">
        <v>5</v>
      </c>
      <c r="U2" s="16" t="s">
        <v>7</v>
      </c>
      <c r="V2" s="16" t="s">
        <v>39</v>
      </c>
    </row>
    <row r="3" spans="3:22" x14ac:dyDescent="0.35">
      <c r="N3" s="19" t="s">
        <v>69</v>
      </c>
      <c r="O3" s="21">
        <v>1</v>
      </c>
      <c r="P3" s="21">
        <v>1</v>
      </c>
      <c r="Q3" s="21">
        <f>IFERROR(INDEX(Coefficients!$I$2:$U$41,MATCH(Routes!$N3,Coefficients!$T$2:$T$41,0),MATCH(Routes!Q$2,Coefficients!$I$2:$U$2,0)),"")</f>
        <v>5</v>
      </c>
      <c r="R3" s="22">
        <f>IFERROR(INDEX(Coefficients!$I$2:$U$41,MATCH(Routes!$N3,Coefficients!$T$2:$T$41,0),MATCH(Routes!R$2,Coefficients!$I$2:$U$2,0)),"")</f>
        <v>0</v>
      </c>
      <c r="S3" s="21">
        <f>IFERROR(INDEX(Coefficients!$I$2:$U$41,MATCH(Routes!$N3,Coefficients!$T$2:$T$41,0),MATCH(Routes!S$2,Coefficients!$I$2:$U$2,0)),"")</f>
        <v>1</v>
      </c>
      <c r="T3" s="21">
        <f>IFERROR(INDEX(Coefficients!$I$2:$U$41,MATCH(Routes!$N3,Coefficients!$T$2:$T$41,0),MATCH(Routes!T$2,Coefficients!$I$2:$U$2,0)),"")</f>
        <v>1</v>
      </c>
      <c r="U3" s="21">
        <f>IFERROR(INDEX(Coefficients!$I$2:$U$41,MATCH(Routes!$N3,Coefficients!$T$2:$T$41,0),MATCH(Routes!U$2,Coefficients!$I$2:$U$2,0)),"")</f>
        <v>6</v>
      </c>
      <c r="V3" s="21" t="str">
        <f>IFERROR(INDEX(Coefficients!U:U,MATCH(Routes!N3,Coefficients!T:T,0)),"")</f>
        <v>Walk from 748 Columbus Ave to Ruggles Station</v>
      </c>
    </row>
    <row r="4" spans="3:22" x14ac:dyDescent="0.35">
      <c r="C4">
        <v>1</v>
      </c>
      <c r="N4" s="19" t="s">
        <v>70</v>
      </c>
      <c r="O4" s="21">
        <f>IF(NOT(ISBLANK(N4)),IFERROR(IF(FIND("A",N4)&gt;0,O3+1,O3),O3),"")</f>
        <v>1</v>
      </c>
      <c r="P4" s="21">
        <f>IF(O4&lt;&gt;"",IFERROR(IF(O4&lt;&gt;O3,1,P3+1),""),"")</f>
        <v>2</v>
      </c>
      <c r="Q4" s="21">
        <f>IFERROR(INDEX(Coefficients!$I$2:$U$41,MATCH(Routes!$N4,Coefficients!$T$2:$T$41,0),MATCH(Routes!Q$2,Coefficients!$I$2:$U$2,0)),"")</f>
        <v>12</v>
      </c>
      <c r="R4" s="22">
        <f>IFERROR(INDEX(Coefficients!$I$2:$U$41,MATCH(Routes!$N4,Coefficients!$T$2:$T$41,0),MATCH(Routes!R$2,Coefficients!$I$2:$U$2,0)),"")</f>
        <v>2.75</v>
      </c>
      <c r="S4" s="21">
        <f>IFERROR(INDEX(Coefficients!$I$2:$U$41,MATCH(Routes!$N4,Coefficients!$T$2:$T$41,0),MATCH(Routes!S$2,Coefficients!$I$2:$U$2,0)),"")</f>
        <v>0.93</v>
      </c>
      <c r="T4" s="21">
        <f>IFERROR(INDEX(Coefficients!$I$2:$U$41,MATCH(Routes!$N4,Coefficients!$T$2:$T$41,0),MATCH(Routes!T$2,Coefficients!$I$2:$U$2,0)),"")</f>
        <v>1</v>
      </c>
      <c r="U4" s="21">
        <f>IFERROR(INDEX(Coefficients!$I$2:$U$41,MATCH(Routes!$N4,Coefficients!$T$2:$T$41,0),MATCH(Routes!U$2,Coefficients!$I$2:$U$2,0)),"")</f>
        <v>7</v>
      </c>
      <c r="V4" s="21" t="str">
        <f>IFERROR(INDEX(Coefficients!U:U,MATCH(Routes!N4,Coefficients!T:T,0)),"")</f>
        <v>Orange Line from Ruggles Station to State Street</v>
      </c>
    </row>
    <row r="5" spans="3:22" x14ac:dyDescent="0.35">
      <c r="C5">
        <v>1</v>
      </c>
      <c r="N5" s="19" t="s">
        <v>71</v>
      </c>
      <c r="O5" s="21">
        <f t="shared" ref="O5:O54" si="0">IF(NOT(ISBLANK(N5)),IFERROR(IF(FIND("A",N5)&gt;0,O4+1,O4),O4),"")</f>
        <v>1</v>
      </c>
      <c r="P5" s="21">
        <f t="shared" ref="P5:P54" si="1">IF(O5&lt;&gt;"",IFERROR(IF(O5&lt;&gt;O4,1,P4+1),""),"")</f>
        <v>3</v>
      </c>
      <c r="Q5" s="21">
        <f>IFERROR(INDEX(Coefficients!$I$2:$U$41,MATCH(Routes!$N5,Coefficients!$T$2:$T$41,0),MATCH(Routes!Q$2,Coefficients!$I$2:$U$2,0)),"")</f>
        <v>16</v>
      </c>
      <c r="R5" s="22">
        <f>IFERROR(INDEX(Coefficients!$I$2:$U$41,MATCH(Routes!$N5,Coefficients!$T$2:$T$41,0),MATCH(Routes!R$2,Coefficients!$I$2:$U$2,0)),"")</f>
        <v>0</v>
      </c>
      <c r="S5" s="21">
        <f>IFERROR(INDEX(Coefficients!$I$2:$U$41,MATCH(Routes!$N5,Coefficients!$T$2:$T$41,0),MATCH(Routes!S$2,Coefficients!$I$2:$U$2,0)),"")</f>
        <v>1</v>
      </c>
      <c r="T5" s="21">
        <f>IFERROR(INDEX(Coefficients!$I$2:$U$41,MATCH(Routes!$N5,Coefficients!$T$2:$T$41,0),MATCH(Routes!T$2,Coefficients!$I$2:$U$2,0)),"")</f>
        <v>1</v>
      </c>
      <c r="U5" s="21">
        <f>IFERROR(INDEX(Coefficients!$I$2:$U$41,MATCH(Routes!$N5,Coefficients!$T$2:$T$41,0),MATCH(Routes!U$2,Coefficients!$I$2:$U$2,0)),"")</f>
        <v>6</v>
      </c>
      <c r="V5" s="21" t="str">
        <f>IFERROR(INDEX(Coefficients!U:U,MATCH(Routes!N5,Coefficients!T:T,0)),"")</f>
        <v>Walk from State Street to The Daily Catch</v>
      </c>
    </row>
    <row r="6" spans="3:22" x14ac:dyDescent="0.35">
      <c r="C6">
        <v>1</v>
      </c>
      <c r="N6" s="19" t="s">
        <v>69</v>
      </c>
      <c r="O6" s="21">
        <f t="shared" si="0"/>
        <v>2</v>
      </c>
      <c r="P6" s="21">
        <f t="shared" si="1"/>
        <v>1</v>
      </c>
      <c r="Q6" s="21">
        <f>IFERROR(INDEX(Coefficients!$I$2:$U$41,MATCH(Routes!$N6,Coefficients!$T$2:$T$41,0),MATCH(Routes!Q$2,Coefficients!$I$2:$U$2,0)),"")</f>
        <v>5</v>
      </c>
      <c r="R6" s="22">
        <f>IFERROR(INDEX(Coefficients!$I$2:$U$41,MATCH(Routes!$N6,Coefficients!$T$2:$T$41,0),MATCH(Routes!R$2,Coefficients!$I$2:$U$2,0)),"")</f>
        <v>0</v>
      </c>
      <c r="S6" s="21">
        <f>IFERROR(INDEX(Coefficients!$I$2:$U$41,MATCH(Routes!$N6,Coefficients!$T$2:$T$41,0),MATCH(Routes!S$2,Coefficients!$I$2:$U$2,0)),"")</f>
        <v>1</v>
      </c>
      <c r="T6" s="21">
        <f>IFERROR(INDEX(Coefficients!$I$2:$U$41,MATCH(Routes!$N6,Coefficients!$T$2:$T$41,0),MATCH(Routes!T$2,Coefficients!$I$2:$U$2,0)),"")</f>
        <v>1</v>
      </c>
      <c r="U6" s="21">
        <f>IFERROR(INDEX(Coefficients!$I$2:$U$41,MATCH(Routes!$N6,Coefficients!$T$2:$T$41,0),MATCH(Routes!U$2,Coefficients!$I$2:$U$2,0)),"")</f>
        <v>6</v>
      </c>
      <c r="V6" s="21" t="str">
        <f>IFERROR(INDEX(Coefficients!U:U,MATCH(Routes!N6,Coefficients!T:T,0)),"")</f>
        <v>Walk from 748 Columbus Ave to Ruggles Station</v>
      </c>
    </row>
    <row r="7" spans="3:22" x14ac:dyDescent="0.35">
      <c r="C7">
        <v>1</v>
      </c>
      <c r="N7" s="19" t="s">
        <v>74</v>
      </c>
      <c r="O7" s="21">
        <f t="shared" si="0"/>
        <v>2</v>
      </c>
      <c r="P7" s="21">
        <f t="shared" si="1"/>
        <v>2</v>
      </c>
      <c r="Q7" s="21">
        <f>IFERROR(INDEX(Coefficients!$I$2:$U$41,MATCH(Routes!$N7,Coefficients!$T$2:$T$41,0),MATCH(Routes!Q$2,Coefficients!$I$2:$U$2,0)),"")</f>
        <v>10</v>
      </c>
      <c r="R7" s="22">
        <f>IFERROR(INDEX(Coefficients!$I$2:$U$41,MATCH(Routes!$N7,Coefficients!$T$2:$T$41,0),MATCH(Routes!R$2,Coefficients!$I$2:$U$2,0)),"")</f>
        <v>2.25</v>
      </c>
      <c r="S7" s="21">
        <f>IFERROR(INDEX(Coefficients!$I$2:$U$41,MATCH(Routes!$N7,Coefficients!$T$2:$T$41,0),MATCH(Routes!S$2,Coefficients!$I$2:$U$2,0)),"")</f>
        <v>0.88</v>
      </c>
      <c r="T7" s="21">
        <f>IFERROR(INDEX(Coefficients!$I$2:$U$41,MATCH(Routes!$N7,Coefficients!$T$2:$T$41,0),MATCH(Routes!T$2,Coefficients!$I$2:$U$2,0)),"")</f>
        <v>1</v>
      </c>
      <c r="U7" s="21">
        <f>IFERROR(INDEX(Coefficients!$I$2:$U$41,MATCH(Routes!$N7,Coefficients!$T$2:$T$41,0),MATCH(Routes!U$2,Coefficients!$I$2:$U$2,0)),"")</f>
        <v>8</v>
      </c>
      <c r="V7" s="21" t="str">
        <f>IFERROR(INDEX(Coefficients!U:U,MATCH(Routes!N7,Coefficients!T:T,0)),"")</f>
        <v>Commuter Rail from Ruggles Station to South Station</v>
      </c>
    </row>
    <row r="8" spans="3:22" x14ac:dyDescent="0.35">
      <c r="C8">
        <v>10</v>
      </c>
      <c r="N8" s="19" t="s">
        <v>75</v>
      </c>
      <c r="O8" s="21">
        <f t="shared" si="0"/>
        <v>2</v>
      </c>
      <c r="P8" s="21">
        <f t="shared" si="1"/>
        <v>3</v>
      </c>
      <c r="Q8" s="21">
        <f>IFERROR(INDEX(Coefficients!$I$2:$U$41,MATCH(Routes!$N8,Coefficients!$T$2:$T$41,0),MATCH(Routes!Q$2,Coefficients!$I$2:$U$2,0)),"")</f>
        <v>2</v>
      </c>
      <c r="R8" s="22">
        <f>IFERROR(INDEX(Coefficients!$I$2:$U$41,MATCH(Routes!$N8,Coefficients!$T$2:$T$41,0),MATCH(Routes!R$2,Coefficients!$I$2:$U$2,0)),"")</f>
        <v>2.75</v>
      </c>
      <c r="S8" s="21">
        <f>IFERROR(INDEX(Coefficients!$I$2:$U$41,MATCH(Routes!$N8,Coefficients!$T$2:$T$41,0),MATCH(Routes!S$2,Coefficients!$I$2:$U$2,0)),"")</f>
        <v>0.85</v>
      </c>
      <c r="T8" s="21">
        <f>IFERROR(INDEX(Coefficients!$I$2:$U$41,MATCH(Routes!$N8,Coefficients!$T$2:$T$41,0),MATCH(Routes!T$2,Coefficients!$I$2:$U$2,0)),"")</f>
        <v>1</v>
      </c>
      <c r="U8" s="21">
        <f>IFERROR(INDEX(Coefficients!$I$2:$U$41,MATCH(Routes!$N8,Coefficients!$T$2:$T$41,0),MATCH(Routes!U$2,Coefficients!$I$2:$U$2,0)),"")</f>
        <v>6</v>
      </c>
      <c r="V8" s="21" t="str">
        <f>IFERROR(INDEX(Coefficients!U:U,MATCH(Routes!N8,Coefficients!T:T,0)),"")</f>
        <v>Silver Line 1 from South Station to Courthouse</v>
      </c>
    </row>
    <row r="9" spans="3:22" x14ac:dyDescent="0.35">
      <c r="N9" s="19" t="s">
        <v>76</v>
      </c>
      <c r="O9" s="21">
        <f t="shared" si="0"/>
        <v>2</v>
      </c>
      <c r="P9" s="21">
        <f t="shared" si="1"/>
        <v>4</v>
      </c>
      <c r="Q9" s="21">
        <f>IFERROR(INDEX(Coefficients!$I$2:$U$41,MATCH(Routes!$N9,Coefficients!$T$2:$T$41,0),MATCH(Routes!Q$2,Coefficients!$I$2:$U$2,0)),"")</f>
        <v>3</v>
      </c>
      <c r="R9" s="22">
        <f>IFERROR(INDEX(Coefficients!$I$2:$U$41,MATCH(Routes!$N9,Coefficients!$T$2:$T$41,0),MATCH(Routes!R$2,Coefficients!$I$2:$U$2,0)),"")</f>
        <v>0</v>
      </c>
      <c r="S9" s="21">
        <f>IFERROR(INDEX(Coefficients!$I$2:$U$41,MATCH(Routes!$N9,Coefficients!$T$2:$T$41,0),MATCH(Routes!S$2,Coefficients!$I$2:$U$2,0)),"")</f>
        <v>1</v>
      </c>
      <c r="T9" s="21">
        <f>IFERROR(INDEX(Coefficients!$I$2:$U$41,MATCH(Routes!$N9,Coefficients!$T$2:$T$41,0),MATCH(Routes!T$2,Coefficients!$I$2:$U$2,0)),"")</f>
        <v>1</v>
      </c>
      <c r="U9" s="21">
        <f>IFERROR(INDEX(Coefficients!$I$2:$U$41,MATCH(Routes!$N9,Coefficients!$T$2:$T$41,0),MATCH(Routes!U$2,Coefficients!$I$2:$U$2,0)),"")</f>
        <v>6</v>
      </c>
      <c r="V9" s="21" t="str">
        <f>IFERROR(INDEX(Coefficients!U:U,MATCH(Routes!N9,Coefficients!T:T,0)),"")</f>
        <v>Walk from Courthouse to The Daily Catch</v>
      </c>
    </row>
    <row r="10" spans="3:22" x14ac:dyDescent="0.35">
      <c r="N10" s="19" t="s">
        <v>69</v>
      </c>
      <c r="O10" s="21">
        <f t="shared" si="0"/>
        <v>3</v>
      </c>
      <c r="P10" s="21">
        <f t="shared" si="1"/>
        <v>1</v>
      </c>
      <c r="Q10" s="21">
        <f>IFERROR(INDEX(Coefficients!$I$2:$U$41,MATCH(Routes!$N10,Coefficients!$T$2:$T$41,0),MATCH(Routes!Q$2,Coefficients!$I$2:$U$2,0)),"")</f>
        <v>5</v>
      </c>
      <c r="R10" s="22">
        <f>IFERROR(INDEX(Coefficients!$I$2:$U$41,MATCH(Routes!$N10,Coefficients!$T$2:$T$41,0),MATCH(Routes!R$2,Coefficients!$I$2:$U$2,0)),"")</f>
        <v>0</v>
      </c>
      <c r="S10" s="21">
        <f>IFERROR(INDEX(Coefficients!$I$2:$U$41,MATCH(Routes!$N10,Coefficients!$T$2:$T$41,0),MATCH(Routes!S$2,Coefficients!$I$2:$U$2,0)),"")</f>
        <v>1</v>
      </c>
      <c r="T10" s="21">
        <f>IFERROR(INDEX(Coefficients!$I$2:$U$41,MATCH(Routes!$N10,Coefficients!$T$2:$T$41,0),MATCH(Routes!T$2,Coefficients!$I$2:$U$2,0)),"")</f>
        <v>1</v>
      </c>
      <c r="U10" s="21">
        <f>IFERROR(INDEX(Coefficients!$I$2:$U$41,MATCH(Routes!$N10,Coefficients!$T$2:$T$41,0),MATCH(Routes!U$2,Coefficients!$I$2:$U$2,0)),"")</f>
        <v>6</v>
      </c>
      <c r="V10" s="21" t="str">
        <f>IFERROR(INDEX(Coefficients!U:U,MATCH(Routes!N10,Coefficients!T:T,0)),"")</f>
        <v>Walk from 748 Columbus Ave to Ruggles Station</v>
      </c>
    </row>
    <row r="11" spans="3:22" x14ac:dyDescent="0.35">
      <c r="N11" s="19" t="s">
        <v>74</v>
      </c>
      <c r="O11" s="21">
        <f t="shared" si="0"/>
        <v>3</v>
      </c>
      <c r="P11" s="21">
        <f t="shared" si="1"/>
        <v>2</v>
      </c>
      <c r="Q11" s="21">
        <f>IFERROR(INDEX(Coefficients!$I$2:$U$41,MATCH(Routes!$N11,Coefficients!$T$2:$T$41,0),MATCH(Routes!Q$2,Coefficients!$I$2:$U$2,0)),"")</f>
        <v>10</v>
      </c>
      <c r="R11" s="22">
        <f>IFERROR(INDEX(Coefficients!$I$2:$U$41,MATCH(Routes!$N11,Coefficients!$T$2:$T$41,0),MATCH(Routes!R$2,Coefficients!$I$2:$U$2,0)),"")</f>
        <v>2.25</v>
      </c>
      <c r="S11" s="21">
        <f>IFERROR(INDEX(Coefficients!$I$2:$U$41,MATCH(Routes!$N11,Coefficients!$T$2:$T$41,0),MATCH(Routes!S$2,Coefficients!$I$2:$U$2,0)),"")</f>
        <v>0.88</v>
      </c>
      <c r="T11" s="21">
        <f>IFERROR(INDEX(Coefficients!$I$2:$U$41,MATCH(Routes!$N11,Coefficients!$T$2:$T$41,0),MATCH(Routes!T$2,Coefficients!$I$2:$U$2,0)),"")</f>
        <v>1</v>
      </c>
      <c r="U11" s="21">
        <f>IFERROR(INDEX(Coefficients!$I$2:$U$41,MATCH(Routes!$N11,Coefficients!$T$2:$T$41,0),MATCH(Routes!U$2,Coefficients!$I$2:$U$2,0)),"")</f>
        <v>8</v>
      </c>
      <c r="V11" s="21" t="str">
        <f>IFERROR(INDEX(Coefficients!U:U,MATCH(Routes!N11,Coefficients!T:T,0)),"")</f>
        <v>Commuter Rail from Ruggles Station to South Station</v>
      </c>
    </row>
    <row r="12" spans="3:22" x14ac:dyDescent="0.35">
      <c r="N12" s="19" t="s">
        <v>79</v>
      </c>
      <c r="O12" s="21">
        <f t="shared" si="0"/>
        <v>3</v>
      </c>
      <c r="P12" s="21">
        <f t="shared" si="1"/>
        <v>3</v>
      </c>
      <c r="Q12" s="21">
        <f>IFERROR(INDEX(Coefficients!$I$2:$U$41,MATCH(Routes!$N12,Coefficients!$T$2:$T$41,0),MATCH(Routes!Q$2,Coefficients!$I$2:$U$2,0)),"")</f>
        <v>11</v>
      </c>
      <c r="R12" s="22">
        <f>IFERROR(INDEX(Coefficients!$I$2:$U$41,MATCH(Routes!$N12,Coefficients!$T$2:$T$41,0),MATCH(Routes!R$2,Coefficients!$I$2:$U$2,0)),"")</f>
        <v>0</v>
      </c>
      <c r="S12" s="21">
        <f>IFERROR(INDEX(Coefficients!$I$2:$U$41,MATCH(Routes!$N12,Coefficients!$T$2:$T$41,0),MATCH(Routes!S$2,Coefficients!$I$2:$U$2,0)),"")</f>
        <v>1</v>
      </c>
      <c r="T12" s="21">
        <f>IFERROR(INDEX(Coefficients!$I$2:$U$41,MATCH(Routes!$N12,Coefficients!$T$2:$T$41,0),MATCH(Routes!T$2,Coefficients!$I$2:$U$2,0)),"")</f>
        <v>1</v>
      </c>
      <c r="U12" s="21">
        <f>IFERROR(INDEX(Coefficients!$I$2:$U$41,MATCH(Routes!$N12,Coefficients!$T$2:$T$41,0),MATCH(Routes!U$2,Coefficients!$I$2:$U$2,0)),"")</f>
        <v>6</v>
      </c>
      <c r="V12" s="21" t="str">
        <f>IFERROR(INDEX(Coefficients!U:U,MATCH(Routes!N12,Coefficients!T:T,0)),"")</f>
        <v>Walk from South Station to The Daily Catch</v>
      </c>
    </row>
    <row r="13" spans="3:22" x14ac:dyDescent="0.35">
      <c r="N13" s="19" t="s">
        <v>69</v>
      </c>
      <c r="O13" s="21">
        <f t="shared" si="0"/>
        <v>4</v>
      </c>
      <c r="P13" s="21">
        <f t="shared" si="1"/>
        <v>1</v>
      </c>
      <c r="Q13" s="21">
        <f>IFERROR(INDEX(Coefficients!$I$2:$U$41,MATCH(Routes!$N13,Coefficients!$T$2:$T$41,0),MATCH(Routes!Q$2,Coefficients!$I$2:$U$2,0)),"")</f>
        <v>5</v>
      </c>
      <c r="R13" s="22">
        <f>IFERROR(INDEX(Coefficients!$I$2:$U$41,MATCH(Routes!$N13,Coefficients!$T$2:$T$41,0),MATCH(Routes!R$2,Coefficients!$I$2:$U$2,0)),"")</f>
        <v>0</v>
      </c>
      <c r="S13" s="21">
        <f>IFERROR(INDEX(Coefficients!$I$2:$U$41,MATCH(Routes!$N13,Coefficients!$T$2:$T$41,0),MATCH(Routes!S$2,Coefficients!$I$2:$U$2,0)),"")</f>
        <v>1</v>
      </c>
      <c r="T13" s="21">
        <f>IFERROR(INDEX(Coefficients!$I$2:$U$41,MATCH(Routes!$N13,Coefficients!$T$2:$T$41,0),MATCH(Routes!T$2,Coefficients!$I$2:$U$2,0)),"")</f>
        <v>1</v>
      </c>
      <c r="U13" s="21">
        <f>IFERROR(INDEX(Coefficients!$I$2:$U$41,MATCH(Routes!$N13,Coefficients!$T$2:$T$41,0),MATCH(Routes!U$2,Coefficients!$I$2:$U$2,0)),"")</f>
        <v>6</v>
      </c>
      <c r="V13" s="21" t="str">
        <f>IFERROR(INDEX(Coefficients!U:U,MATCH(Routes!N13,Coefficients!T:T,0)),"")</f>
        <v>Walk from 748 Columbus Ave to Ruggles Station</v>
      </c>
    </row>
    <row r="14" spans="3:22" x14ac:dyDescent="0.35">
      <c r="N14" s="19" t="s">
        <v>77</v>
      </c>
      <c r="O14" s="21">
        <f t="shared" si="0"/>
        <v>4</v>
      </c>
      <c r="P14" s="21">
        <f t="shared" si="1"/>
        <v>2</v>
      </c>
      <c r="Q14" s="21">
        <f>IFERROR(INDEX(Coefficients!$I$2:$U$41,MATCH(Routes!$N14,Coefficients!$T$2:$T$41,0),MATCH(Routes!Q$2,Coefficients!$I$2:$U$2,0)),"")</f>
        <v>10</v>
      </c>
      <c r="R14" s="22">
        <f>IFERROR(INDEX(Coefficients!$I$2:$U$41,MATCH(Routes!$N14,Coefficients!$T$2:$T$41,0),MATCH(Routes!R$2,Coefficients!$I$2:$U$2,0)),"")</f>
        <v>2.75</v>
      </c>
      <c r="S14" s="21">
        <f>IFERROR(INDEX(Coefficients!$I$2:$U$41,MATCH(Routes!$N14,Coefficients!$T$2:$T$41,0),MATCH(Routes!S$2,Coefficients!$I$2:$U$2,0)),"")</f>
        <v>0.93</v>
      </c>
      <c r="T14" s="21">
        <f>IFERROR(INDEX(Coefficients!$I$2:$U$41,MATCH(Routes!$N14,Coefficients!$T$2:$T$41,0),MATCH(Routes!T$2,Coefficients!$I$2:$U$2,0)),"")</f>
        <v>1</v>
      </c>
      <c r="U14" s="21">
        <f>IFERROR(INDEX(Coefficients!$I$2:$U$41,MATCH(Routes!$N14,Coefficients!$T$2:$T$41,0),MATCH(Routes!U$2,Coefficients!$I$2:$U$2,0)),"")</f>
        <v>7</v>
      </c>
      <c r="V14" s="21" t="str">
        <f>IFERROR(INDEX(Coefficients!U:U,MATCH(Routes!N14,Coefficients!T:T,0)),"")</f>
        <v>Orange Line from Ruggles Station to Downtown Crossing</v>
      </c>
    </row>
    <row r="15" spans="3:22" x14ac:dyDescent="0.35">
      <c r="N15" s="19" t="s">
        <v>78</v>
      </c>
      <c r="O15" s="21">
        <f t="shared" si="0"/>
        <v>4</v>
      </c>
      <c r="P15" s="21">
        <f t="shared" si="1"/>
        <v>3</v>
      </c>
      <c r="Q15" s="21">
        <f>IFERROR(INDEX(Coefficients!$I$2:$U$41,MATCH(Routes!$N15,Coefficients!$T$2:$T$41,0),MATCH(Routes!Q$2,Coefficients!$I$2:$U$2,0)),"")</f>
        <v>7</v>
      </c>
      <c r="R15" s="22">
        <f>IFERROR(INDEX(Coefficients!$I$2:$U$41,MATCH(Routes!$N15,Coefficients!$T$2:$T$41,0),MATCH(Routes!R$2,Coefficients!$I$2:$U$2,0)),"")</f>
        <v>0</v>
      </c>
      <c r="S15" s="21">
        <f>IFERROR(INDEX(Coefficients!$I$2:$U$41,MATCH(Routes!$N15,Coefficients!$T$2:$T$41,0),MATCH(Routes!S$2,Coefficients!$I$2:$U$2,0)),"")</f>
        <v>1</v>
      </c>
      <c r="T15" s="21">
        <f>IFERROR(INDEX(Coefficients!$I$2:$U$41,MATCH(Routes!$N15,Coefficients!$T$2:$T$41,0),MATCH(Routes!T$2,Coefficients!$I$2:$U$2,0)),"")</f>
        <v>1</v>
      </c>
      <c r="U15" s="21">
        <f>IFERROR(INDEX(Coefficients!$I$2:$U$41,MATCH(Routes!$N15,Coefficients!$T$2:$T$41,0),MATCH(Routes!U$2,Coefficients!$I$2:$U$2,0)),"")</f>
        <v>6</v>
      </c>
      <c r="V15" s="21" t="str">
        <f>IFERROR(INDEX(Coefficients!U:U,MATCH(Routes!N15,Coefficients!T:T,0)),"")</f>
        <v>Walk from Downtown Crossing to South Station</v>
      </c>
    </row>
    <row r="16" spans="3:22" x14ac:dyDescent="0.35">
      <c r="N16" s="19" t="s">
        <v>75</v>
      </c>
      <c r="O16" s="21">
        <f t="shared" si="0"/>
        <v>4</v>
      </c>
      <c r="P16" s="21">
        <f t="shared" si="1"/>
        <v>4</v>
      </c>
      <c r="Q16" s="21">
        <f>IFERROR(INDEX(Coefficients!$I$2:$U$41,MATCH(Routes!$N16,Coefficients!$T$2:$T$41,0),MATCH(Routes!Q$2,Coefficients!$I$2:$U$2,0)),"")</f>
        <v>2</v>
      </c>
      <c r="R16" s="22">
        <f>IFERROR(INDEX(Coefficients!$I$2:$U$41,MATCH(Routes!$N16,Coefficients!$T$2:$T$41,0),MATCH(Routes!R$2,Coefficients!$I$2:$U$2,0)),"")</f>
        <v>2.75</v>
      </c>
      <c r="S16" s="21">
        <f>IFERROR(INDEX(Coefficients!$I$2:$U$41,MATCH(Routes!$N16,Coefficients!$T$2:$T$41,0),MATCH(Routes!S$2,Coefficients!$I$2:$U$2,0)),"")</f>
        <v>0.85</v>
      </c>
      <c r="T16" s="21">
        <f>IFERROR(INDEX(Coefficients!$I$2:$U$41,MATCH(Routes!$N16,Coefficients!$T$2:$T$41,0),MATCH(Routes!T$2,Coefficients!$I$2:$U$2,0)),"")</f>
        <v>1</v>
      </c>
      <c r="U16" s="21">
        <f>IFERROR(INDEX(Coefficients!$I$2:$U$41,MATCH(Routes!$N16,Coefficients!$T$2:$T$41,0),MATCH(Routes!U$2,Coefficients!$I$2:$U$2,0)),"")</f>
        <v>6</v>
      </c>
      <c r="V16" s="21" t="str">
        <f>IFERROR(INDEX(Coefficients!U:U,MATCH(Routes!N16,Coefficients!T:T,0)),"")</f>
        <v>Silver Line 1 from South Station to Courthouse</v>
      </c>
    </row>
    <row r="17" spans="14:22" x14ac:dyDescent="0.35">
      <c r="N17" s="19" t="s">
        <v>76</v>
      </c>
      <c r="O17" s="21">
        <f t="shared" si="0"/>
        <v>4</v>
      </c>
      <c r="P17" s="21">
        <f t="shared" si="1"/>
        <v>5</v>
      </c>
      <c r="Q17" s="21">
        <f>IFERROR(INDEX(Coefficients!$I$2:$U$41,MATCH(Routes!$N17,Coefficients!$T$2:$T$41,0),MATCH(Routes!Q$2,Coefficients!$I$2:$U$2,0)),"")</f>
        <v>3</v>
      </c>
      <c r="R17" s="22">
        <f>IFERROR(INDEX(Coefficients!$I$2:$U$41,MATCH(Routes!$N17,Coefficients!$T$2:$T$41,0),MATCH(Routes!R$2,Coefficients!$I$2:$U$2,0)),"")</f>
        <v>0</v>
      </c>
      <c r="S17" s="21">
        <f>IFERROR(INDEX(Coefficients!$I$2:$U$41,MATCH(Routes!$N17,Coefficients!$T$2:$T$41,0),MATCH(Routes!S$2,Coefficients!$I$2:$U$2,0)),"")</f>
        <v>1</v>
      </c>
      <c r="T17" s="21">
        <f>IFERROR(INDEX(Coefficients!$I$2:$U$41,MATCH(Routes!$N17,Coefficients!$T$2:$T$41,0),MATCH(Routes!T$2,Coefficients!$I$2:$U$2,0)),"")</f>
        <v>1</v>
      </c>
      <c r="U17" s="21">
        <f>IFERROR(INDEX(Coefficients!$I$2:$U$41,MATCH(Routes!$N17,Coefficients!$T$2:$T$41,0),MATCH(Routes!U$2,Coefficients!$I$2:$U$2,0)),"")</f>
        <v>6</v>
      </c>
      <c r="V17" s="21" t="str">
        <f>IFERROR(INDEX(Coefficients!U:U,MATCH(Routes!N17,Coefficients!T:T,0)),"")</f>
        <v>Walk from Courthouse to The Daily Catch</v>
      </c>
    </row>
    <row r="18" spans="14:22" x14ac:dyDescent="0.35">
      <c r="N18" s="19" t="s">
        <v>69</v>
      </c>
      <c r="O18" s="21">
        <f t="shared" si="0"/>
        <v>5</v>
      </c>
      <c r="P18" s="21">
        <f t="shared" si="1"/>
        <v>1</v>
      </c>
      <c r="Q18" s="21">
        <f>IFERROR(INDEX(Coefficients!$I$2:$U$41,MATCH(Routes!$N18,Coefficients!$T$2:$T$41,0),MATCH(Routes!Q$2,Coefficients!$I$2:$U$2,0)),"")</f>
        <v>5</v>
      </c>
      <c r="R18" s="22">
        <f>IFERROR(INDEX(Coefficients!$I$2:$U$41,MATCH(Routes!$N18,Coefficients!$T$2:$T$41,0),MATCH(Routes!R$2,Coefficients!$I$2:$U$2,0)),"")</f>
        <v>0</v>
      </c>
      <c r="S18" s="21">
        <f>IFERROR(INDEX(Coefficients!$I$2:$U$41,MATCH(Routes!$N18,Coefficients!$T$2:$T$41,0),MATCH(Routes!S$2,Coefficients!$I$2:$U$2,0)),"")</f>
        <v>1</v>
      </c>
      <c r="T18" s="21">
        <f>IFERROR(INDEX(Coefficients!$I$2:$U$41,MATCH(Routes!$N18,Coefficients!$T$2:$T$41,0),MATCH(Routes!T$2,Coefficients!$I$2:$U$2,0)),"")</f>
        <v>1</v>
      </c>
      <c r="U18" s="21">
        <f>IFERROR(INDEX(Coefficients!$I$2:$U$41,MATCH(Routes!$N18,Coefficients!$T$2:$T$41,0),MATCH(Routes!U$2,Coefficients!$I$2:$U$2,0)),"")</f>
        <v>6</v>
      </c>
      <c r="V18" s="21" t="str">
        <f>IFERROR(INDEX(Coefficients!U:U,MATCH(Routes!N18,Coefficients!T:T,0)),"")</f>
        <v>Walk from 748 Columbus Ave to Ruggles Station</v>
      </c>
    </row>
    <row r="19" spans="14:22" x14ac:dyDescent="0.35">
      <c r="N19" s="19" t="s">
        <v>77</v>
      </c>
      <c r="O19" s="21">
        <f t="shared" si="0"/>
        <v>5</v>
      </c>
      <c r="P19" s="21">
        <f t="shared" si="1"/>
        <v>2</v>
      </c>
      <c r="Q19" s="21">
        <f>IFERROR(INDEX(Coefficients!$I$2:$U$41,MATCH(Routes!$N19,Coefficients!$T$2:$T$41,0),MATCH(Routes!Q$2,Coefficients!$I$2:$U$2,0)),"")</f>
        <v>10</v>
      </c>
      <c r="R19" s="22">
        <f>IFERROR(INDEX(Coefficients!$I$2:$U$41,MATCH(Routes!$N19,Coefficients!$T$2:$T$41,0),MATCH(Routes!R$2,Coefficients!$I$2:$U$2,0)),"")</f>
        <v>2.75</v>
      </c>
      <c r="S19" s="21">
        <f>IFERROR(INDEX(Coefficients!$I$2:$U$41,MATCH(Routes!$N19,Coefficients!$T$2:$T$41,0),MATCH(Routes!S$2,Coefficients!$I$2:$U$2,0)),"")</f>
        <v>0.93</v>
      </c>
      <c r="T19" s="21">
        <f>IFERROR(INDEX(Coefficients!$I$2:$U$41,MATCH(Routes!$N19,Coefficients!$T$2:$T$41,0),MATCH(Routes!T$2,Coefficients!$I$2:$U$2,0)),"")</f>
        <v>1</v>
      </c>
      <c r="U19" s="21">
        <f>IFERROR(INDEX(Coefficients!$I$2:$U$41,MATCH(Routes!$N19,Coefficients!$T$2:$T$41,0),MATCH(Routes!U$2,Coefficients!$I$2:$U$2,0)),"")</f>
        <v>7</v>
      </c>
      <c r="V19" s="21" t="str">
        <f>IFERROR(INDEX(Coefficients!U:U,MATCH(Routes!N19,Coefficients!T:T,0)),"")</f>
        <v>Orange Line from Ruggles Station to Downtown Crossing</v>
      </c>
    </row>
    <row r="20" spans="14:22" x14ac:dyDescent="0.35">
      <c r="N20" s="19" t="s">
        <v>78</v>
      </c>
      <c r="O20" s="21">
        <f t="shared" si="0"/>
        <v>5</v>
      </c>
      <c r="P20" s="21">
        <f t="shared" si="1"/>
        <v>3</v>
      </c>
      <c r="Q20" s="21">
        <f>IFERROR(INDEX(Coefficients!$I$2:$U$41,MATCH(Routes!$N20,Coefficients!$T$2:$T$41,0),MATCH(Routes!Q$2,Coefficients!$I$2:$U$2,0)),"")</f>
        <v>7</v>
      </c>
      <c r="R20" s="22">
        <f>IFERROR(INDEX(Coefficients!$I$2:$U$41,MATCH(Routes!$N20,Coefficients!$T$2:$T$41,0),MATCH(Routes!R$2,Coefficients!$I$2:$U$2,0)),"")</f>
        <v>0</v>
      </c>
      <c r="S20" s="21">
        <f>IFERROR(INDEX(Coefficients!$I$2:$U$41,MATCH(Routes!$N20,Coefficients!$T$2:$T$41,0),MATCH(Routes!S$2,Coefficients!$I$2:$U$2,0)),"")</f>
        <v>1</v>
      </c>
      <c r="T20" s="21">
        <f>IFERROR(INDEX(Coefficients!$I$2:$U$41,MATCH(Routes!$N20,Coefficients!$T$2:$T$41,0),MATCH(Routes!T$2,Coefficients!$I$2:$U$2,0)),"")</f>
        <v>1</v>
      </c>
      <c r="U20" s="21">
        <f>IFERROR(INDEX(Coefficients!$I$2:$U$41,MATCH(Routes!$N20,Coefficients!$T$2:$T$41,0),MATCH(Routes!U$2,Coefficients!$I$2:$U$2,0)),"")</f>
        <v>6</v>
      </c>
      <c r="V20" s="21" t="str">
        <f>IFERROR(INDEX(Coefficients!U:U,MATCH(Routes!N20,Coefficients!T:T,0)),"")</f>
        <v>Walk from Downtown Crossing to South Station</v>
      </c>
    </row>
    <row r="21" spans="14:22" x14ac:dyDescent="0.35">
      <c r="N21" s="19" t="s">
        <v>79</v>
      </c>
      <c r="O21" s="21">
        <f t="shared" si="0"/>
        <v>5</v>
      </c>
      <c r="P21" s="21">
        <f t="shared" si="1"/>
        <v>4</v>
      </c>
      <c r="Q21" s="21">
        <f>IFERROR(INDEX(Coefficients!$I$2:$U$41,MATCH(Routes!$N21,Coefficients!$T$2:$T$41,0),MATCH(Routes!Q$2,Coefficients!$I$2:$U$2,0)),"")</f>
        <v>11</v>
      </c>
      <c r="R21" s="22">
        <f>IFERROR(INDEX(Coefficients!$I$2:$U$41,MATCH(Routes!$N21,Coefficients!$T$2:$T$41,0),MATCH(Routes!R$2,Coefficients!$I$2:$U$2,0)),"")</f>
        <v>0</v>
      </c>
      <c r="S21" s="21">
        <f>IFERROR(INDEX(Coefficients!$I$2:$U$41,MATCH(Routes!$N21,Coefficients!$T$2:$T$41,0),MATCH(Routes!S$2,Coefficients!$I$2:$U$2,0)),"")</f>
        <v>1</v>
      </c>
      <c r="T21" s="21">
        <f>IFERROR(INDEX(Coefficients!$I$2:$U$41,MATCH(Routes!$N21,Coefficients!$T$2:$T$41,0),MATCH(Routes!T$2,Coefficients!$I$2:$U$2,0)),"")</f>
        <v>1</v>
      </c>
      <c r="U21" s="21">
        <f>IFERROR(INDEX(Coefficients!$I$2:$U$41,MATCH(Routes!$N21,Coefficients!$T$2:$T$41,0),MATCH(Routes!U$2,Coefficients!$I$2:$U$2,0)),"")</f>
        <v>6</v>
      </c>
      <c r="V21" s="21" t="str">
        <f>IFERROR(INDEX(Coefficients!U:U,MATCH(Routes!N21,Coefficients!T:T,0)),"")</f>
        <v>Walk from South Station to The Daily Catch</v>
      </c>
    </row>
    <row r="22" spans="14:22" x14ac:dyDescent="0.35">
      <c r="N22" s="19" t="s">
        <v>69</v>
      </c>
      <c r="O22" s="21">
        <f t="shared" si="0"/>
        <v>6</v>
      </c>
      <c r="P22" s="21">
        <f t="shared" si="1"/>
        <v>1</v>
      </c>
      <c r="Q22" s="21">
        <f>IFERROR(INDEX(Coefficients!$I$2:$U$41,MATCH(Routes!$N22,Coefficients!$T$2:$T$41,0),MATCH(Routes!Q$2,Coefficients!$I$2:$U$2,0)),"")</f>
        <v>5</v>
      </c>
      <c r="R22" s="22">
        <f>IFERROR(INDEX(Coefficients!$I$2:$U$41,MATCH(Routes!$N22,Coefficients!$T$2:$T$41,0),MATCH(Routes!R$2,Coefficients!$I$2:$U$2,0)),"")</f>
        <v>0</v>
      </c>
      <c r="S22" s="21">
        <f>IFERROR(INDEX(Coefficients!$I$2:$U$41,MATCH(Routes!$N22,Coefficients!$T$2:$T$41,0),MATCH(Routes!S$2,Coefficients!$I$2:$U$2,0)),"")</f>
        <v>1</v>
      </c>
      <c r="T22" s="21">
        <f>IFERROR(INDEX(Coefficients!$I$2:$U$41,MATCH(Routes!$N22,Coefficients!$T$2:$T$41,0),MATCH(Routes!T$2,Coefficients!$I$2:$U$2,0)),"")</f>
        <v>1</v>
      </c>
      <c r="U22" s="21">
        <f>IFERROR(INDEX(Coefficients!$I$2:$U$41,MATCH(Routes!$N22,Coefficients!$T$2:$T$41,0),MATCH(Routes!U$2,Coefficients!$I$2:$U$2,0)),"")</f>
        <v>6</v>
      </c>
      <c r="V22" s="21" t="str">
        <f>IFERROR(INDEX(Coefficients!U:U,MATCH(Routes!N22,Coefficients!T:T,0)),"")</f>
        <v>Walk from 748 Columbus Ave to Ruggles Station</v>
      </c>
    </row>
    <row r="23" spans="14:22" x14ac:dyDescent="0.35">
      <c r="N23" s="19" t="s">
        <v>77</v>
      </c>
      <c r="O23" s="21">
        <f t="shared" si="0"/>
        <v>6</v>
      </c>
      <c r="P23" s="21">
        <f t="shared" si="1"/>
        <v>2</v>
      </c>
      <c r="Q23" s="21">
        <f>IFERROR(INDEX(Coefficients!$I$2:$U$41,MATCH(Routes!$N23,Coefficients!$T$2:$T$41,0),MATCH(Routes!Q$2,Coefficients!$I$2:$U$2,0)),"")</f>
        <v>10</v>
      </c>
      <c r="R23" s="22">
        <f>IFERROR(INDEX(Coefficients!$I$2:$U$41,MATCH(Routes!$N23,Coefficients!$T$2:$T$41,0),MATCH(Routes!R$2,Coefficients!$I$2:$U$2,0)),"")</f>
        <v>2.75</v>
      </c>
      <c r="S23" s="21">
        <f>IFERROR(INDEX(Coefficients!$I$2:$U$41,MATCH(Routes!$N23,Coefficients!$T$2:$T$41,0),MATCH(Routes!S$2,Coefficients!$I$2:$U$2,0)),"")</f>
        <v>0.93</v>
      </c>
      <c r="T23" s="21">
        <f>IFERROR(INDEX(Coefficients!$I$2:$U$41,MATCH(Routes!$N23,Coefficients!$T$2:$T$41,0),MATCH(Routes!T$2,Coefficients!$I$2:$U$2,0)),"")</f>
        <v>1</v>
      </c>
      <c r="U23" s="21">
        <f>IFERROR(INDEX(Coefficients!$I$2:$U$41,MATCH(Routes!$N23,Coefficients!$T$2:$T$41,0),MATCH(Routes!U$2,Coefficients!$I$2:$U$2,0)),"")</f>
        <v>7</v>
      </c>
      <c r="V23" s="21" t="str">
        <f>IFERROR(INDEX(Coefficients!U:U,MATCH(Routes!N23,Coefficients!T:T,0)),"")</f>
        <v>Orange Line from Ruggles Station to Downtown Crossing</v>
      </c>
    </row>
    <row r="24" spans="14:22" x14ac:dyDescent="0.35">
      <c r="N24" s="19" t="s">
        <v>80</v>
      </c>
      <c r="O24" s="21">
        <f t="shared" si="0"/>
        <v>6</v>
      </c>
      <c r="P24" s="21">
        <f t="shared" si="1"/>
        <v>3</v>
      </c>
      <c r="Q24" s="21">
        <f>IFERROR(INDEX(Coefficients!$I$2:$U$41,MATCH(Routes!$N24,Coefficients!$T$2:$T$41,0),MATCH(Routes!Q$2,Coefficients!$I$2:$U$2,0)),"")</f>
        <v>2</v>
      </c>
      <c r="R24" s="22">
        <f>IFERROR(INDEX(Coefficients!$I$2:$U$41,MATCH(Routes!$N24,Coefficients!$T$2:$T$41,0),MATCH(Routes!R$2,Coefficients!$I$2:$U$2,0)),"")</f>
        <v>2.75</v>
      </c>
      <c r="S24" s="21">
        <f>IFERROR(INDEX(Coefficients!$I$2:$U$41,MATCH(Routes!$N24,Coefficients!$T$2:$T$41,0),MATCH(Routes!S$2,Coefficients!$I$2:$U$2,0)),"")</f>
        <v>0.91</v>
      </c>
      <c r="T24" s="21">
        <f>IFERROR(INDEX(Coefficients!$I$2:$U$41,MATCH(Routes!$N24,Coefficients!$T$2:$T$41,0),MATCH(Routes!T$2,Coefficients!$I$2:$U$2,0)),"")</f>
        <v>1</v>
      </c>
      <c r="U24" s="21">
        <f>IFERROR(INDEX(Coefficients!$I$2:$U$41,MATCH(Routes!$N24,Coefficients!$T$2:$T$41,0),MATCH(Routes!U$2,Coefficients!$I$2:$U$2,0)),"")</f>
        <v>7</v>
      </c>
      <c r="V24" s="21" t="str">
        <f>IFERROR(INDEX(Coefficients!U:U,MATCH(Routes!N24,Coefficients!T:T,0)),"")</f>
        <v>Red Line from Downtown Crossing to South Station</v>
      </c>
    </row>
    <row r="25" spans="14:22" x14ac:dyDescent="0.35">
      <c r="N25" s="19" t="s">
        <v>75</v>
      </c>
      <c r="O25" s="21">
        <f t="shared" si="0"/>
        <v>6</v>
      </c>
      <c r="P25" s="21">
        <f t="shared" si="1"/>
        <v>4</v>
      </c>
      <c r="Q25" s="21">
        <f>IFERROR(INDEX(Coefficients!$I$2:$U$41,MATCH(Routes!$N25,Coefficients!$T$2:$T$41,0),MATCH(Routes!Q$2,Coefficients!$I$2:$U$2,0)),"")</f>
        <v>2</v>
      </c>
      <c r="R25" s="22">
        <f>IFERROR(INDEX(Coefficients!$I$2:$U$41,MATCH(Routes!$N25,Coefficients!$T$2:$T$41,0),MATCH(Routes!R$2,Coefficients!$I$2:$U$2,0)),"")</f>
        <v>2.75</v>
      </c>
      <c r="S25" s="21">
        <f>IFERROR(INDEX(Coefficients!$I$2:$U$41,MATCH(Routes!$N25,Coefficients!$T$2:$T$41,0),MATCH(Routes!S$2,Coefficients!$I$2:$U$2,0)),"")</f>
        <v>0.85</v>
      </c>
      <c r="T25" s="21">
        <f>IFERROR(INDEX(Coefficients!$I$2:$U$41,MATCH(Routes!$N25,Coefficients!$T$2:$T$41,0),MATCH(Routes!T$2,Coefficients!$I$2:$U$2,0)),"")</f>
        <v>1</v>
      </c>
      <c r="U25" s="21">
        <f>IFERROR(INDEX(Coefficients!$I$2:$U$41,MATCH(Routes!$N25,Coefficients!$T$2:$T$41,0),MATCH(Routes!U$2,Coefficients!$I$2:$U$2,0)),"")</f>
        <v>6</v>
      </c>
      <c r="V25" s="21" t="str">
        <f>IFERROR(INDEX(Coefficients!U:U,MATCH(Routes!N25,Coefficients!T:T,0)),"")</f>
        <v>Silver Line 1 from South Station to Courthouse</v>
      </c>
    </row>
    <row r="26" spans="14:22" x14ac:dyDescent="0.35">
      <c r="N26" s="19" t="s">
        <v>76</v>
      </c>
      <c r="O26" s="21">
        <f t="shared" si="0"/>
        <v>6</v>
      </c>
      <c r="P26" s="21">
        <f t="shared" si="1"/>
        <v>5</v>
      </c>
      <c r="Q26" s="21">
        <f>IFERROR(INDEX(Coefficients!$I$2:$U$41,MATCH(Routes!$N26,Coefficients!$T$2:$T$41,0),MATCH(Routes!Q$2,Coefficients!$I$2:$U$2,0)),"")</f>
        <v>3</v>
      </c>
      <c r="R26" s="22">
        <f>IFERROR(INDEX(Coefficients!$I$2:$U$41,MATCH(Routes!$N26,Coefficients!$T$2:$T$41,0),MATCH(Routes!R$2,Coefficients!$I$2:$U$2,0)),"")</f>
        <v>0</v>
      </c>
      <c r="S26" s="21">
        <f>IFERROR(INDEX(Coefficients!$I$2:$U$41,MATCH(Routes!$N26,Coefficients!$T$2:$T$41,0),MATCH(Routes!S$2,Coefficients!$I$2:$U$2,0)),"")</f>
        <v>1</v>
      </c>
      <c r="T26" s="21">
        <f>IFERROR(INDEX(Coefficients!$I$2:$U$41,MATCH(Routes!$N26,Coefficients!$T$2:$T$41,0),MATCH(Routes!T$2,Coefficients!$I$2:$U$2,0)),"")</f>
        <v>1</v>
      </c>
      <c r="U26" s="21">
        <f>IFERROR(INDEX(Coefficients!$I$2:$U$41,MATCH(Routes!$N26,Coefficients!$T$2:$T$41,0),MATCH(Routes!U$2,Coefficients!$I$2:$U$2,0)),"")</f>
        <v>6</v>
      </c>
      <c r="V26" s="21" t="str">
        <f>IFERROR(INDEX(Coefficients!U:U,MATCH(Routes!N26,Coefficients!T:T,0)),"")</f>
        <v>Walk from Courthouse to The Daily Catch</v>
      </c>
    </row>
    <row r="27" spans="14:22" x14ac:dyDescent="0.35">
      <c r="N27" s="19" t="s">
        <v>69</v>
      </c>
      <c r="O27" s="21">
        <f t="shared" si="0"/>
        <v>7</v>
      </c>
      <c r="P27" s="21">
        <f t="shared" si="1"/>
        <v>1</v>
      </c>
      <c r="Q27" s="21">
        <f>IFERROR(INDEX(Coefficients!$I$2:$U$41,MATCH(Routes!$N27,Coefficients!$T$2:$T$41,0),MATCH(Routes!Q$2,Coefficients!$I$2:$U$2,0)),"")</f>
        <v>5</v>
      </c>
      <c r="R27" s="22">
        <f>IFERROR(INDEX(Coefficients!$I$2:$U$41,MATCH(Routes!$N27,Coefficients!$T$2:$T$41,0),MATCH(Routes!R$2,Coefficients!$I$2:$U$2,0)),"")</f>
        <v>0</v>
      </c>
      <c r="S27" s="21">
        <f>IFERROR(INDEX(Coefficients!$I$2:$U$41,MATCH(Routes!$N27,Coefficients!$T$2:$T$41,0),MATCH(Routes!S$2,Coefficients!$I$2:$U$2,0)),"")</f>
        <v>1</v>
      </c>
      <c r="T27" s="21">
        <f>IFERROR(INDEX(Coefficients!$I$2:$U$41,MATCH(Routes!$N27,Coefficients!$T$2:$T$41,0),MATCH(Routes!T$2,Coefficients!$I$2:$U$2,0)),"")</f>
        <v>1</v>
      </c>
      <c r="U27" s="21">
        <f>IFERROR(INDEX(Coefficients!$I$2:$U$41,MATCH(Routes!$N27,Coefficients!$T$2:$T$41,0),MATCH(Routes!U$2,Coefficients!$I$2:$U$2,0)),"")</f>
        <v>6</v>
      </c>
      <c r="V27" s="21" t="str">
        <f>IFERROR(INDEX(Coefficients!U:U,MATCH(Routes!N27,Coefficients!T:T,0)),"")</f>
        <v>Walk from 748 Columbus Ave to Ruggles Station</v>
      </c>
    </row>
    <row r="28" spans="14:22" x14ac:dyDescent="0.35">
      <c r="N28" s="19" t="s">
        <v>77</v>
      </c>
      <c r="O28" s="21">
        <f t="shared" si="0"/>
        <v>7</v>
      </c>
      <c r="P28" s="21">
        <f t="shared" si="1"/>
        <v>2</v>
      </c>
      <c r="Q28" s="21">
        <f>IFERROR(INDEX(Coefficients!$I$2:$U$41,MATCH(Routes!$N28,Coefficients!$T$2:$T$41,0),MATCH(Routes!Q$2,Coefficients!$I$2:$U$2,0)),"")</f>
        <v>10</v>
      </c>
      <c r="R28" s="22">
        <f>IFERROR(INDEX(Coefficients!$I$2:$U$41,MATCH(Routes!$N28,Coefficients!$T$2:$T$41,0),MATCH(Routes!R$2,Coefficients!$I$2:$U$2,0)),"")</f>
        <v>2.75</v>
      </c>
      <c r="S28" s="21">
        <f>IFERROR(INDEX(Coefficients!$I$2:$U$41,MATCH(Routes!$N28,Coefficients!$T$2:$T$41,0),MATCH(Routes!S$2,Coefficients!$I$2:$U$2,0)),"")</f>
        <v>0.93</v>
      </c>
      <c r="T28" s="21">
        <f>IFERROR(INDEX(Coefficients!$I$2:$U$41,MATCH(Routes!$N28,Coefficients!$T$2:$T$41,0),MATCH(Routes!T$2,Coefficients!$I$2:$U$2,0)),"")</f>
        <v>1</v>
      </c>
      <c r="U28" s="21">
        <f>IFERROR(INDEX(Coefficients!$I$2:$U$41,MATCH(Routes!$N28,Coefficients!$T$2:$T$41,0),MATCH(Routes!U$2,Coefficients!$I$2:$U$2,0)),"")</f>
        <v>7</v>
      </c>
      <c r="V28" s="21" t="str">
        <f>IFERROR(INDEX(Coefficients!U:U,MATCH(Routes!N28,Coefficients!T:T,0)),"")</f>
        <v>Orange Line from Ruggles Station to Downtown Crossing</v>
      </c>
    </row>
    <row r="29" spans="14:22" x14ac:dyDescent="0.35">
      <c r="N29" s="19" t="s">
        <v>80</v>
      </c>
      <c r="O29" s="21">
        <f t="shared" si="0"/>
        <v>7</v>
      </c>
      <c r="P29" s="21">
        <f t="shared" si="1"/>
        <v>3</v>
      </c>
      <c r="Q29" s="21">
        <f>IFERROR(INDEX(Coefficients!$I$2:$U$41,MATCH(Routes!$N29,Coefficients!$T$2:$T$41,0),MATCH(Routes!Q$2,Coefficients!$I$2:$U$2,0)),"")</f>
        <v>2</v>
      </c>
      <c r="R29" s="22">
        <f>IFERROR(INDEX(Coefficients!$I$2:$U$41,MATCH(Routes!$N29,Coefficients!$T$2:$T$41,0),MATCH(Routes!R$2,Coefficients!$I$2:$U$2,0)),"")</f>
        <v>2.75</v>
      </c>
      <c r="S29" s="21">
        <f>IFERROR(INDEX(Coefficients!$I$2:$U$41,MATCH(Routes!$N29,Coefficients!$T$2:$T$41,0),MATCH(Routes!S$2,Coefficients!$I$2:$U$2,0)),"")</f>
        <v>0.91</v>
      </c>
      <c r="T29" s="21">
        <f>IFERROR(INDEX(Coefficients!$I$2:$U$41,MATCH(Routes!$N29,Coefficients!$T$2:$T$41,0),MATCH(Routes!T$2,Coefficients!$I$2:$U$2,0)),"")</f>
        <v>1</v>
      </c>
      <c r="U29" s="21">
        <f>IFERROR(INDEX(Coefficients!$I$2:$U$41,MATCH(Routes!$N29,Coefficients!$T$2:$T$41,0),MATCH(Routes!U$2,Coefficients!$I$2:$U$2,0)),"")</f>
        <v>7</v>
      </c>
      <c r="V29" s="21" t="str">
        <f>IFERROR(INDEX(Coefficients!U:U,MATCH(Routes!N29,Coefficients!T:T,0)),"")</f>
        <v>Red Line from Downtown Crossing to South Station</v>
      </c>
    </row>
    <row r="30" spans="14:22" x14ac:dyDescent="0.35">
      <c r="N30" s="19" t="s">
        <v>79</v>
      </c>
      <c r="O30" s="21">
        <f t="shared" si="0"/>
        <v>7</v>
      </c>
      <c r="P30" s="21">
        <f t="shared" si="1"/>
        <v>4</v>
      </c>
      <c r="Q30" s="21">
        <f>IFERROR(INDEX(Coefficients!$I$2:$U$41,MATCH(Routes!$N30,Coefficients!$T$2:$T$41,0),MATCH(Routes!Q$2,Coefficients!$I$2:$U$2,0)),"")</f>
        <v>11</v>
      </c>
      <c r="R30" s="22">
        <f>IFERROR(INDEX(Coefficients!$I$2:$U$41,MATCH(Routes!$N30,Coefficients!$T$2:$T$41,0),MATCH(Routes!R$2,Coefficients!$I$2:$U$2,0)),"")</f>
        <v>0</v>
      </c>
      <c r="S30" s="21">
        <f>IFERROR(INDEX(Coefficients!$I$2:$U$41,MATCH(Routes!$N30,Coefficients!$T$2:$T$41,0),MATCH(Routes!S$2,Coefficients!$I$2:$U$2,0)),"")</f>
        <v>1</v>
      </c>
      <c r="T30" s="21">
        <f>IFERROR(INDEX(Coefficients!$I$2:$U$41,MATCH(Routes!$N30,Coefficients!$T$2:$T$41,0),MATCH(Routes!T$2,Coefficients!$I$2:$U$2,0)),"")</f>
        <v>1</v>
      </c>
      <c r="U30" s="21">
        <f>IFERROR(INDEX(Coefficients!$I$2:$U$41,MATCH(Routes!$N30,Coefficients!$T$2:$T$41,0),MATCH(Routes!U$2,Coefficients!$I$2:$U$2,0)),"")</f>
        <v>6</v>
      </c>
      <c r="V30" s="21" t="str">
        <f>IFERROR(INDEX(Coefficients!U:U,MATCH(Routes!N30,Coefficients!T:T,0)),"")</f>
        <v>Walk from South Station to The Daily Catch</v>
      </c>
    </row>
    <row r="31" spans="14:22" x14ac:dyDescent="0.35">
      <c r="N31" s="19" t="s">
        <v>69</v>
      </c>
      <c r="O31" s="21">
        <f t="shared" si="0"/>
        <v>8</v>
      </c>
      <c r="P31" s="21">
        <f t="shared" si="1"/>
        <v>1</v>
      </c>
      <c r="Q31" s="21">
        <f>IFERROR(INDEX(Coefficients!$I$2:$U$41,MATCH(Routes!$N31,Coefficients!$T$2:$T$41,0),MATCH(Routes!Q$2,Coefficients!$I$2:$U$2,0)),"")</f>
        <v>5</v>
      </c>
      <c r="R31" s="22">
        <f>IFERROR(INDEX(Coefficients!$I$2:$U$41,MATCH(Routes!$N31,Coefficients!$T$2:$T$41,0),MATCH(Routes!R$2,Coefficients!$I$2:$U$2,0)),"")</f>
        <v>0</v>
      </c>
      <c r="S31" s="21">
        <f>IFERROR(INDEX(Coefficients!$I$2:$U$41,MATCH(Routes!$N31,Coefficients!$T$2:$T$41,0),MATCH(Routes!S$2,Coefficients!$I$2:$U$2,0)),"")</f>
        <v>1</v>
      </c>
      <c r="T31" s="21">
        <f>IFERROR(INDEX(Coefficients!$I$2:$U$41,MATCH(Routes!$N31,Coefficients!$T$2:$T$41,0),MATCH(Routes!T$2,Coefficients!$I$2:$U$2,0)),"")</f>
        <v>1</v>
      </c>
      <c r="U31" s="21">
        <f>IFERROR(INDEX(Coefficients!$I$2:$U$41,MATCH(Routes!$N31,Coefficients!$T$2:$T$41,0),MATCH(Routes!U$2,Coefficients!$I$2:$U$2,0)),"")</f>
        <v>6</v>
      </c>
      <c r="V31" s="21" t="str">
        <f>IFERROR(INDEX(Coefficients!U:U,MATCH(Routes!N31,Coefficients!T:T,0)),"")</f>
        <v>Walk from 748 Columbus Ave to Ruggles Station</v>
      </c>
    </row>
    <row r="32" spans="14:22" x14ac:dyDescent="0.35">
      <c r="N32" s="19" t="s">
        <v>77</v>
      </c>
      <c r="O32" s="21">
        <f t="shared" si="0"/>
        <v>8</v>
      </c>
      <c r="P32" s="21">
        <f t="shared" si="1"/>
        <v>2</v>
      </c>
      <c r="Q32" s="21">
        <f>IFERROR(INDEX(Coefficients!$I$2:$U$41,MATCH(Routes!$N32,Coefficients!$T$2:$T$41,0),MATCH(Routes!Q$2,Coefficients!$I$2:$U$2,0)),"")</f>
        <v>10</v>
      </c>
      <c r="R32" s="22">
        <f>IFERROR(INDEX(Coefficients!$I$2:$U$41,MATCH(Routes!$N32,Coefficients!$T$2:$T$41,0),MATCH(Routes!R$2,Coefficients!$I$2:$U$2,0)),"")</f>
        <v>2.75</v>
      </c>
      <c r="S32" s="21">
        <f>IFERROR(INDEX(Coefficients!$I$2:$U$41,MATCH(Routes!$N32,Coefficients!$T$2:$T$41,0),MATCH(Routes!S$2,Coefficients!$I$2:$U$2,0)),"")</f>
        <v>0.93</v>
      </c>
      <c r="T32" s="21">
        <f>IFERROR(INDEX(Coefficients!$I$2:$U$41,MATCH(Routes!$N32,Coefficients!$T$2:$T$41,0),MATCH(Routes!T$2,Coefficients!$I$2:$U$2,0)),"")</f>
        <v>1</v>
      </c>
      <c r="U32" s="21">
        <f>IFERROR(INDEX(Coefficients!$I$2:$U$41,MATCH(Routes!$N32,Coefficients!$T$2:$T$41,0),MATCH(Routes!U$2,Coefficients!$I$2:$U$2,0)),"")</f>
        <v>7</v>
      </c>
      <c r="V32" s="21" t="str">
        <f>IFERROR(INDEX(Coefficients!U:U,MATCH(Routes!N32,Coefficients!T:T,0)),"")</f>
        <v>Orange Line from Ruggles Station to Downtown Crossing</v>
      </c>
    </row>
    <row r="33" spans="14:22" x14ac:dyDescent="0.35">
      <c r="N33" s="19" t="s">
        <v>81</v>
      </c>
      <c r="O33" s="21">
        <f t="shared" si="0"/>
        <v>8</v>
      </c>
      <c r="P33" s="21">
        <f t="shared" si="1"/>
        <v>3</v>
      </c>
      <c r="Q33" s="21">
        <f>IFERROR(INDEX(Coefficients!$I$2:$U$41,MATCH(Routes!$N33,Coefficients!$T$2:$T$41,0),MATCH(Routes!Q$2,Coefficients!$I$2:$U$2,0)),"")</f>
        <v>10</v>
      </c>
      <c r="R33" s="22">
        <f>IFERROR(INDEX(Coefficients!$I$2:$U$41,MATCH(Routes!$N33,Coefficients!$T$2:$T$41,0),MATCH(Routes!R$2,Coefficients!$I$2:$U$2,0)),"")</f>
        <v>0</v>
      </c>
      <c r="S33" s="21">
        <f>IFERROR(INDEX(Coefficients!$I$2:$U$41,MATCH(Routes!$N33,Coefficients!$T$2:$T$41,0),MATCH(Routes!S$2,Coefficients!$I$2:$U$2,0)),"")</f>
        <v>1</v>
      </c>
      <c r="T33" s="21">
        <f>IFERROR(INDEX(Coefficients!$I$2:$U$41,MATCH(Routes!$N33,Coefficients!$T$2:$T$41,0),MATCH(Routes!T$2,Coefficients!$I$2:$U$2,0)),"")</f>
        <v>1</v>
      </c>
      <c r="U33" s="21">
        <f>IFERROR(INDEX(Coefficients!$I$2:$U$41,MATCH(Routes!$N33,Coefficients!$T$2:$T$41,0),MATCH(Routes!U$2,Coefficients!$I$2:$U$2,0)),"")</f>
        <v>6</v>
      </c>
      <c r="V33" s="21" t="str">
        <f>IFERROR(INDEX(Coefficients!U:U,MATCH(Routes!N33,Coefficients!T:T,0)),"")</f>
        <v>Walk from Downtown Crossing to The Daily Catch</v>
      </c>
    </row>
    <row r="34" spans="14:22" x14ac:dyDescent="0.35">
      <c r="N34" s="19" t="s">
        <v>69</v>
      </c>
      <c r="O34" s="21">
        <f t="shared" si="0"/>
        <v>9</v>
      </c>
      <c r="P34" s="21">
        <f t="shared" si="1"/>
        <v>1</v>
      </c>
      <c r="Q34" s="21">
        <f>IFERROR(INDEX(Coefficients!$I$2:$U$41,MATCH(Routes!$N34,Coefficients!$T$2:$T$41,0),MATCH(Routes!Q$2,Coefficients!$I$2:$U$2,0)),"")</f>
        <v>5</v>
      </c>
      <c r="R34" s="22">
        <f>IFERROR(INDEX(Coefficients!$I$2:$U$41,MATCH(Routes!$N34,Coefficients!$T$2:$T$41,0),MATCH(Routes!R$2,Coefficients!$I$2:$U$2,0)),"")</f>
        <v>0</v>
      </c>
      <c r="S34" s="21">
        <f>IFERROR(INDEX(Coefficients!$I$2:$U$41,MATCH(Routes!$N34,Coefficients!$T$2:$T$41,0),MATCH(Routes!S$2,Coefficients!$I$2:$U$2,0)),"")</f>
        <v>1</v>
      </c>
      <c r="T34" s="21">
        <f>IFERROR(INDEX(Coefficients!$I$2:$U$41,MATCH(Routes!$N34,Coefficients!$T$2:$T$41,0),MATCH(Routes!T$2,Coefficients!$I$2:$U$2,0)),"")</f>
        <v>1</v>
      </c>
      <c r="U34" s="21">
        <f>IFERROR(INDEX(Coefficients!$I$2:$U$41,MATCH(Routes!$N34,Coefficients!$T$2:$T$41,0),MATCH(Routes!U$2,Coefficients!$I$2:$U$2,0)),"")</f>
        <v>6</v>
      </c>
      <c r="V34" s="21" t="str">
        <f>IFERROR(INDEX(Coefficients!U:U,MATCH(Routes!N34,Coefficients!T:T,0)),"")</f>
        <v>Walk from 748 Columbus Ave to Ruggles Station</v>
      </c>
    </row>
    <row r="35" spans="14:22" x14ac:dyDescent="0.35">
      <c r="N35" s="19" t="s">
        <v>77</v>
      </c>
      <c r="O35" s="21">
        <f t="shared" si="0"/>
        <v>9</v>
      </c>
      <c r="P35" s="21">
        <f t="shared" si="1"/>
        <v>2</v>
      </c>
      <c r="Q35" s="21">
        <f>IFERROR(INDEX(Coefficients!$I$2:$U$41,MATCH(Routes!$N35,Coefficients!$T$2:$T$41,0),MATCH(Routes!Q$2,Coefficients!$I$2:$U$2,0)),"")</f>
        <v>10</v>
      </c>
      <c r="R35" s="22">
        <f>IFERROR(INDEX(Coefficients!$I$2:$U$41,MATCH(Routes!$N35,Coefficients!$T$2:$T$41,0),MATCH(Routes!R$2,Coefficients!$I$2:$U$2,0)),"")</f>
        <v>2.75</v>
      </c>
      <c r="S35" s="21">
        <f>IFERROR(INDEX(Coefficients!$I$2:$U$41,MATCH(Routes!$N35,Coefficients!$T$2:$T$41,0),MATCH(Routes!S$2,Coefficients!$I$2:$U$2,0)),"")</f>
        <v>0.93</v>
      </c>
      <c r="T35" s="21">
        <f>IFERROR(INDEX(Coefficients!$I$2:$U$41,MATCH(Routes!$N35,Coefficients!$T$2:$T$41,0),MATCH(Routes!T$2,Coefficients!$I$2:$U$2,0)),"")</f>
        <v>1</v>
      </c>
      <c r="U35" s="21">
        <f>IFERROR(INDEX(Coefficients!$I$2:$U$41,MATCH(Routes!$N35,Coefficients!$T$2:$T$41,0),MATCH(Routes!U$2,Coefficients!$I$2:$U$2,0)),"")</f>
        <v>7</v>
      </c>
      <c r="V35" s="21" t="str">
        <f>IFERROR(INDEX(Coefficients!U:U,MATCH(Routes!N35,Coefficients!T:T,0)),"")</f>
        <v>Orange Line from Ruggles Station to Downtown Crossing</v>
      </c>
    </row>
    <row r="36" spans="14:22" x14ac:dyDescent="0.35">
      <c r="N36" s="19" t="s">
        <v>82</v>
      </c>
      <c r="O36" s="21">
        <f t="shared" si="0"/>
        <v>9</v>
      </c>
      <c r="P36" s="21">
        <f t="shared" si="1"/>
        <v>3</v>
      </c>
      <c r="Q36" s="21">
        <f>IFERROR(INDEX(Coefficients!$I$2:$U$41,MATCH(Routes!$N36,Coefficients!$T$2:$T$41,0),MATCH(Routes!Q$2,Coefficients!$I$2:$U$2,0)),"")</f>
        <v>2</v>
      </c>
      <c r="R36" s="22">
        <f>IFERROR(INDEX(Coefficients!$I$2:$U$41,MATCH(Routes!$N36,Coefficients!$T$2:$T$41,0),MATCH(Routes!R$2,Coefficients!$I$2:$U$2,0)),"")</f>
        <v>6</v>
      </c>
      <c r="S36" s="21">
        <f>IFERROR(INDEX(Coefficients!$I$2:$U$41,MATCH(Routes!$N36,Coefficients!$T$2:$T$41,0),MATCH(Routes!S$2,Coefficients!$I$2:$U$2,0)),"")</f>
        <v>1</v>
      </c>
      <c r="T36" s="21">
        <f>IFERROR(INDEX(Coefficients!$I$2:$U$41,MATCH(Routes!$N36,Coefficients!$T$2:$T$41,0),MATCH(Routes!T$2,Coefficients!$I$2:$U$2,0)),"")</f>
        <v>1</v>
      </c>
      <c r="U36" s="21">
        <f>IFERROR(INDEX(Coefficients!$I$2:$U$41,MATCH(Routes!$N36,Coefficients!$T$2:$T$41,0),MATCH(Routes!U$2,Coefficients!$I$2:$U$2,0)),"")</f>
        <v>6</v>
      </c>
      <c r="V36" s="21" t="str">
        <f>IFERROR(INDEX(Coefficients!U:U,MATCH(Routes!N36,Coefficients!T:T,0)),"")</f>
        <v>Walk from Downtown Crossing to Franklin St./ Arch St.</v>
      </c>
    </row>
    <row r="37" spans="14:22" x14ac:dyDescent="0.35">
      <c r="N37" s="19" t="s">
        <v>83</v>
      </c>
      <c r="O37" s="21">
        <f t="shared" si="0"/>
        <v>9</v>
      </c>
      <c r="P37" s="21">
        <f t="shared" si="1"/>
        <v>4</v>
      </c>
      <c r="Q37" s="21">
        <f>IFERROR(INDEX(Coefficients!$I$2:$U$41,MATCH(Routes!$N37,Coefficients!$T$2:$T$41,0),MATCH(Routes!Q$2,Coefficients!$I$2:$U$2,0)),"")</f>
        <v>6</v>
      </c>
      <c r="R37" s="22">
        <f>IFERROR(INDEX(Coefficients!$I$2:$U$41,MATCH(Routes!$N37,Coefficients!$T$2:$T$41,0),MATCH(Routes!R$2,Coefficients!$I$2:$U$2,0)),"")</f>
        <v>6</v>
      </c>
      <c r="S37" s="21">
        <f>IFERROR(INDEX(Coefficients!$I$2:$U$41,MATCH(Routes!$N37,Coefficients!$T$2:$T$41,0),MATCH(Routes!S$2,Coefficients!$I$2:$U$2,0)),"")</f>
        <v>0.9</v>
      </c>
      <c r="T37" s="21">
        <f>IFERROR(INDEX(Coefficients!$I$2:$U$41,MATCH(Routes!$N37,Coefficients!$T$2:$T$41,0),MATCH(Routes!T$2,Coefficients!$I$2:$U$2,0)),"")</f>
        <v>1</v>
      </c>
      <c r="U37" s="21">
        <f>IFERROR(INDEX(Coefficients!$I$2:$U$41,MATCH(Routes!$N37,Coefficients!$T$2:$T$41,0),MATCH(Routes!U$2,Coefficients!$I$2:$U$2,0)),"")</f>
        <v>7</v>
      </c>
      <c r="V37" s="21" t="str">
        <f>IFERROR(INDEX(Coefficients!U:U,MATCH(Routes!N37,Coefficients!T:T,0)),"")</f>
        <v>Hubway from Franklin St./ Arch St. to Watermark Seaport</v>
      </c>
    </row>
    <row r="38" spans="14:22" x14ac:dyDescent="0.35">
      <c r="N38" s="19" t="s">
        <v>84</v>
      </c>
      <c r="O38" s="21">
        <f t="shared" si="0"/>
        <v>9</v>
      </c>
      <c r="P38" s="21">
        <f t="shared" si="1"/>
        <v>5</v>
      </c>
      <c r="Q38" s="21">
        <f>IFERROR(INDEX(Coefficients!$I$2:$U$41,MATCH(Routes!$N38,Coefficients!$T$2:$T$41,0),MATCH(Routes!Q$2,Coefficients!$I$2:$U$2,0)),"")</f>
        <v>2</v>
      </c>
      <c r="R38" s="22">
        <f>IFERROR(INDEX(Coefficients!$I$2:$U$41,MATCH(Routes!$N38,Coefficients!$T$2:$T$41,0),MATCH(Routes!R$2,Coefficients!$I$2:$U$2,0)),"")</f>
        <v>0</v>
      </c>
      <c r="S38" s="21">
        <f>IFERROR(INDEX(Coefficients!$I$2:$U$41,MATCH(Routes!$N38,Coefficients!$T$2:$T$41,0),MATCH(Routes!S$2,Coefficients!$I$2:$U$2,0)),"")</f>
        <v>1</v>
      </c>
      <c r="T38" s="21">
        <f>IFERROR(INDEX(Coefficients!$I$2:$U$41,MATCH(Routes!$N38,Coefficients!$T$2:$T$41,0),MATCH(Routes!T$2,Coefficients!$I$2:$U$2,0)),"")</f>
        <v>1</v>
      </c>
      <c r="U38" s="21">
        <f>IFERROR(INDEX(Coefficients!$I$2:$U$41,MATCH(Routes!$N38,Coefficients!$T$2:$T$41,0),MATCH(Routes!U$2,Coefficients!$I$2:$U$2,0)),"")</f>
        <v>6</v>
      </c>
      <c r="V38" s="21" t="str">
        <f>IFERROR(INDEX(Coefficients!U:U,MATCH(Routes!N38,Coefficients!T:T,0)),"")</f>
        <v>Walk from Watermark Seaport to The Daily Catch</v>
      </c>
    </row>
    <row r="39" spans="14:22" x14ac:dyDescent="0.35">
      <c r="N39" s="19" t="s">
        <v>69</v>
      </c>
      <c r="O39" s="21">
        <f t="shared" si="0"/>
        <v>10</v>
      </c>
      <c r="P39" s="21">
        <f t="shared" si="1"/>
        <v>1</v>
      </c>
      <c r="Q39" s="21">
        <f>IFERROR(INDEX(Coefficients!$I$2:$U$41,MATCH(Routes!$N39,Coefficients!$T$2:$T$41,0),MATCH(Routes!Q$2,Coefficients!$I$2:$U$2,0)),"")</f>
        <v>5</v>
      </c>
      <c r="R39" s="22">
        <f>IFERROR(INDEX(Coefficients!$I$2:$U$41,MATCH(Routes!$N39,Coefficients!$T$2:$T$41,0),MATCH(Routes!R$2,Coefficients!$I$2:$U$2,0)),"")</f>
        <v>0</v>
      </c>
      <c r="S39" s="21">
        <f>IFERROR(INDEX(Coefficients!$I$2:$U$41,MATCH(Routes!$N39,Coefficients!$T$2:$T$41,0),MATCH(Routes!S$2,Coefficients!$I$2:$U$2,0)),"")</f>
        <v>1</v>
      </c>
      <c r="T39" s="21">
        <f>IFERROR(INDEX(Coefficients!$I$2:$U$41,MATCH(Routes!$N39,Coefficients!$T$2:$T$41,0),MATCH(Routes!T$2,Coefficients!$I$2:$U$2,0)),"")</f>
        <v>1</v>
      </c>
      <c r="U39" s="21">
        <f>IFERROR(INDEX(Coefficients!$I$2:$U$41,MATCH(Routes!$N39,Coefficients!$T$2:$T$41,0),MATCH(Routes!U$2,Coefficients!$I$2:$U$2,0)),"")</f>
        <v>6</v>
      </c>
      <c r="V39" s="21" t="str">
        <f>IFERROR(INDEX(Coefficients!U:U,MATCH(Routes!N39,Coefficients!T:T,0)),"")</f>
        <v>Walk from 748 Columbus Ave to Ruggles Station</v>
      </c>
    </row>
    <row r="40" spans="14:22" x14ac:dyDescent="0.35">
      <c r="N40" s="19" t="s">
        <v>85</v>
      </c>
      <c r="O40" s="21">
        <f t="shared" si="0"/>
        <v>10</v>
      </c>
      <c r="P40" s="21">
        <f t="shared" si="1"/>
        <v>2</v>
      </c>
      <c r="Q40" s="21">
        <f>IFERROR(INDEX(Coefficients!$I$2:$U$41,MATCH(Routes!$N40,Coefficients!$T$2:$T$41,0),MATCH(Routes!Q$2,Coefficients!$I$2:$U$2,0)),"")</f>
        <v>23</v>
      </c>
      <c r="R40" s="22">
        <f>IFERROR(INDEX(Coefficients!$I$2:$U$41,MATCH(Routes!$N40,Coefficients!$T$2:$T$41,0),MATCH(Routes!R$2,Coefficients!$I$2:$U$2,0)),"")</f>
        <v>6</v>
      </c>
      <c r="S40" s="21">
        <f>IFERROR(INDEX(Coefficients!$I$2:$U$41,MATCH(Routes!$N40,Coefficients!$T$2:$T$41,0),MATCH(Routes!S$2,Coefficients!$I$2:$U$2,0)),"")</f>
        <v>0.9</v>
      </c>
      <c r="T40" s="21">
        <f>IFERROR(INDEX(Coefficients!$I$2:$U$41,MATCH(Routes!$N40,Coefficients!$T$2:$T$41,0),MATCH(Routes!T$2,Coefficients!$I$2:$U$2,0)),"")</f>
        <v>1</v>
      </c>
      <c r="U40" s="21">
        <f>IFERROR(INDEX(Coefficients!$I$2:$U$41,MATCH(Routes!$N40,Coefficients!$T$2:$T$41,0),MATCH(Routes!U$2,Coefficients!$I$2:$U$2,0)),"")</f>
        <v>7</v>
      </c>
      <c r="V40" s="21" t="str">
        <f>IFERROR(INDEX(Coefficients!U:U,MATCH(Routes!N40,Coefficients!T:T,0)),"")</f>
        <v>Hubway from Ruggles Station to Watermark Seaport</v>
      </c>
    </row>
    <row r="41" spans="14:22" x14ac:dyDescent="0.35">
      <c r="N41" s="19" t="s">
        <v>84</v>
      </c>
      <c r="O41" s="21">
        <f t="shared" si="0"/>
        <v>10</v>
      </c>
      <c r="P41" s="21">
        <f t="shared" si="1"/>
        <v>3</v>
      </c>
      <c r="Q41" s="21">
        <f>IFERROR(INDEX(Coefficients!$I$2:$U$41,MATCH(Routes!$N41,Coefficients!$T$2:$T$41,0),MATCH(Routes!Q$2,Coefficients!$I$2:$U$2,0)),"")</f>
        <v>2</v>
      </c>
      <c r="R41" s="22">
        <f>IFERROR(INDEX(Coefficients!$I$2:$U$41,MATCH(Routes!$N41,Coefficients!$T$2:$T$41,0),MATCH(Routes!R$2,Coefficients!$I$2:$U$2,0)),"")</f>
        <v>0</v>
      </c>
      <c r="S41" s="21">
        <f>IFERROR(INDEX(Coefficients!$I$2:$U$41,MATCH(Routes!$N41,Coefficients!$T$2:$T$41,0),MATCH(Routes!S$2,Coefficients!$I$2:$U$2,0)),"")</f>
        <v>1</v>
      </c>
      <c r="T41" s="21">
        <f>IFERROR(INDEX(Coefficients!$I$2:$U$41,MATCH(Routes!$N41,Coefficients!$T$2:$T$41,0),MATCH(Routes!T$2,Coefficients!$I$2:$U$2,0)),"")</f>
        <v>1</v>
      </c>
      <c r="U41" s="21">
        <f>IFERROR(INDEX(Coefficients!$I$2:$U$41,MATCH(Routes!$N41,Coefficients!$T$2:$T$41,0),MATCH(Routes!U$2,Coefficients!$I$2:$U$2,0)),"")</f>
        <v>6</v>
      </c>
      <c r="V41" s="21" t="str">
        <f>IFERROR(INDEX(Coefficients!U:U,MATCH(Routes!N41,Coefficients!T:T,0)),"")</f>
        <v>Walk from Watermark Seaport to The Daily Catch</v>
      </c>
    </row>
    <row r="42" spans="14:22" x14ac:dyDescent="0.35">
      <c r="N42" s="19" t="s">
        <v>86</v>
      </c>
      <c r="O42" s="21">
        <f t="shared" si="0"/>
        <v>11</v>
      </c>
      <c r="P42" s="21">
        <f t="shared" si="1"/>
        <v>1</v>
      </c>
      <c r="Q42" s="21">
        <f>IFERROR(INDEX(Coefficients!$I$2:$U$41,MATCH(Routes!$N42,Coefficients!$T$2:$T$41,0),MATCH(Routes!Q$2,Coefficients!$I$2:$U$2,0)),"")</f>
        <v>19</v>
      </c>
      <c r="R42" s="22">
        <f>IFERROR(INDEX(Coefficients!$I$2:$U$41,MATCH(Routes!$N42,Coefficients!$T$2:$T$41,0),MATCH(Routes!R$2,Coefficients!$I$2:$U$2,0)),"")</f>
        <v>36</v>
      </c>
      <c r="S42" s="21">
        <f>IFERROR(INDEX(Coefficients!$I$2:$U$41,MATCH(Routes!$N42,Coefficients!$T$2:$T$41,0),MATCH(Routes!S$2,Coefficients!$I$2:$U$2,0)),"")</f>
        <v>0.9</v>
      </c>
      <c r="T42" s="21">
        <f>IFERROR(INDEX(Coefficients!$I$2:$U$41,MATCH(Routes!$N42,Coefficients!$T$2:$T$41,0),MATCH(Routes!T$2,Coefficients!$I$2:$U$2,0)),"")</f>
        <v>1</v>
      </c>
      <c r="U42" s="21">
        <f>IFERROR(INDEX(Coefficients!$I$2:$U$41,MATCH(Routes!$N42,Coefficients!$T$2:$T$41,0),MATCH(Routes!U$2,Coefficients!$I$2:$U$2,0)),"")</f>
        <v>10</v>
      </c>
      <c r="V42" s="21" t="str">
        <f>IFERROR(INDEX(Coefficients!U:U,MATCH(Routes!N42,Coefficients!T:T,0)),"")</f>
        <v>Drive from 748 Columbus Ave to 70 Sleeper St.</v>
      </c>
    </row>
    <row r="43" spans="14:22" x14ac:dyDescent="0.35">
      <c r="N43" s="19" t="s">
        <v>87</v>
      </c>
      <c r="O43" s="21">
        <f t="shared" si="0"/>
        <v>11</v>
      </c>
      <c r="P43" s="21">
        <f t="shared" si="1"/>
        <v>2</v>
      </c>
      <c r="Q43" s="21">
        <f>IFERROR(INDEX(Coefficients!$I$2:$U$41,MATCH(Routes!$N43,Coefficients!$T$2:$T$41,0),MATCH(Routes!Q$2,Coefficients!$I$2:$U$2,0)),"")</f>
        <v>1</v>
      </c>
      <c r="R43" s="22">
        <f>IFERROR(INDEX(Coefficients!$I$2:$U$41,MATCH(Routes!$N43,Coefficients!$T$2:$T$41,0),MATCH(Routes!R$2,Coefficients!$I$2:$U$2,0)),"")</f>
        <v>0</v>
      </c>
      <c r="S43" s="21">
        <f>IFERROR(INDEX(Coefficients!$I$2:$U$41,MATCH(Routes!$N43,Coefficients!$T$2:$T$41,0),MATCH(Routes!S$2,Coefficients!$I$2:$U$2,0)),"")</f>
        <v>1</v>
      </c>
      <c r="T43" s="21">
        <f>IFERROR(INDEX(Coefficients!$I$2:$U$41,MATCH(Routes!$N43,Coefficients!$T$2:$T$41,0),MATCH(Routes!T$2,Coefficients!$I$2:$U$2,0)),"")</f>
        <v>1</v>
      </c>
      <c r="U43" s="21">
        <f>IFERROR(INDEX(Coefficients!$I$2:$U$41,MATCH(Routes!$N43,Coefficients!$T$2:$T$41,0),MATCH(Routes!U$2,Coefficients!$I$2:$U$2,0)),"")</f>
        <v>6</v>
      </c>
      <c r="V43" s="21" t="str">
        <f>IFERROR(INDEX(Coefficients!U:U,MATCH(Routes!N43,Coefficients!T:T,0)),"")</f>
        <v>Walk from 70 Sleeper St. to The Daily Catch</v>
      </c>
    </row>
    <row r="44" spans="14:22" x14ac:dyDescent="0.35">
      <c r="N44" s="19" t="s">
        <v>88</v>
      </c>
      <c r="O44" s="21">
        <f t="shared" si="0"/>
        <v>12</v>
      </c>
      <c r="P44" s="21">
        <f t="shared" si="1"/>
        <v>1</v>
      </c>
      <c r="Q44" s="21">
        <f>IFERROR(INDEX(Coefficients!$I$2:$U$41,MATCH(Routes!$N44,Coefficients!$T$2:$T$41,0),MATCH(Routes!Q$2,Coefficients!$I$2:$U$2,0)),"")</f>
        <v>17</v>
      </c>
      <c r="R44" s="22">
        <f>IFERROR(INDEX(Coefficients!$I$2:$U$41,MATCH(Routes!$N44,Coefficients!$T$2:$T$41,0),MATCH(Routes!R$2,Coefficients!$I$2:$U$2,0)),"")</f>
        <v>9.19</v>
      </c>
      <c r="S44" s="21">
        <f>IFERROR(INDEX(Coefficients!$I$2:$U$41,MATCH(Routes!$N44,Coefficients!$T$2:$T$41,0),MATCH(Routes!S$2,Coefficients!$I$2:$U$2,0)),"")</f>
        <v>0.9</v>
      </c>
      <c r="T44" s="21">
        <f>IFERROR(INDEX(Coefficients!$I$2:$U$41,MATCH(Routes!$N44,Coefficients!$T$2:$T$41,0),MATCH(Routes!T$2,Coefficients!$I$2:$U$2,0)),"")</f>
        <v>1</v>
      </c>
      <c r="U44" s="21">
        <f>IFERROR(INDEX(Coefficients!$I$2:$U$41,MATCH(Routes!$N44,Coefficients!$T$2:$T$41,0),MATCH(Routes!U$2,Coefficients!$I$2:$U$2,0)),"")</f>
        <v>10</v>
      </c>
      <c r="V44" s="21" t="str">
        <f>IFERROR(INDEX(Coefficients!U:U,MATCH(Routes!N44,Coefficients!T:T,0)),"")</f>
        <v>Uber from 748 Columbus Ave to The Daily Catch</v>
      </c>
    </row>
    <row r="45" spans="14:22" x14ac:dyDescent="0.35">
      <c r="N45" s="19" t="s">
        <v>89</v>
      </c>
      <c r="O45" s="21">
        <f t="shared" si="0"/>
        <v>13</v>
      </c>
      <c r="P45" s="21">
        <f t="shared" si="1"/>
        <v>1</v>
      </c>
      <c r="Q45" s="21">
        <f>IFERROR(INDEX(Coefficients!$I$2:$U$41,MATCH(Routes!$N45,Coefficients!$T$2:$T$41,0),MATCH(Routes!Q$2,Coefficients!$I$2:$U$2,0)),"")</f>
        <v>22</v>
      </c>
      <c r="R45" s="22">
        <f>IFERROR(INDEX(Coefficients!$I$2:$U$41,MATCH(Routes!$N45,Coefficients!$T$2:$T$41,0),MATCH(Routes!R$2,Coefficients!$I$2:$U$2,0)),"")</f>
        <v>0</v>
      </c>
      <c r="S45" s="21">
        <f>IFERROR(INDEX(Coefficients!$I$2:$U$41,MATCH(Routes!$N45,Coefficients!$T$2:$T$41,0),MATCH(Routes!S$2,Coefficients!$I$2:$U$2,0)),"")</f>
        <v>0.95</v>
      </c>
      <c r="T45" s="21">
        <f>IFERROR(INDEX(Coefficients!$I$2:$U$41,MATCH(Routes!$N45,Coefficients!$T$2:$T$41,0),MATCH(Routes!T$2,Coefficients!$I$2:$U$2,0)),"")</f>
        <v>1</v>
      </c>
      <c r="U45" s="21">
        <f>IFERROR(INDEX(Coefficients!$I$2:$U$41,MATCH(Routes!$N45,Coefficients!$T$2:$T$41,0),MATCH(Routes!U$2,Coefficients!$I$2:$U$2,0)),"")</f>
        <v>1</v>
      </c>
      <c r="V45" s="21" t="str">
        <f>IFERROR(INDEX(Coefficients!U:U,MATCH(Routes!N45,Coefficients!T:T,0)),"")</f>
        <v>Bike from 748 Columbus Ave to The Daily Catch</v>
      </c>
    </row>
    <row r="46" spans="14:22" x14ac:dyDescent="0.35">
      <c r="N46" s="19" t="s">
        <v>90</v>
      </c>
      <c r="O46" s="21">
        <f t="shared" si="0"/>
        <v>14</v>
      </c>
      <c r="P46" s="21">
        <f t="shared" si="1"/>
        <v>1</v>
      </c>
      <c r="Q46" s="21">
        <f>IFERROR(INDEX(Coefficients!$I$2:$U$41,MATCH(Routes!$N46,Coefficients!$T$2:$T$41,0),MATCH(Routes!Q$2,Coefficients!$I$2:$U$2,0)),"")</f>
        <v>55</v>
      </c>
      <c r="R46" s="22">
        <f>IFERROR(INDEX(Coefficients!$I$2:$U$41,MATCH(Routes!$N46,Coefficients!$T$2:$T$41,0),MATCH(Routes!R$2,Coefficients!$I$2:$U$2,0)),"")</f>
        <v>0</v>
      </c>
      <c r="S46" s="21">
        <f>IFERROR(INDEX(Coefficients!$I$2:$U$41,MATCH(Routes!$N46,Coefficients!$T$2:$T$41,0),MATCH(Routes!S$2,Coefficients!$I$2:$U$2,0)),"")</f>
        <v>1</v>
      </c>
      <c r="T46" s="21">
        <f>IFERROR(INDEX(Coefficients!$I$2:$U$41,MATCH(Routes!$N46,Coefficients!$T$2:$T$41,0),MATCH(Routes!T$2,Coefficients!$I$2:$U$2,0)),"")</f>
        <v>1</v>
      </c>
      <c r="U46" s="21">
        <f>IFERROR(INDEX(Coefficients!$I$2:$U$41,MATCH(Routes!$N46,Coefficients!$T$2:$T$41,0),MATCH(Routes!U$2,Coefficients!$I$2:$U$2,0)),"")</f>
        <v>6</v>
      </c>
      <c r="V46" s="21" t="str">
        <f>IFERROR(INDEX(Coefficients!U:U,MATCH(Routes!N46,Coefficients!T:T,0)),"")</f>
        <v>Walk from 748 Columbus Ave to The Daily Catch</v>
      </c>
    </row>
    <row r="47" spans="14:22" x14ac:dyDescent="0.35">
      <c r="N47" s="19"/>
      <c r="O47" s="21" t="str">
        <f t="shared" si="0"/>
        <v/>
      </c>
      <c r="P47" s="21" t="str">
        <f t="shared" si="1"/>
        <v/>
      </c>
      <c r="Q47" s="21" t="str">
        <f>IFERROR(INDEX(Coefficients!$I$2:$U$41,MATCH(Routes!$N47,Coefficients!$T$2:$T$41,0),MATCH(Routes!Q$2,Coefficients!$I$2:$U$2,0)),"")</f>
        <v/>
      </c>
      <c r="R47" s="22" t="str">
        <f>IFERROR(INDEX(Coefficients!$I$2:$U$41,MATCH(Routes!$N47,Coefficients!$T$2:$T$41,0),MATCH(Routes!R$2,Coefficients!$I$2:$U$2,0)),"")</f>
        <v/>
      </c>
      <c r="S47" s="21" t="str">
        <f>IFERROR(INDEX(Coefficients!$I$2:$U$41,MATCH(Routes!$N47,Coefficients!$T$2:$T$41,0),MATCH(Routes!S$2,Coefficients!$I$2:$U$2,0)),"")</f>
        <v/>
      </c>
      <c r="T47" s="21" t="str">
        <f>IFERROR(INDEX(Coefficients!$I$2:$U$41,MATCH(Routes!$N47,Coefficients!$T$2:$T$41,0),MATCH(Routes!T$2,Coefficients!$I$2:$U$2,0)),"")</f>
        <v/>
      </c>
      <c r="U47" s="21" t="str">
        <f>IFERROR(INDEX(Coefficients!$I$2:$U$41,MATCH(Routes!$N47,Coefficients!$T$2:$T$41,0),MATCH(Routes!U$2,Coefficients!$I$2:$U$2,0)),"")</f>
        <v/>
      </c>
      <c r="V47" s="21" t="str">
        <f>IFERROR(INDEX(Coefficients!U:U,MATCH(Routes!N47,Coefficients!T:T,0)),"")</f>
        <v/>
      </c>
    </row>
    <row r="48" spans="14:22" x14ac:dyDescent="0.2">
      <c r="N48" s="19"/>
      <c r="O48" s="21" t="str">
        <f t="shared" si="0"/>
        <v/>
      </c>
      <c r="P48" s="21" t="str">
        <f t="shared" si="1"/>
        <v/>
      </c>
      <c r="Q48" s="21" t="str">
        <f>IFERROR(INDEX(Coefficients!$I$2:$U$41,MATCH(Routes!$N48,Coefficients!$T$2:$T$41,0),MATCH(Routes!Q$2,Coefficients!$I$2:$U$2,0)),"")</f>
        <v/>
      </c>
      <c r="R48" s="22" t="str">
        <f>IFERROR(INDEX(Coefficients!$I$2:$U$41,MATCH(Routes!$N48,Coefficients!$T$2:$T$41,0),MATCH(Routes!R$2,Coefficients!$I$2:$U$2,0)),"")</f>
        <v/>
      </c>
      <c r="S48" s="21" t="str">
        <f>IFERROR(INDEX(Coefficients!$I$2:$U$41,MATCH(Routes!$N48,Coefficients!$T$2:$T$41,0),MATCH(Routes!S$2,Coefficients!$I$2:$U$2,0)),"")</f>
        <v/>
      </c>
      <c r="T48" s="21" t="str">
        <f>IFERROR(INDEX(Coefficients!$I$2:$U$41,MATCH(Routes!$N48,Coefficients!$T$2:$T$41,0),MATCH(Routes!T$2,Coefficients!$I$2:$U$2,0)),"")</f>
        <v/>
      </c>
      <c r="U48" s="21" t="str">
        <f>IFERROR(INDEX(Coefficients!$I$2:$U$41,MATCH(Routes!$N48,Coefficients!$T$2:$T$41,0),MATCH(Routes!U$2,Coefficients!$I$2:$U$2,0)),"")</f>
        <v/>
      </c>
      <c r="V48" s="21" t="str">
        <f>IFERROR(INDEX(Coefficients!U:U,MATCH(Routes!N48,Coefficients!T:T,0)),"")</f>
        <v/>
      </c>
    </row>
    <row r="49" spans="14:22" x14ac:dyDescent="0.2">
      <c r="N49" s="19"/>
      <c r="O49" s="21" t="str">
        <f t="shared" si="0"/>
        <v/>
      </c>
      <c r="P49" s="21" t="str">
        <f t="shared" si="1"/>
        <v/>
      </c>
      <c r="Q49" s="21" t="str">
        <f>IFERROR(INDEX(Coefficients!$I$2:$U$41,MATCH(Routes!$N49,Coefficients!$T$2:$T$41,0),MATCH(Routes!Q$2,Coefficients!$I$2:$U$2,0)),"")</f>
        <v/>
      </c>
      <c r="R49" s="22" t="str">
        <f>IFERROR(INDEX(Coefficients!$I$2:$U$41,MATCH(Routes!$N49,Coefficients!$T$2:$T$41,0),MATCH(Routes!R$2,Coefficients!$I$2:$U$2,0)),"")</f>
        <v/>
      </c>
      <c r="S49" s="21" t="str">
        <f>IFERROR(INDEX(Coefficients!$I$2:$U$41,MATCH(Routes!$N49,Coefficients!$T$2:$T$41,0),MATCH(Routes!S$2,Coefficients!$I$2:$U$2,0)),"")</f>
        <v/>
      </c>
      <c r="T49" s="21" t="str">
        <f>IFERROR(INDEX(Coefficients!$I$2:$U$41,MATCH(Routes!$N49,Coefficients!$T$2:$T$41,0),MATCH(Routes!T$2,Coefficients!$I$2:$U$2,0)),"")</f>
        <v/>
      </c>
      <c r="U49" s="21" t="str">
        <f>IFERROR(INDEX(Coefficients!$I$2:$U$41,MATCH(Routes!$N49,Coefficients!$T$2:$T$41,0),MATCH(Routes!U$2,Coefficients!$I$2:$U$2,0)),"")</f>
        <v/>
      </c>
      <c r="V49" s="21" t="str">
        <f>IFERROR(INDEX(Coefficients!U:U,MATCH(Routes!N49,Coefficients!T:T,0)),"")</f>
        <v/>
      </c>
    </row>
    <row r="50" spans="14:22" x14ac:dyDescent="0.2">
      <c r="N50" s="19"/>
      <c r="O50" s="21" t="str">
        <f t="shared" si="0"/>
        <v/>
      </c>
      <c r="P50" s="21" t="str">
        <f t="shared" si="1"/>
        <v/>
      </c>
      <c r="Q50" s="21" t="str">
        <f>IFERROR(INDEX(Coefficients!$I$2:$U$41,MATCH(Routes!$N50,Coefficients!$T$2:$T$41,0),MATCH(Routes!Q$2,Coefficients!$I$2:$U$2,0)),"")</f>
        <v/>
      </c>
      <c r="R50" s="22" t="str">
        <f>IFERROR(INDEX(Coefficients!$I$2:$U$41,MATCH(Routes!$N50,Coefficients!$T$2:$T$41,0),MATCH(Routes!R$2,Coefficients!$I$2:$U$2,0)),"")</f>
        <v/>
      </c>
      <c r="S50" s="21" t="str">
        <f>IFERROR(INDEX(Coefficients!$I$2:$U$41,MATCH(Routes!$N50,Coefficients!$T$2:$T$41,0),MATCH(Routes!S$2,Coefficients!$I$2:$U$2,0)),"")</f>
        <v/>
      </c>
      <c r="T50" s="21" t="str">
        <f>IFERROR(INDEX(Coefficients!$I$2:$U$41,MATCH(Routes!$N50,Coefficients!$T$2:$T$41,0),MATCH(Routes!T$2,Coefficients!$I$2:$U$2,0)),"")</f>
        <v/>
      </c>
      <c r="U50" s="21" t="str">
        <f>IFERROR(INDEX(Coefficients!$I$2:$U$41,MATCH(Routes!$N50,Coefficients!$T$2:$T$41,0),MATCH(Routes!U$2,Coefficients!$I$2:$U$2,0)),"")</f>
        <v/>
      </c>
      <c r="V50" s="21" t="str">
        <f>IFERROR(INDEX(Coefficients!U:U,MATCH(Routes!N50,Coefficients!T:T,0)),"")</f>
        <v/>
      </c>
    </row>
    <row r="51" spans="14:22" x14ac:dyDescent="0.2">
      <c r="N51" s="19"/>
      <c r="O51" s="21" t="str">
        <f t="shared" si="0"/>
        <v/>
      </c>
      <c r="P51" s="21" t="str">
        <f t="shared" si="1"/>
        <v/>
      </c>
      <c r="Q51" s="21" t="str">
        <f>IFERROR(INDEX(Coefficients!$I$2:$U$41,MATCH(Routes!$N51,Coefficients!$T$2:$T$41,0),MATCH(Routes!Q$2,Coefficients!$I$2:$U$2,0)),"")</f>
        <v/>
      </c>
      <c r="R51" s="22" t="str">
        <f>IFERROR(INDEX(Coefficients!$I$2:$U$41,MATCH(Routes!$N51,Coefficients!$T$2:$T$41,0),MATCH(Routes!R$2,Coefficients!$I$2:$U$2,0)),"")</f>
        <v/>
      </c>
      <c r="S51" s="21" t="str">
        <f>IFERROR(INDEX(Coefficients!$I$2:$U$41,MATCH(Routes!$N51,Coefficients!$T$2:$T$41,0),MATCH(Routes!S$2,Coefficients!$I$2:$U$2,0)),"")</f>
        <v/>
      </c>
      <c r="T51" s="21" t="str">
        <f>IFERROR(INDEX(Coefficients!$I$2:$U$41,MATCH(Routes!$N51,Coefficients!$T$2:$T$41,0),MATCH(Routes!T$2,Coefficients!$I$2:$U$2,0)),"")</f>
        <v/>
      </c>
      <c r="U51" s="21" t="str">
        <f>IFERROR(INDEX(Coefficients!$I$2:$U$41,MATCH(Routes!$N51,Coefficients!$T$2:$T$41,0),MATCH(Routes!U$2,Coefficients!$I$2:$U$2,0)),"")</f>
        <v/>
      </c>
      <c r="V51" s="21" t="str">
        <f>IFERROR(INDEX(Coefficients!U:U,MATCH(Routes!N51,Coefficients!T:T,0)),"")</f>
        <v/>
      </c>
    </row>
    <row r="52" spans="14:22" x14ac:dyDescent="0.2">
      <c r="N52" s="19"/>
      <c r="O52" s="21" t="str">
        <f t="shared" si="0"/>
        <v/>
      </c>
      <c r="P52" s="21" t="str">
        <f t="shared" si="1"/>
        <v/>
      </c>
      <c r="Q52" s="21" t="str">
        <f>IFERROR(INDEX(Coefficients!$I$2:$U$41,MATCH(Routes!$N52,Coefficients!$T$2:$T$41,0),MATCH(Routes!Q$2,Coefficients!$I$2:$U$2,0)),"")</f>
        <v/>
      </c>
      <c r="R52" s="22" t="str">
        <f>IFERROR(INDEX(Coefficients!$I$2:$U$41,MATCH(Routes!$N52,Coefficients!$T$2:$T$41,0),MATCH(Routes!R$2,Coefficients!$I$2:$U$2,0)),"")</f>
        <v/>
      </c>
      <c r="S52" s="21" t="str">
        <f>IFERROR(INDEX(Coefficients!$I$2:$U$41,MATCH(Routes!$N52,Coefficients!$T$2:$T$41,0),MATCH(Routes!S$2,Coefficients!$I$2:$U$2,0)),"")</f>
        <v/>
      </c>
      <c r="T52" s="21" t="str">
        <f>IFERROR(INDEX(Coefficients!$I$2:$U$41,MATCH(Routes!$N52,Coefficients!$T$2:$T$41,0),MATCH(Routes!T$2,Coefficients!$I$2:$U$2,0)),"")</f>
        <v/>
      </c>
      <c r="U52" s="21" t="str">
        <f>IFERROR(INDEX(Coefficients!$I$2:$U$41,MATCH(Routes!$N52,Coefficients!$T$2:$T$41,0),MATCH(Routes!U$2,Coefficients!$I$2:$U$2,0)),"")</f>
        <v/>
      </c>
      <c r="V52" s="21" t="str">
        <f>IFERROR(INDEX(Coefficients!U:U,MATCH(Routes!N52,Coefficients!T:T,0)),"")</f>
        <v/>
      </c>
    </row>
    <row r="53" spans="14:22" x14ac:dyDescent="0.2">
      <c r="N53" s="19"/>
      <c r="O53" s="21" t="str">
        <f t="shared" si="0"/>
        <v/>
      </c>
      <c r="P53" s="21" t="str">
        <f t="shared" si="1"/>
        <v/>
      </c>
      <c r="Q53" s="21" t="str">
        <f>IFERROR(INDEX(Coefficients!$I$2:$U$41,MATCH(Routes!$N53,Coefficients!$T$2:$T$41,0),MATCH(Routes!Q$2,Coefficients!$I$2:$U$2,0)),"")</f>
        <v/>
      </c>
      <c r="R53" s="22" t="str">
        <f>IFERROR(INDEX(Coefficients!$I$2:$U$41,MATCH(Routes!$N53,Coefficients!$T$2:$T$41,0),MATCH(Routes!R$2,Coefficients!$I$2:$U$2,0)),"")</f>
        <v/>
      </c>
      <c r="S53" s="21" t="str">
        <f>IFERROR(INDEX(Coefficients!$I$2:$U$41,MATCH(Routes!$N53,Coefficients!$T$2:$T$41,0),MATCH(Routes!S$2,Coefficients!$I$2:$U$2,0)),"")</f>
        <v/>
      </c>
      <c r="T53" s="21" t="str">
        <f>IFERROR(INDEX(Coefficients!$I$2:$U$41,MATCH(Routes!$N53,Coefficients!$T$2:$T$41,0),MATCH(Routes!T$2,Coefficients!$I$2:$U$2,0)),"")</f>
        <v/>
      </c>
      <c r="U53" s="21" t="str">
        <f>IFERROR(INDEX(Coefficients!$I$2:$U$41,MATCH(Routes!$N53,Coefficients!$T$2:$T$41,0),MATCH(Routes!U$2,Coefficients!$I$2:$U$2,0)),"")</f>
        <v/>
      </c>
      <c r="V53" s="21" t="str">
        <f>IFERROR(INDEX(Coefficients!U:U,MATCH(Routes!N53,Coefficients!T:T,0)),"")</f>
        <v/>
      </c>
    </row>
    <row r="54" spans="14:22" x14ac:dyDescent="0.2">
      <c r="N54" s="19"/>
      <c r="O54" s="21" t="str">
        <f t="shared" si="0"/>
        <v/>
      </c>
      <c r="P54" s="21" t="str">
        <f t="shared" si="1"/>
        <v/>
      </c>
      <c r="Q54" s="21" t="str">
        <f>IFERROR(INDEX(Coefficients!$I$2:$U$41,MATCH(Routes!$N54,Coefficients!$T$2:$T$41,0),MATCH(Routes!Q$2,Coefficients!$I$2:$U$2,0)),"")</f>
        <v/>
      </c>
      <c r="R54" s="22" t="str">
        <f>IFERROR(INDEX(Coefficients!$I$2:$U$41,MATCH(Routes!$N54,Coefficients!$T$2:$T$41,0),MATCH(Routes!R$2,Coefficients!$I$2:$U$2,0)),"")</f>
        <v/>
      </c>
      <c r="S54" s="21" t="str">
        <f>IFERROR(INDEX(Coefficients!$I$2:$U$41,MATCH(Routes!$N54,Coefficients!$T$2:$T$41,0),MATCH(Routes!S$2,Coefficients!$I$2:$U$2,0)),"")</f>
        <v/>
      </c>
      <c r="T54" s="21" t="str">
        <f>IFERROR(INDEX(Coefficients!$I$2:$U$41,MATCH(Routes!$N54,Coefficients!$T$2:$T$41,0),MATCH(Routes!T$2,Coefficients!$I$2:$U$2,0)),"")</f>
        <v/>
      </c>
      <c r="U54" s="21" t="str">
        <f>IFERROR(INDEX(Coefficients!$I$2:$U$41,MATCH(Routes!$N54,Coefficients!$T$2:$T$41,0),MATCH(Routes!U$2,Coefficients!$I$2:$U$2,0)),"")</f>
        <v/>
      </c>
      <c r="V54" s="21" t="str">
        <f>IFERROR(INDEX(Coefficients!U:U,MATCH(Routes!N54,Coefficients!T:T,0)),"")</f>
        <v/>
      </c>
    </row>
  </sheetData>
  <sortState ref="N3:P18">
    <sortCondition ref="N2"/>
  </sortState>
  <conditionalFormatting sqref="N2:P2">
    <cfRule type="duplicateValues" dxfId="19" priority="7"/>
  </conditionalFormatting>
  <conditionalFormatting sqref="N3:N60">
    <cfRule type="containsText" dxfId="18" priority="3" operator="containsText" text="A">
      <formula>NOT(ISERROR(SEARCH("A",N3)))</formula>
    </cfRule>
  </conditionalFormatting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1265" r:id="rId4">
          <objectPr defaultSize="0" r:id="rId5">
            <anchor moveWithCells="1">
              <from>
                <xdr:col>0</xdr:col>
                <xdr:colOff>203200</xdr:colOff>
                <xdr:row>4</xdr:row>
                <xdr:rowOff>63500</xdr:rowOff>
              </from>
              <to>
                <xdr:col>11</xdr:col>
                <xdr:colOff>127000</xdr:colOff>
                <xdr:row>24</xdr:row>
                <xdr:rowOff>165100</xdr:rowOff>
              </to>
            </anchor>
          </objectPr>
        </oleObject>
      </mc:Choice>
      <mc:Fallback>
        <oleObject progId="Visio.Drawing.11" shapeId="11265" r:id="rId4"/>
      </mc:Fallback>
    </mc:AlternateContent>
    <mc:AlternateContent xmlns:mc="http://schemas.openxmlformats.org/markup-compatibility/2006">
      <mc:Choice Requires="x14">
        <oleObject progId="Visio.Drawing.11" shapeId="11267" r:id="rId6">
          <objectPr defaultSize="0" r:id="rId7">
            <anchor moveWithCells="1">
              <from>
                <xdr:col>0</xdr:col>
                <xdr:colOff>368300</xdr:colOff>
                <xdr:row>0</xdr:row>
                <xdr:rowOff>76200</xdr:rowOff>
              </from>
              <to>
                <xdr:col>2</xdr:col>
                <xdr:colOff>228600</xdr:colOff>
                <xdr:row>7</xdr:row>
                <xdr:rowOff>101600</xdr:rowOff>
              </to>
            </anchor>
          </objectPr>
        </oleObject>
      </mc:Choice>
      <mc:Fallback>
        <oleObject progId="Visio.Drawing.11" shapeId="11267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showGridLines="0" zoomScale="85" zoomScaleNormal="85" zoomScalePageLayoutView="85" workbookViewId="0">
      <selection activeCell="G16" sqref="G16"/>
    </sheetView>
  </sheetViews>
  <sheetFormatPr baseColWidth="10" defaultColWidth="8.83203125" defaultRowHeight="16" x14ac:dyDescent="0.2"/>
  <cols>
    <col min="2" max="2" width="24" bestFit="1" customWidth="1"/>
    <col min="3" max="3" width="5.5" customWidth="1"/>
    <col min="4" max="4" width="6.83203125" bestFit="1" customWidth="1"/>
    <col min="5" max="6" width="15.33203125" customWidth="1"/>
    <col min="7" max="7" width="8" bestFit="1" customWidth="1"/>
    <col min="9" max="11" width="7.1640625" customWidth="1"/>
    <col min="12" max="12" width="10" bestFit="1" customWidth="1"/>
    <col min="13" max="13" width="9.1640625" style="14" customWidth="1"/>
    <col min="14" max="15" width="9.1640625" customWidth="1"/>
    <col min="16" max="16" width="8.6640625" customWidth="1"/>
    <col min="17" max="18" width="18.1640625" bestFit="1" customWidth="1"/>
    <col min="19" max="19" width="13.33203125" bestFit="1" customWidth="1"/>
    <col min="20" max="20" width="8.6640625" customWidth="1"/>
    <col min="21" max="21" width="48.6640625" customWidth="1"/>
  </cols>
  <sheetData>
    <row r="1" spans="1:21" x14ac:dyDescent="0.35">
      <c r="A1" s="2" t="s">
        <v>36</v>
      </c>
      <c r="D1" s="2" t="s">
        <v>37</v>
      </c>
      <c r="I1" s="2" t="s">
        <v>66</v>
      </c>
    </row>
    <row r="2" spans="1:21" x14ac:dyDescent="0.35">
      <c r="A2" s="8" t="s">
        <v>27</v>
      </c>
      <c r="B2" s="8" t="s">
        <v>28</v>
      </c>
      <c r="D2" s="8" t="s">
        <v>27</v>
      </c>
      <c r="E2" s="8" t="s">
        <v>39</v>
      </c>
      <c r="F2" s="8" t="s">
        <v>16</v>
      </c>
      <c r="G2" s="8" t="s">
        <v>7</v>
      </c>
      <c r="I2" s="17" t="s">
        <v>8</v>
      </c>
      <c r="J2" s="17" t="s">
        <v>9</v>
      </c>
      <c r="K2" s="17" t="s">
        <v>6</v>
      </c>
      <c r="L2" s="17" t="s">
        <v>72</v>
      </c>
      <c r="M2" s="18" t="s">
        <v>0</v>
      </c>
      <c r="N2" s="17" t="s">
        <v>5</v>
      </c>
      <c r="O2" s="17" t="s">
        <v>16</v>
      </c>
      <c r="P2" s="17" t="s">
        <v>7</v>
      </c>
      <c r="Q2" s="17" t="s">
        <v>8</v>
      </c>
      <c r="R2" s="17" t="s">
        <v>9</v>
      </c>
      <c r="S2" s="17" t="s">
        <v>6</v>
      </c>
      <c r="T2" s="17" t="s">
        <v>27</v>
      </c>
      <c r="U2" s="17" t="s">
        <v>39</v>
      </c>
    </row>
    <row r="3" spans="1:21" x14ac:dyDescent="0.35">
      <c r="A3" s="7" t="s">
        <v>29</v>
      </c>
      <c r="B3" s="7" t="s">
        <v>17</v>
      </c>
      <c r="D3" s="7" t="s">
        <v>38</v>
      </c>
      <c r="E3" s="7" t="s">
        <v>3</v>
      </c>
      <c r="F3" s="7">
        <v>1</v>
      </c>
      <c r="G3" s="7">
        <v>6</v>
      </c>
      <c r="I3" s="7" t="s">
        <v>29</v>
      </c>
      <c r="J3" s="7" t="s">
        <v>65</v>
      </c>
      <c r="K3" s="7" t="s">
        <v>58</v>
      </c>
      <c r="L3" s="10">
        <v>22</v>
      </c>
      <c r="M3" s="50">
        <v>0</v>
      </c>
      <c r="N3" s="9">
        <f>IF(NOT(ISBLANK(I3)),1,"")</f>
        <v>1</v>
      </c>
      <c r="O3" s="23">
        <f>IFERROR(INDEX(Coefficients!$F$2:$F$17,MATCH(K3,Coefficients!$D$2:$D$17,0)),"")</f>
        <v>0.95</v>
      </c>
      <c r="P3" s="9">
        <f>IFERROR(INDEX(Coefficients!$G$2:$G$17,MATCH(K3,Coefficients!$D$2:$D$17,0)),"")</f>
        <v>1</v>
      </c>
      <c r="Q3" s="24" t="str">
        <f>IFERROR(INDEX(Coefficients!$B$3:$B$12,MATCH(I3,Coefficients!$A$3:$A$12,0)),"")</f>
        <v>748 Columbus Ave</v>
      </c>
      <c r="R3" s="24" t="str">
        <f>IFERROR(INDEX(Coefficients!$B$3:$B$12,MATCH(J3,Coefficients!$A$3:$A$12,0)),"")</f>
        <v>The Daily Catch</v>
      </c>
      <c r="S3" s="24" t="str">
        <f>IFERROR(INDEX(Coefficients!$E$3:$E$17,MATCH(K3,Coefficients!$D$3:$D$17,0)),"")</f>
        <v>Bike</v>
      </c>
      <c r="T3" s="24" t="str">
        <f>IFERROR(I3&amp;"-"&amp;J3&amp;"-"&amp;K3,"")</f>
        <v>A-J-BK</v>
      </c>
      <c r="U3" s="24" t="str">
        <f>S3&amp;" from "&amp;Q3&amp;" to "&amp;R3</f>
        <v>Bike from 748 Columbus Ave to The Daily Catch</v>
      </c>
    </row>
    <row r="4" spans="1:21" x14ac:dyDescent="0.35">
      <c r="A4" s="7" t="s">
        <v>30</v>
      </c>
      <c r="B4" s="7" t="s">
        <v>11</v>
      </c>
      <c r="D4" s="10" t="s">
        <v>35</v>
      </c>
      <c r="E4" s="10" t="s">
        <v>2</v>
      </c>
      <c r="F4" s="10">
        <v>0.9</v>
      </c>
      <c r="G4" s="7">
        <v>7</v>
      </c>
      <c r="I4" s="7" t="s">
        <v>29</v>
      </c>
      <c r="J4" s="7" t="s">
        <v>64</v>
      </c>
      <c r="K4" s="7" t="s">
        <v>32</v>
      </c>
      <c r="L4" s="10">
        <v>19</v>
      </c>
      <c r="M4" s="50">
        <v>36</v>
      </c>
      <c r="N4" s="9">
        <f t="shared" ref="N4:N22" si="0">IF(NOT(ISBLANK(I4)),1,"")</f>
        <v>1</v>
      </c>
      <c r="O4" s="23">
        <f>IFERROR(INDEX(Coefficients!$F$2:$F$17,MATCH(K4,Coefficients!$D$2:$D$17,0)),"")</f>
        <v>0.9</v>
      </c>
      <c r="P4" s="9">
        <f>IFERROR(INDEX(Coefficients!$G$2:$G$17,MATCH(K4,Coefficients!$D$2:$D$17,0)),"")</f>
        <v>10</v>
      </c>
      <c r="Q4" s="24" t="str">
        <f>IFERROR(INDEX(Coefficients!$B$3:$B$12,MATCH(I4,Coefficients!$A$3:$A$12,0)),"")</f>
        <v>748 Columbus Ave</v>
      </c>
      <c r="R4" s="24" t="str">
        <f>IFERROR(INDEX(Coefficients!$B$3:$B$12,MATCH(J4,Coefficients!$A$3:$A$12,0)),"")</f>
        <v>70 Sleeper St.</v>
      </c>
      <c r="S4" s="24" t="str">
        <f>IFERROR(INDEX(Coefficients!$E$3:$E$17,MATCH(K4,Coefficients!$D$3:$D$17,0)),"")</f>
        <v>Drive</v>
      </c>
      <c r="T4" s="24" t="str">
        <f t="shared" ref="T4:T41" si="1">IFERROR(I4&amp;"-"&amp;J4&amp;"-"&amp;K4,"")</f>
        <v>A-I-D</v>
      </c>
      <c r="U4" s="24" t="str">
        <f t="shared" ref="U4:U41" si="2">S4&amp;" from "&amp;Q4&amp;" to "&amp;R4</f>
        <v>Drive from 748 Columbus Ave to 70 Sleeper St.</v>
      </c>
    </row>
    <row r="5" spans="1:21" x14ac:dyDescent="0.35">
      <c r="A5" s="7" t="s">
        <v>31</v>
      </c>
      <c r="B5" s="10" t="s">
        <v>59</v>
      </c>
      <c r="D5" s="11" t="s">
        <v>40</v>
      </c>
      <c r="E5" s="11" t="s">
        <v>41</v>
      </c>
      <c r="F5" s="11">
        <v>0.9</v>
      </c>
      <c r="G5" s="7">
        <v>10</v>
      </c>
      <c r="I5" s="7" t="s">
        <v>29</v>
      </c>
      <c r="J5" s="7" t="s">
        <v>65</v>
      </c>
      <c r="K5" s="7" t="s">
        <v>40</v>
      </c>
      <c r="L5" s="10">
        <v>17</v>
      </c>
      <c r="M5" s="50">
        <v>9.19</v>
      </c>
      <c r="N5" s="9">
        <f t="shared" si="0"/>
        <v>1</v>
      </c>
      <c r="O5" s="23">
        <f>IFERROR(INDEX(Coefficients!$F$2:$F$17,MATCH(K5,Coefficients!$D$2:$D$17,0)),"")</f>
        <v>0.9</v>
      </c>
      <c r="P5" s="9">
        <f>IFERROR(INDEX(Coefficients!$G$2:$G$17,MATCH(K5,Coefficients!$D$2:$D$17,0)),"")</f>
        <v>10</v>
      </c>
      <c r="Q5" s="24" t="str">
        <f>IFERROR(INDEX(Coefficients!$B$3:$B$12,MATCH(I5,Coefficients!$A$3:$A$12,0)),"")</f>
        <v>748 Columbus Ave</v>
      </c>
      <c r="R5" s="24" t="str">
        <f>IFERROR(INDEX(Coefficients!$B$3:$B$12,MATCH(J5,Coefficients!$A$3:$A$12,0)),"")</f>
        <v>The Daily Catch</v>
      </c>
      <c r="S5" s="24" t="str">
        <f>IFERROR(INDEX(Coefficients!$E$3:$E$17,MATCH(K5,Coefficients!$D$3:$D$17,0)),"")</f>
        <v>Uber</v>
      </c>
      <c r="T5" s="24" t="str">
        <f t="shared" si="1"/>
        <v>A-J-U</v>
      </c>
      <c r="U5" s="24" t="str">
        <f t="shared" si="2"/>
        <v>Uber from 748 Columbus Ave to The Daily Catch</v>
      </c>
    </row>
    <row r="6" spans="1:21" x14ac:dyDescent="0.35">
      <c r="A6" s="7" t="s">
        <v>32</v>
      </c>
      <c r="B6" s="7" t="s">
        <v>12</v>
      </c>
      <c r="D6" s="10" t="s">
        <v>32</v>
      </c>
      <c r="E6" s="10" t="s">
        <v>42</v>
      </c>
      <c r="F6" s="10">
        <v>0.9</v>
      </c>
      <c r="G6" s="7">
        <v>10</v>
      </c>
      <c r="I6" s="7" t="s">
        <v>29</v>
      </c>
      <c r="J6" s="7" t="s">
        <v>30</v>
      </c>
      <c r="K6" s="7" t="s">
        <v>38</v>
      </c>
      <c r="L6" s="10">
        <v>5</v>
      </c>
      <c r="M6" s="50">
        <v>0</v>
      </c>
      <c r="N6" s="9">
        <f t="shared" si="0"/>
        <v>1</v>
      </c>
      <c r="O6" s="23">
        <f>IFERROR(INDEX(Coefficients!$F$2:$F$17,MATCH(K6,Coefficients!$D$2:$D$17,0)),"")</f>
        <v>1</v>
      </c>
      <c r="P6" s="9">
        <f>IFERROR(INDEX(Coefficients!$G$2:$G$17,MATCH(K6,Coefficients!$D$2:$D$17,0)),"")</f>
        <v>6</v>
      </c>
      <c r="Q6" s="24" t="str">
        <f>IFERROR(INDEX(Coefficients!$B$3:$B$12,MATCH(I6,Coefficients!$A$3:$A$12,0)),"")</f>
        <v>748 Columbus Ave</v>
      </c>
      <c r="R6" s="24" t="str">
        <f>IFERROR(INDEX(Coefficients!$B$3:$B$12,MATCH(J6,Coefficients!$A$3:$A$12,0)),"")</f>
        <v>Ruggles Station</v>
      </c>
      <c r="S6" s="24" t="str">
        <f>IFERROR(INDEX(Coefficients!$E$3:$E$17,MATCH(K6,Coefficients!$D$3:$D$17,0)),"")</f>
        <v>Walk</v>
      </c>
      <c r="T6" s="24" t="str">
        <f t="shared" si="1"/>
        <v>A-B-W</v>
      </c>
      <c r="U6" s="24" t="str">
        <f t="shared" si="2"/>
        <v>Walk from 748 Columbus Ave to Ruggles Station</v>
      </c>
    </row>
    <row r="7" spans="1:21" x14ac:dyDescent="0.35">
      <c r="A7" s="7" t="s">
        <v>10</v>
      </c>
      <c r="B7" s="10" t="s">
        <v>60</v>
      </c>
      <c r="D7" s="10" t="s">
        <v>43</v>
      </c>
      <c r="E7" s="10" t="s">
        <v>44</v>
      </c>
      <c r="F7" s="10">
        <v>0.91</v>
      </c>
      <c r="G7" s="7">
        <v>7</v>
      </c>
      <c r="I7" s="7" t="s">
        <v>29</v>
      </c>
      <c r="J7" s="7" t="s">
        <v>65</v>
      </c>
      <c r="K7" s="7" t="s">
        <v>38</v>
      </c>
      <c r="L7" s="10">
        <v>55</v>
      </c>
      <c r="M7" s="50">
        <v>0</v>
      </c>
      <c r="N7" s="9">
        <f t="shared" si="0"/>
        <v>1</v>
      </c>
      <c r="O7" s="23">
        <f>IFERROR(INDEX(Coefficients!$F$2:$F$17,MATCH(K7,Coefficients!$D$2:$D$17,0)),"")</f>
        <v>1</v>
      </c>
      <c r="P7" s="9">
        <f>IFERROR(INDEX(Coefficients!$G$2:$G$17,MATCH(K7,Coefficients!$D$2:$D$17,0)),"")</f>
        <v>6</v>
      </c>
      <c r="Q7" s="24" t="str">
        <f>IFERROR(INDEX(Coefficients!$B$3:$B$12,MATCH(I7,Coefficients!$A$3:$A$12,0)),"")</f>
        <v>748 Columbus Ave</v>
      </c>
      <c r="R7" s="24" t="str">
        <f>IFERROR(INDEX(Coefficients!$B$3:$B$12,MATCH(J7,Coefficients!$A$3:$A$12,0)),"")</f>
        <v>The Daily Catch</v>
      </c>
      <c r="S7" s="24" t="str">
        <f>IFERROR(INDEX(Coefficients!$E$3:$E$17,MATCH(K7,Coefficients!$D$3:$D$17,0)),"")</f>
        <v>Walk</v>
      </c>
      <c r="T7" s="24" t="str">
        <f t="shared" si="1"/>
        <v>A-J-W</v>
      </c>
      <c r="U7" s="24" t="str">
        <f t="shared" si="2"/>
        <v>Walk from 748 Columbus Ave to The Daily Catch</v>
      </c>
    </row>
    <row r="8" spans="1:21" x14ac:dyDescent="0.35">
      <c r="A8" s="7" t="s">
        <v>33</v>
      </c>
      <c r="B8" s="10" t="s">
        <v>61</v>
      </c>
      <c r="D8" s="10" t="s">
        <v>46</v>
      </c>
      <c r="E8" s="10" t="s">
        <v>47</v>
      </c>
      <c r="F8" s="10">
        <v>0.77</v>
      </c>
      <c r="G8" s="7">
        <v>7</v>
      </c>
      <c r="I8" s="7" t="s">
        <v>30</v>
      </c>
      <c r="J8" s="7" t="s">
        <v>10</v>
      </c>
      <c r="K8" s="7" t="s">
        <v>56</v>
      </c>
      <c r="L8" s="10">
        <v>10</v>
      </c>
      <c r="M8" s="50">
        <v>2.25</v>
      </c>
      <c r="N8" s="9">
        <f t="shared" si="0"/>
        <v>1</v>
      </c>
      <c r="O8" s="23">
        <f>IFERROR(INDEX(Coefficients!$F$2:$F$17,MATCH(K8,Coefficients!$D$2:$D$17,0)),"")</f>
        <v>0.88</v>
      </c>
      <c r="P8" s="9">
        <f>IFERROR(INDEX(Coefficients!$G$2:$G$17,MATCH(K8,Coefficients!$D$2:$D$17,0)),"")</f>
        <v>8</v>
      </c>
      <c r="Q8" s="24" t="str">
        <f>IFERROR(INDEX(Coefficients!$B$3:$B$12,MATCH(I8,Coefficients!$A$3:$A$12,0)),"")</f>
        <v>Ruggles Station</v>
      </c>
      <c r="R8" s="24" t="str">
        <f>IFERROR(INDEX(Coefficients!$B$3:$B$12,MATCH(J8,Coefficients!$A$3:$A$12,0)),"")</f>
        <v>South Station</v>
      </c>
      <c r="S8" s="24" t="str">
        <f>IFERROR(INDEX(Coefficients!$E$3:$E$17,MATCH(K8,Coefficients!$D$3:$D$17,0)),"")</f>
        <v>Commuter Rail</v>
      </c>
      <c r="T8" s="24" t="str">
        <f t="shared" si="1"/>
        <v>B-E-CR</v>
      </c>
      <c r="U8" s="24" t="str">
        <f t="shared" si="2"/>
        <v>Commuter Rail from Ruggles Station to South Station</v>
      </c>
    </row>
    <row r="9" spans="1:21" x14ac:dyDescent="0.35">
      <c r="A9" s="7" t="s">
        <v>34</v>
      </c>
      <c r="B9" s="10" t="s">
        <v>62</v>
      </c>
      <c r="D9" s="10" t="s">
        <v>48</v>
      </c>
      <c r="E9" s="10" t="s">
        <v>51</v>
      </c>
      <c r="F9" s="10">
        <v>0.73</v>
      </c>
      <c r="G9" s="7">
        <v>7</v>
      </c>
      <c r="I9" s="7" t="s">
        <v>30</v>
      </c>
      <c r="J9" s="7" t="s">
        <v>35</v>
      </c>
      <c r="K9" s="7" t="s">
        <v>35</v>
      </c>
      <c r="L9" s="10">
        <v>23</v>
      </c>
      <c r="M9" s="50">
        <v>6</v>
      </c>
      <c r="N9" s="9">
        <f t="shared" si="0"/>
        <v>1</v>
      </c>
      <c r="O9" s="23">
        <f>IFERROR(INDEX(Coefficients!$F$2:$F$17,MATCH(K9,Coefficients!$D$2:$D$17,0)),"")</f>
        <v>0.9</v>
      </c>
      <c r="P9" s="9">
        <f>IFERROR(INDEX(Coefficients!$G$2:$G$17,MATCH(K9,Coefficients!$D$2:$D$17,0)),"")</f>
        <v>7</v>
      </c>
      <c r="Q9" s="24" t="str">
        <f>IFERROR(INDEX(Coefficients!$B$3:$B$12,MATCH(I9,Coefficients!$A$3:$A$12,0)),"")</f>
        <v>Ruggles Station</v>
      </c>
      <c r="R9" s="24" t="str">
        <f>IFERROR(INDEX(Coefficients!$B$3:$B$12,MATCH(J9,Coefficients!$A$3:$A$12,0)),"")</f>
        <v>Watermark Seaport</v>
      </c>
      <c r="S9" s="24" t="str">
        <f>IFERROR(INDEX(Coefficients!$E$3:$E$17,MATCH(K9,Coefficients!$D$3:$D$17,0)),"")</f>
        <v>Hubway</v>
      </c>
      <c r="T9" s="24" t="str">
        <f t="shared" si="1"/>
        <v>B-H-H</v>
      </c>
      <c r="U9" s="24" t="str">
        <f t="shared" si="2"/>
        <v>Hubway from Ruggles Station to Watermark Seaport</v>
      </c>
    </row>
    <row r="10" spans="1:21" x14ac:dyDescent="0.35">
      <c r="A10" s="7" t="s">
        <v>35</v>
      </c>
      <c r="B10" s="10" t="s">
        <v>63</v>
      </c>
      <c r="D10" s="10" t="s">
        <v>49</v>
      </c>
      <c r="E10" s="10" t="s">
        <v>52</v>
      </c>
      <c r="F10" s="10">
        <v>0.75</v>
      </c>
      <c r="G10" s="7">
        <v>7</v>
      </c>
      <c r="I10" s="7" t="s">
        <v>30</v>
      </c>
      <c r="J10" s="7" t="s">
        <v>31</v>
      </c>
      <c r="K10" s="7" t="s">
        <v>45</v>
      </c>
      <c r="L10" s="10">
        <v>12</v>
      </c>
      <c r="M10" s="50">
        <v>2.75</v>
      </c>
      <c r="N10" s="9">
        <f t="shared" si="0"/>
        <v>1</v>
      </c>
      <c r="O10" s="23">
        <f>IFERROR(INDEX(Coefficients!$F$2:$F$17,MATCH(K10,Coefficients!$D$2:$D$17,0)),"")</f>
        <v>0.93</v>
      </c>
      <c r="P10" s="9">
        <f>IFERROR(INDEX(Coefficients!$G$2:$G$17,MATCH(K10,Coefficients!$D$2:$D$17,0)),"")</f>
        <v>7</v>
      </c>
      <c r="Q10" s="24" t="str">
        <f>IFERROR(INDEX(Coefficients!$B$3:$B$12,MATCH(I10,Coefficients!$A$3:$A$12,0)),"")</f>
        <v>Ruggles Station</v>
      </c>
      <c r="R10" s="24" t="str">
        <f>IFERROR(INDEX(Coefficients!$B$3:$B$12,MATCH(J10,Coefficients!$A$3:$A$12,0)),"")</f>
        <v>State Street</v>
      </c>
      <c r="S10" s="24" t="str">
        <f>IFERROR(INDEX(Coefficients!$E$3:$E$17,MATCH(K10,Coefficients!$D$3:$D$17,0)),"")</f>
        <v>Orange Line</v>
      </c>
      <c r="T10" s="24" t="str">
        <f t="shared" si="1"/>
        <v>B-C-OL</v>
      </c>
      <c r="U10" s="24" t="str">
        <f t="shared" si="2"/>
        <v>Orange Line from Ruggles Station to State Street</v>
      </c>
    </row>
    <row r="11" spans="1:21" x14ac:dyDescent="0.35">
      <c r="A11" s="10" t="s">
        <v>64</v>
      </c>
      <c r="B11" s="10" t="s">
        <v>15</v>
      </c>
      <c r="D11" s="10" t="s">
        <v>45</v>
      </c>
      <c r="E11" s="10" t="s">
        <v>14</v>
      </c>
      <c r="F11" s="7">
        <v>0.93</v>
      </c>
      <c r="G11" s="7">
        <v>7</v>
      </c>
      <c r="I11" s="7" t="s">
        <v>30</v>
      </c>
      <c r="J11" s="7" t="s">
        <v>32</v>
      </c>
      <c r="K11" s="7" t="s">
        <v>45</v>
      </c>
      <c r="L11" s="10">
        <v>10</v>
      </c>
      <c r="M11" s="50">
        <v>2.75</v>
      </c>
      <c r="N11" s="9">
        <f t="shared" si="0"/>
        <v>1</v>
      </c>
      <c r="O11" s="23">
        <f>IFERROR(INDEX(Coefficients!$F$2:$F$17,MATCH(K11,Coefficients!$D$2:$D$17,0)),"")</f>
        <v>0.93</v>
      </c>
      <c r="P11" s="9">
        <f>IFERROR(INDEX(Coefficients!$G$2:$G$17,MATCH(K11,Coefficients!$D$2:$D$17,0)),"")</f>
        <v>7</v>
      </c>
      <c r="Q11" s="24" t="str">
        <f>IFERROR(INDEX(Coefficients!$B$3:$B$12,MATCH(I11,Coefficients!$A$3:$A$12,0)),"")</f>
        <v>Ruggles Station</v>
      </c>
      <c r="R11" s="24" t="str">
        <f>IFERROR(INDEX(Coefficients!$B$3:$B$12,MATCH(J11,Coefficients!$A$3:$A$12,0)),"")</f>
        <v>Downtown Crossing</v>
      </c>
      <c r="S11" s="24" t="str">
        <f>IFERROR(INDEX(Coefficients!$E$3:$E$17,MATCH(K11,Coefficients!$D$3:$D$17,0)),"")</f>
        <v>Orange Line</v>
      </c>
      <c r="T11" s="24" t="str">
        <f t="shared" si="1"/>
        <v>B-D-OL</v>
      </c>
      <c r="U11" s="24" t="str">
        <f t="shared" si="2"/>
        <v>Orange Line from Ruggles Station to Downtown Crossing</v>
      </c>
    </row>
    <row r="12" spans="1:21" x14ac:dyDescent="0.35">
      <c r="A12" s="10" t="s">
        <v>65</v>
      </c>
      <c r="B12" s="10" t="s">
        <v>13</v>
      </c>
      <c r="D12" s="10" t="s">
        <v>50</v>
      </c>
      <c r="E12" s="10" t="s">
        <v>53</v>
      </c>
      <c r="F12" s="10">
        <v>0.72</v>
      </c>
      <c r="G12" s="7">
        <v>7</v>
      </c>
      <c r="I12" s="7" t="s">
        <v>31</v>
      </c>
      <c r="J12" s="7" t="s">
        <v>65</v>
      </c>
      <c r="K12" s="7" t="s">
        <v>38</v>
      </c>
      <c r="L12" s="10">
        <v>16</v>
      </c>
      <c r="M12" s="50">
        <v>0</v>
      </c>
      <c r="N12" s="9">
        <f t="shared" si="0"/>
        <v>1</v>
      </c>
      <c r="O12" s="23">
        <f>IFERROR(INDEX(Coefficients!$F$2:$F$17,MATCH(K12,Coefficients!$D$2:$D$17,0)),"")</f>
        <v>1</v>
      </c>
      <c r="P12" s="9">
        <f>IFERROR(INDEX(Coefficients!$G$2:$G$17,MATCH(K12,Coefficients!$D$2:$D$17,0)),"")</f>
        <v>6</v>
      </c>
      <c r="Q12" s="24" t="str">
        <f>IFERROR(INDEX(Coefficients!$B$3:$B$12,MATCH(I12,Coefficients!$A$3:$A$12,0)),"")</f>
        <v>State Street</v>
      </c>
      <c r="R12" s="24" t="str">
        <f>IFERROR(INDEX(Coefficients!$B$3:$B$12,MATCH(J12,Coefficients!$A$3:$A$12,0)),"")</f>
        <v>The Daily Catch</v>
      </c>
      <c r="S12" s="24" t="str">
        <f>IFERROR(INDEX(Coefficients!$E$3:$E$17,MATCH(K12,Coefficients!$D$3:$D$17,0)),"")</f>
        <v>Walk</v>
      </c>
      <c r="T12" s="24" t="str">
        <f t="shared" si="1"/>
        <v>C-J-W</v>
      </c>
      <c r="U12" s="24" t="str">
        <f t="shared" si="2"/>
        <v>Walk from State Street to The Daily Catch</v>
      </c>
    </row>
    <row r="13" spans="1:21" x14ac:dyDescent="0.35">
      <c r="D13" s="10" t="s">
        <v>67</v>
      </c>
      <c r="E13" s="10" t="s">
        <v>68</v>
      </c>
      <c r="F13" s="10">
        <v>0.85</v>
      </c>
      <c r="G13" s="7">
        <v>6</v>
      </c>
      <c r="I13" s="7" t="s">
        <v>32</v>
      </c>
      <c r="J13" s="7" t="s">
        <v>34</v>
      </c>
      <c r="K13" s="7" t="s">
        <v>38</v>
      </c>
      <c r="L13" s="10">
        <v>2</v>
      </c>
      <c r="M13" s="50">
        <v>6</v>
      </c>
      <c r="N13" s="9">
        <f t="shared" si="0"/>
        <v>1</v>
      </c>
      <c r="O13" s="23">
        <f>IFERROR(INDEX(Coefficients!$F$2:$F$17,MATCH(K13,Coefficients!$D$2:$D$17,0)),"")</f>
        <v>1</v>
      </c>
      <c r="P13" s="9">
        <f>IFERROR(INDEX(Coefficients!$G$2:$G$17,MATCH(K13,Coefficients!$D$2:$D$17,0)),"")</f>
        <v>6</v>
      </c>
      <c r="Q13" s="24" t="str">
        <f>IFERROR(INDEX(Coefficients!$B$3:$B$12,MATCH(I13,Coefficients!$A$3:$A$12,0)),"")</f>
        <v>Downtown Crossing</v>
      </c>
      <c r="R13" s="24" t="str">
        <f>IFERROR(INDEX(Coefficients!$B$3:$B$12,MATCH(J13,Coefficients!$A$3:$A$12,0)),"")</f>
        <v>Franklin St./ Arch St.</v>
      </c>
      <c r="S13" s="24" t="str">
        <f>IFERROR(INDEX(Coefficients!$E$3:$E$17,MATCH(K13,Coefficients!$D$3:$D$17,0)),"")</f>
        <v>Walk</v>
      </c>
      <c r="T13" s="24" t="str">
        <f t="shared" si="1"/>
        <v>D-G-W</v>
      </c>
      <c r="U13" s="24" t="str">
        <f t="shared" si="2"/>
        <v>Walk from Downtown Crossing to Franklin St./ Arch St.</v>
      </c>
    </row>
    <row r="14" spans="1:21" x14ac:dyDescent="0.35">
      <c r="D14" s="11" t="s">
        <v>54</v>
      </c>
      <c r="E14" s="11" t="s">
        <v>55</v>
      </c>
      <c r="F14" s="11">
        <v>0.93</v>
      </c>
      <c r="G14" s="7">
        <v>7</v>
      </c>
      <c r="I14" s="7" t="s">
        <v>32</v>
      </c>
      <c r="J14" s="7" t="s">
        <v>10</v>
      </c>
      <c r="K14" s="7" t="s">
        <v>43</v>
      </c>
      <c r="L14" s="10">
        <v>2</v>
      </c>
      <c r="M14" s="50">
        <v>2.75</v>
      </c>
      <c r="N14" s="9">
        <f t="shared" si="0"/>
        <v>1</v>
      </c>
      <c r="O14" s="23">
        <f>IFERROR(INDEX(Coefficients!$F$2:$F$17,MATCH(K14,Coefficients!$D$2:$D$17,0)),"")</f>
        <v>0.91</v>
      </c>
      <c r="P14" s="9">
        <f>IFERROR(INDEX(Coefficients!$G$2:$G$17,MATCH(K14,Coefficients!$D$2:$D$17,0)),"")</f>
        <v>7</v>
      </c>
      <c r="Q14" s="24" t="str">
        <f>IFERROR(INDEX(Coefficients!$B$3:$B$12,MATCH(I14,Coefficients!$A$3:$A$12,0)),"")</f>
        <v>Downtown Crossing</v>
      </c>
      <c r="R14" s="24" t="str">
        <f>IFERROR(INDEX(Coefficients!$B$3:$B$12,MATCH(J14,Coefficients!$A$3:$A$12,0)),"")</f>
        <v>South Station</v>
      </c>
      <c r="S14" s="24" t="str">
        <f>IFERROR(INDEX(Coefficients!$E$3:$E$17,MATCH(K14,Coefficients!$D$3:$D$17,0)),"")</f>
        <v>Red Line</v>
      </c>
      <c r="T14" s="24" t="str">
        <f t="shared" si="1"/>
        <v>D-E-RL</v>
      </c>
      <c r="U14" s="24" t="str">
        <f t="shared" si="2"/>
        <v>Red Line from Downtown Crossing to South Station</v>
      </c>
    </row>
    <row r="15" spans="1:21" x14ac:dyDescent="0.35">
      <c r="D15" s="11" t="s">
        <v>43</v>
      </c>
      <c r="E15" s="11" t="s">
        <v>44</v>
      </c>
      <c r="F15" s="11">
        <v>0.91</v>
      </c>
      <c r="G15" s="7">
        <v>7</v>
      </c>
      <c r="I15" s="7" t="s">
        <v>32</v>
      </c>
      <c r="J15" s="7" t="s">
        <v>10</v>
      </c>
      <c r="K15" s="7" t="s">
        <v>38</v>
      </c>
      <c r="L15" s="10">
        <v>7</v>
      </c>
      <c r="M15" s="50">
        <v>0</v>
      </c>
      <c r="N15" s="9">
        <f t="shared" si="0"/>
        <v>1</v>
      </c>
      <c r="O15" s="23">
        <f>IFERROR(INDEX(Coefficients!$F$2:$F$17,MATCH(K15,Coefficients!$D$2:$D$17,0)),"")</f>
        <v>1</v>
      </c>
      <c r="P15" s="9">
        <f>IFERROR(INDEX(Coefficients!$G$2:$G$17,MATCH(K15,Coefficients!$D$2:$D$17,0)),"")</f>
        <v>6</v>
      </c>
      <c r="Q15" s="24" t="str">
        <f>IFERROR(INDEX(Coefficients!$B$3:$B$12,MATCH(I15,Coefficients!$A$3:$A$12,0)),"")</f>
        <v>Downtown Crossing</v>
      </c>
      <c r="R15" s="24" t="str">
        <f>IFERROR(INDEX(Coefficients!$B$3:$B$12,MATCH(J15,Coefficients!$A$3:$A$12,0)),"")</f>
        <v>South Station</v>
      </c>
      <c r="S15" s="24" t="str">
        <f>IFERROR(INDEX(Coefficients!$E$3:$E$17,MATCH(K15,Coefficients!$D$3:$D$17,0)),"")</f>
        <v>Walk</v>
      </c>
      <c r="T15" s="24" t="str">
        <f t="shared" si="1"/>
        <v>D-E-W</v>
      </c>
      <c r="U15" s="24" t="str">
        <f t="shared" si="2"/>
        <v>Walk from Downtown Crossing to South Station</v>
      </c>
    </row>
    <row r="16" spans="1:21" x14ac:dyDescent="0.35">
      <c r="D16" s="11" t="s">
        <v>56</v>
      </c>
      <c r="E16" s="11" t="s">
        <v>57</v>
      </c>
      <c r="F16" s="7">
        <v>0.88</v>
      </c>
      <c r="G16" s="7">
        <v>8</v>
      </c>
      <c r="I16" s="7" t="s">
        <v>32</v>
      </c>
      <c r="J16" s="7" t="s">
        <v>65</v>
      </c>
      <c r="K16" s="7" t="s">
        <v>38</v>
      </c>
      <c r="L16" s="10">
        <v>10</v>
      </c>
      <c r="M16" s="50">
        <v>0</v>
      </c>
      <c r="N16" s="9">
        <f t="shared" si="0"/>
        <v>1</v>
      </c>
      <c r="O16" s="23">
        <f>IFERROR(INDEX(Coefficients!$F$2:$F$17,MATCH(K16,Coefficients!$D$2:$D$17,0)),"")</f>
        <v>1</v>
      </c>
      <c r="P16" s="9">
        <f>IFERROR(INDEX(Coefficients!$G$2:$G$17,MATCH(K16,Coefficients!$D$2:$D$17,0)),"")</f>
        <v>6</v>
      </c>
      <c r="Q16" s="24" t="str">
        <f>IFERROR(INDEX(Coefficients!$B$3:$B$12,MATCH(I16,Coefficients!$A$3:$A$12,0)),"")</f>
        <v>Downtown Crossing</v>
      </c>
      <c r="R16" s="24" t="str">
        <f>IFERROR(INDEX(Coefficients!$B$3:$B$12,MATCH(J16,Coefficients!$A$3:$A$12,0)),"")</f>
        <v>The Daily Catch</v>
      </c>
      <c r="S16" s="24" t="str">
        <f>IFERROR(INDEX(Coefficients!$E$3:$E$17,MATCH(K16,Coefficients!$D$3:$D$17,0)),"")</f>
        <v>Walk</v>
      </c>
      <c r="T16" s="24" t="str">
        <f t="shared" si="1"/>
        <v>D-J-W</v>
      </c>
      <c r="U16" s="24" t="str">
        <f t="shared" si="2"/>
        <v>Walk from Downtown Crossing to The Daily Catch</v>
      </c>
    </row>
    <row r="17" spans="4:21" x14ac:dyDescent="0.35">
      <c r="D17" s="11" t="s">
        <v>58</v>
      </c>
      <c r="E17" s="11" t="s">
        <v>1</v>
      </c>
      <c r="F17" s="11">
        <v>0.95</v>
      </c>
      <c r="G17" s="7">
        <v>1</v>
      </c>
      <c r="I17" s="7" t="s">
        <v>10</v>
      </c>
      <c r="J17" s="7" t="s">
        <v>33</v>
      </c>
      <c r="K17" s="7" t="s">
        <v>67</v>
      </c>
      <c r="L17" s="10">
        <v>2</v>
      </c>
      <c r="M17" s="50">
        <v>2.75</v>
      </c>
      <c r="N17" s="9">
        <f t="shared" si="0"/>
        <v>1</v>
      </c>
      <c r="O17" s="23">
        <f>IFERROR(INDEX(Coefficients!$F$2:$F$17,MATCH(K17,Coefficients!$D$2:$D$17,0)),"")</f>
        <v>0.85</v>
      </c>
      <c r="P17" s="9">
        <f>IFERROR(INDEX(Coefficients!$G$2:$G$17,MATCH(K17,Coefficients!$D$2:$D$17,0)),"")</f>
        <v>6</v>
      </c>
      <c r="Q17" s="24" t="str">
        <f>IFERROR(INDEX(Coefficients!$B$3:$B$12,MATCH(I17,Coefficients!$A$3:$A$12,0)),"")</f>
        <v>South Station</v>
      </c>
      <c r="R17" s="24" t="str">
        <f>IFERROR(INDEX(Coefficients!$B$3:$B$12,MATCH(J17,Coefficients!$A$3:$A$12,0)),"")</f>
        <v>Courthouse</v>
      </c>
      <c r="S17" s="24" t="str">
        <f>IFERROR(INDEX(Coefficients!$E$3:$E$17,MATCH(K17,Coefficients!$D$3:$D$17,0)),"")</f>
        <v>Silver Line 1</v>
      </c>
      <c r="T17" s="24" t="str">
        <f t="shared" si="1"/>
        <v>E-F-SL1</v>
      </c>
      <c r="U17" s="24" t="str">
        <f t="shared" si="2"/>
        <v>Silver Line 1 from South Station to Courthouse</v>
      </c>
    </row>
    <row r="18" spans="4:21" x14ac:dyDescent="0.35">
      <c r="D18" s="12"/>
      <c r="E18" s="12"/>
      <c r="F18" s="12"/>
      <c r="I18" s="7" t="s">
        <v>10</v>
      </c>
      <c r="J18" s="7" t="s">
        <v>65</v>
      </c>
      <c r="K18" s="7" t="s">
        <v>38</v>
      </c>
      <c r="L18" s="10">
        <v>11</v>
      </c>
      <c r="M18" s="50">
        <v>0</v>
      </c>
      <c r="N18" s="9">
        <f t="shared" si="0"/>
        <v>1</v>
      </c>
      <c r="O18" s="23">
        <f>IFERROR(INDEX(Coefficients!$F$2:$F$17,MATCH(K18,Coefficients!$D$2:$D$17,0)),"")</f>
        <v>1</v>
      </c>
      <c r="P18" s="9">
        <f>IFERROR(INDEX(Coefficients!$G$2:$G$17,MATCH(K18,Coefficients!$D$2:$D$17,0)),"")</f>
        <v>6</v>
      </c>
      <c r="Q18" s="24" t="str">
        <f>IFERROR(INDEX(Coefficients!$B$3:$B$12,MATCH(I18,Coefficients!$A$3:$A$12,0)),"")</f>
        <v>South Station</v>
      </c>
      <c r="R18" s="24" t="str">
        <f>IFERROR(INDEX(Coefficients!$B$3:$B$12,MATCH(J18,Coefficients!$A$3:$A$12,0)),"")</f>
        <v>The Daily Catch</v>
      </c>
      <c r="S18" s="24" t="str">
        <f>IFERROR(INDEX(Coefficients!$E$3:$E$17,MATCH(K18,Coefficients!$D$3:$D$17,0)),"")</f>
        <v>Walk</v>
      </c>
      <c r="T18" s="24" t="str">
        <f t="shared" si="1"/>
        <v>E-J-W</v>
      </c>
      <c r="U18" s="24" t="str">
        <f t="shared" si="2"/>
        <v>Walk from South Station to The Daily Catch</v>
      </c>
    </row>
    <row r="19" spans="4:21" x14ac:dyDescent="0.35">
      <c r="E19" s="12"/>
      <c r="F19" s="12"/>
      <c r="I19" s="7" t="s">
        <v>33</v>
      </c>
      <c r="J19" s="7" t="s">
        <v>65</v>
      </c>
      <c r="K19" s="7" t="s">
        <v>38</v>
      </c>
      <c r="L19" s="10">
        <v>3</v>
      </c>
      <c r="M19" s="50">
        <v>0</v>
      </c>
      <c r="N19" s="9">
        <f t="shared" si="0"/>
        <v>1</v>
      </c>
      <c r="O19" s="23">
        <f>IFERROR(INDEX(Coefficients!$F$2:$F$17,MATCH(K19,Coefficients!$D$2:$D$17,0)),"")</f>
        <v>1</v>
      </c>
      <c r="P19" s="9">
        <f>IFERROR(INDEX(Coefficients!$G$2:$G$17,MATCH(K19,Coefficients!$D$2:$D$17,0)),"")</f>
        <v>6</v>
      </c>
      <c r="Q19" s="24" t="str">
        <f>IFERROR(INDEX(Coefficients!$B$3:$B$12,MATCH(I19,Coefficients!$A$3:$A$12,0)),"")</f>
        <v>Courthouse</v>
      </c>
      <c r="R19" s="24" t="str">
        <f>IFERROR(INDEX(Coefficients!$B$3:$B$12,MATCH(J19,Coefficients!$A$3:$A$12,0)),"")</f>
        <v>The Daily Catch</v>
      </c>
      <c r="S19" s="24" t="str">
        <f>IFERROR(INDEX(Coefficients!$E$3:$E$17,MATCH(K19,Coefficients!$D$3:$D$17,0)),"")</f>
        <v>Walk</v>
      </c>
      <c r="T19" s="24" t="str">
        <f t="shared" si="1"/>
        <v>F-J-W</v>
      </c>
      <c r="U19" s="24" t="str">
        <f t="shared" si="2"/>
        <v>Walk from Courthouse to The Daily Catch</v>
      </c>
    </row>
    <row r="20" spans="4:21" x14ac:dyDescent="0.35">
      <c r="E20" s="12"/>
      <c r="F20" s="12"/>
      <c r="I20" s="7" t="s">
        <v>34</v>
      </c>
      <c r="J20" s="7" t="s">
        <v>35</v>
      </c>
      <c r="K20" s="7" t="s">
        <v>35</v>
      </c>
      <c r="L20" s="10">
        <v>6</v>
      </c>
      <c r="M20" s="50">
        <v>6</v>
      </c>
      <c r="N20" s="9">
        <f t="shared" si="0"/>
        <v>1</v>
      </c>
      <c r="O20" s="23">
        <f>IFERROR(INDEX(Coefficients!$F$2:$F$17,MATCH(K20,Coefficients!$D$2:$D$17,0)),"")</f>
        <v>0.9</v>
      </c>
      <c r="P20" s="9">
        <f>IFERROR(INDEX(Coefficients!$G$2:$G$17,MATCH(K20,Coefficients!$D$2:$D$17,0)),"")</f>
        <v>7</v>
      </c>
      <c r="Q20" s="24" t="str">
        <f>IFERROR(INDEX(Coefficients!$B$3:$B$12,MATCH(I20,Coefficients!$A$3:$A$12,0)),"")</f>
        <v>Franklin St./ Arch St.</v>
      </c>
      <c r="R20" s="24" t="str">
        <f>IFERROR(INDEX(Coefficients!$B$3:$B$12,MATCH(J20,Coefficients!$A$3:$A$12,0)),"")</f>
        <v>Watermark Seaport</v>
      </c>
      <c r="S20" s="24" t="str">
        <f>IFERROR(INDEX(Coefficients!$E$3:$E$17,MATCH(K20,Coefficients!$D$3:$D$17,0)),"")</f>
        <v>Hubway</v>
      </c>
      <c r="T20" s="24" t="str">
        <f t="shared" si="1"/>
        <v>G-H-H</v>
      </c>
      <c r="U20" s="24" t="str">
        <f t="shared" si="2"/>
        <v>Hubway from Franklin St./ Arch St. to Watermark Seaport</v>
      </c>
    </row>
    <row r="21" spans="4:21" x14ac:dyDescent="0.35">
      <c r="E21" s="12"/>
      <c r="F21" s="12"/>
      <c r="I21" s="7" t="s">
        <v>35</v>
      </c>
      <c r="J21" s="7" t="s">
        <v>65</v>
      </c>
      <c r="K21" s="7" t="s">
        <v>38</v>
      </c>
      <c r="L21" s="10">
        <v>2</v>
      </c>
      <c r="M21" s="50">
        <v>0</v>
      </c>
      <c r="N21" s="9">
        <f t="shared" si="0"/>
        <v>1</v>
      </c>
      <c r="O21" s="23">
        <f>IFERROR(INDEX(Coefficients!$F$2:$F$17,MATCH(K21,Coefficients!$D$2:$D$17,0)),"")</f>
        <v>1</v>
      </c>
      <c r="P21" s="9">
        <f>IFERROR(INDEX(Coefficients!$G$2:$G$17,MATCH(K21,Coefficients!$D$2:$D$17,0)),"")</f>
        <v>6</v>
      </c>
      <c r="Q21" s="24" t="str">
        <f>IFERROR(INDEX(Coefficients!$B$3:$B$12,MATCH(I21,Coefficients!$A$3:$A$12,0)),"")</f>
        <v>Watermark Seaport</v>
      </c>
      <c r="R21" s="24" t="str">
        <f>IFERROR(INDEX(Coefficients!$B$3:$B$12,MATCH(J21,Coefficients!$A$3:$A$12,0)),"")</f>
        <v>The Daily Catch</v>
      </c>
      <c r="S21" s="24" t="str">
        <f>IFERROR(INDEX(Coefficients!$E$3:$E$17,MATCH(K21,Coefficients!$D$3:$D$17,0)),"")</f>
        <v>Walk</v>
      </c>
      <c r="T21" s="24" t="str">
        <f t="shared" si="1"/>
        <v>H-J-W</v>
      </c>
      <c r="U21" s="24" t="str">
        <f t="shared" si="2"/>
        <v>Walk from Watermark Seaport to The Daily Catch</v>
      </c>
    </row>
    <row r="22" spans="4:21" x14ac:dyDescent="0.35">
      <c r="E22" s="12"/>
      <c r="F22" s="12"/>
      <c r="I22" s="7" t="s">
        <v>64</v>
      </c>
      <c r="J22" s="7" t="s">
        <v>65</v>
      </c>
      <c r="K22" s="7" t="s">
        <v>38</v>
      </c>
      <c r="L22" s="10">
        <v>1</v>
      </c>
      <c r="M22" s="50">
        <v>0</v>
      </c>
      <c r="N22" s="9">
        <f t="shared" si="0"/>
        <v>1</v>
      </c>
      <c r="O22" s="23">
        <f>IFERROR(INDEX(Coefficients!$F$2:$F$17,MATCH(K22,Coefficients!$D$2:$D$17,0)),"")</f>
        <v>1</v>
      </c>
      <c r="P22" s="9">
        <f>IFERROR(INDEX(Coefficients!$G$2:$G$17,MATCH(K22,Coefficients!$D$2:$D$17,0)),"")</f>
        <v>6</v>
      </c>
      <c r="Q22" s="24" t="str">
        <f>IFERROR(INDEX(Coefficients!$B$3:$B$12,MATCH(I22,Coefficients!$A$3:$A$12,0)),"")</f>
        <v>70 Sleeper St.</v>
      </c>
      <c r="R22" s="24" t="str">
        <f>IFERROR(INDEX(Coefficients!$B$3:$B$12,MATCH(J22,Coefficients!$A$3:$A$12,0)),"")</f>
        <v>The Daily Catch</v>
      </c>
      <c r="S22" s="24" t="str">
        <f>IFERROR(INDEX(Coefficients!$E$3:$E$17,MATCH(K22,Coefficients!$D$3:$D$17,0)),"")</f>
        <v>Walk</v>
      </c>
      <c r="T22" s="24" t="str">
        <f t="shared" si="1"/>
        <v>I-J-W</v>
      </c>
      <c r="U22" s="24" t="str">
        <f t="shared" si="2"/>
        <v>Walk from 70 Sleeper St. to The Daily Catch</v>
      </c>
    </row>
    <row r="23" spans="4:21" x14ac:dyDescent="0.35">
      <c r="E23" s="12"/>
      <c r="F23" s="12"/>
      <c r="I23" s="7"/>
      <c r="J23" s="7"/>
      <c r="K23" s="7"/>
      <c r="L23" s="10"/>
      <c r="M23" s="50"/>
      <c r="N23" s="9" t="str">
        <f>IF(I23&lt;&gt;"",1,"")</f>
        <v/>
      </c>
      <c r="O23" s="23" t="str">
        <f>IFERROR(INDEX(Coefficients!$F$2:$F$17,MATCH(K23,Coefficients!$D$2:$D$17,0)),"")</f>
        <v/>
      </c>
      <c r="P23" s="9" t="str">
        <f>IFERROR(INDEX(Coefficients!$G$2:$G$17,MATCH(K23,Coefficients!$D$2:$D$17,0)),"")</f>
        <v/>
      </c>
      <c r="Q23" s="24" t="str">
        <f>IFERROR(INDEX(Coefficients!$B$3:$B$12,MATCH(I23,Coefficients!$A$3:$A$12,0)),"")</f>
        <v/>
      </c>
      <c r="R23" s="24" t="str">
        <f>IFERROR(INDEX(Coefficients!$B$3:$B$12,MATCH(J23,Coefficients!$A$3:$A$12,0)),"")</f>
        <v/>
      </c>
      <c r="S23" s="24" t="str">
        <f>IFERROR(INDEX(Coefficients!$E$3:$E$17,MATCH(K23,Coefficients!$D$3:$D$17,0)),"")</f>
        <v/>
      </c>
      <c r="T23" s="24" t="str">
        <f t="shared" si="1"/>
        <v>--</v>
      </c>
      <c r="U23" s="24" t="str">
        <f t="shared" si="2"/>
        <v xml:space="preserve"> from  to </v>
      </c>
    </row>
    <row r="24" spans="4:21" x14ac:dyDescent="0.35">
      <c r="E24" s="12"/>
      <c r="F24" s="12"/>
      <c r="I24" s="7"/>
      <c r="J24" s="7"/>
      <c r="K24" s="7"/>
      <c r="L24" s="10"/>
      <c r="M24" s="50"/>
      <c r="N24" s="9" t="str">
        <f t="shared" ref="N24:N41" si="3">IF(I24&lt;&gt;"",1,"")</f>
        <v/>
      </c>
      <c r="O24" s="23" t="str">
        <f>IFERROR(INDEX(Coefficients!$F$2:$F$17,MATCH(K24,Coefficients!$D$2:$D$17,0)),"")</f>
        <v/>
      </c>
      <c r="P24" s="9" t="str">
        <f>IFERROR(INDEX(Coefficients!$G$2:$G$17,MATCH(K24,Coefficients!$D$2:$D$17,0)),"")</f>
        <v/>
      </c>
      <c r="Q24" s="24" t="str">
        <f>IFERROR(INDEX(Coefficients!$B$3:$B$12,MATCH(I24,Coefficients!$A$3:$A$12,0)),"")</f>
        <v/>
      </c>
      <c r="R24" s="24" t="str">
        <f>IFERROR(INDEX(Coefficients!$B$3:$B$12,MATCH(J24,Coefficients!$A$3:$A$12,0)),"")</f>
        <v/>
      </c>
      <c r="S24" s="24" t="str">
        <f>IFERROR(INDEX(Coefficients!$E$3:$E$17,MATCH(K24,Coefficients!$D$3:$D$17,0)),"")</f>
        <v/>
      </c>
      <c r="T24" s="24" t="str">
        <f t="shared" si="1"/>
        <v>--</v>
      </c>
      <c r="U24" s="24" t="str">
        <f t="shared" si="2"/>
        <v xml:space="preserve"> from  to </v>
      </c>
    </row>
    <row r="25" spans="4:21" x14ac:dyDescent="0.35">
      <c r="E25" s="12"/>
      <c r="F25" s="12"/>
      <c r="I25" s="7"/>
      <c r="J25" s="7"/>
      <c r="K25" s="7"/>
      <c r="L25" s="10"/>
      <c r="M25" s="50"/>
      <c r="N25" s="9" t="str">
        <f t="shared" si="3"/>
        <v/>
      </c>
      <c r="O25" s="23" t="str">
        <f>IFERROR(INDEX(Coefficients!$F$2:$F$17,MATCH(K25,Coefficients!$D$2:$D$17,0)),"")</f>
        <v/>
      </c>
      <c r="P25" s="9" t="str">
        <f>IFERROR(INDEX(Coefficients!$G$2:$G$17,MATCH(K25,Coefficients!$D$2:$D$17,0)),"")</f>
        <v/>
      </c>
      <c r="Q25" s="24" t="str">
        <f>IFERROR(INDEX(Coefficients!$B$3:$B$12,MATCH(I25,Coefficients!$A$3:$A$12,0)),"")</f>
        <v/>
      </c>
      <c r="R25" s="24" t="str">
        <f>IFERROR(INDEX(Coefficients!$B$3:$B$12,MATCH(J25,Coefficients!$A$3:$A$12,0)),"")</f>
        <v/>
      </c>
      <c r="S25" s="24" t="str">
        <f>IFERROR(INDEX(Coefficients!$E$3:$E$17,MATCH(K25,Coefficients!$D$3:$D$17,0)),"")</f>
        <v/>
      </c>
      <c r="T25" s="24" t="str">
        <f t="shared" si="1"/>
        <v>--</v>
      </c>
      <c r="U25" s="24" t="str">
        <f t="shared" si="2"/>
        <v xml:space="preserve"> from  to </v>
      </c>
    </row>
    <row r="26" spans="4:21" x14ac:dyDescent="0.35">
      <c r="E26" s="12"/>
      <c r="F26" s="12"/>
      <c r="I26" s="7"/>
      <c r="J26" s="7"/>
      <c r="K26" s="7"/>
      <c r="L26" s="10"/>
      <c r="M26" s="50"/>
      <c r="N26" s="9" t="str">
        <f t="shared" si="3"/>
        <v/>
      </c>
      <c r="O26" s="23" t="str">
        <f>IFERROR(INDEX(Coefficients!$F$2:$F$17,MATCH(K26,Coefficients!$D$2:$D$17,0)),"")</f>
        <v/>
      </c>
      <c r="P26" s="9" t="str">
        <f>IFERROR(INDEX(Coefficients!$G$2:$G$17,MATCH(K26,Coefficients!$D$2:$D$17,0)),"")</f>
        <v/>
      </c>
      <c r="Q26" s="24" t="str">
        <f>IFERROR(INDEX(Coefficients!$B$3:$B$12,MATCH(I26,Coefficients!$A$3:$A$12,0)),"")</f>
        <v/>
      </c>
      <c r="R26" s="24" t="str">
        <f>IFERROR(INDEX(Coefficients!$B$3:$B$12,MATCH(J26,Coefficients!$A$3:$A$12,0)),"")</f>
        <v/>
      </c>
      <c r="S26" s="24" t="str">
        <f>IFERROR(INDEX(Coefficients!$E$3:$E$17,MATCH(K26,Coefficients!$D$3:$D$17,0)),"")</f>
        <v/>
      </c>
      <c r="T26" s="24" t="str">
        <f t="shared" si="1"/>
        <v>--</v>
      </c>
      <c r="U26" s="24" t="str">
        <f t="shared" si="2"/>
        <v xml:space="preserve"> from  to </v>
      </c>
    </row>
    <row r="27" spans="4:21" x14ac:dyDescent="0.35">
      <c r="E27" s="12"/>
      <c r="F27" s="12"/>
      <c r="I27" s="7"/>
      <c r="J27" s="7"/>
      <c r="K27" s="7"/>
      <c r="L27" s="10"/>
      <c r="M27" s="50"/>
      <c r="N27" s="9" t="str">
        <f t="shared" si="3"/>
        <v/>
      </c>
      <c r="O27" s="23" t="str">
        <f>IFERROR(INDEX(Coefficients!$F$2:$F$17,MATCH(K27,Coefficients!$D$2:$D$17,0)),"")</f>
        <v/>
      </c>
      <c r="P27" s="9" t="str">
        <f>IFERROR(INDEX(Coefficients!$G$2:$G$17,MATCH(K27,Coefficients!$D$2:$D$17,0)),"")</f>
        <v/>
      </c>
      <c r="Q27" s="24" t="str">
        <f>IFERROR(INDEX(Coefficients!$B$3:$B$12,MATCH(I27,Coefficients!$A$3:$A$12,0)),"")</f>
        <v/>
      </c>
      <c r="R27" s="24" t="str">
        <f>IFERROR(INDEX(Coefficients!$B$3:$B$12,MATCH(J27,Coefficients!$A$3:$A$12,0)),"")</f>
        <v/>
      </c>
      <c r="S27" s="24" t="str">
        <f>IFERROR(INDEX(Coefficients!$E$3:$E$17,MATCH(K27,Coefficients!$D$3:$D$17,0)),"")</f>
        <v/>
      </c>
      <c r="T27" s="24" t="str">
        <f t="shared" si="1"/>
        <v>--</v>
      </c>
      <c r="U27" s="24" t="str">
        <f t="shared" si="2"/>
        <v xml:space="preserve"> from  to </v>
      </c>
    </row>
    <row r="28" spans="4:21" x14ac:dyDescent="0.35">
      <c r="E28" s="12"/>
      <c r="F28" s="12"/>
      <c r="I28" s="7"/>
      <c r="J28" s="7"/>
      <c r="K28" s="7"/>
      <c r="L28" s="10"/>
      <c r="M28" s="50"/>
      <c r="N28" s="9" t="str">
        <f t="shared" si="3"/>
        <v/>
      </c>
      <c r="O28" s="23" t="str">
        <f>IFERROR(INDEX(Coefficients!$F$2:$F$17,MATCH(K28,Coefficients!$D$2:$D$17,0)),"")</f>
        <v/>
      </c>
      <c r="P28" s="9" t="str">
        <f>IFERROR(INDEX(Coefficients!$G$2:$G$17,MATCH(K28,Coefficients!$D$2:$D$17,0)),"")</f>
        <v/>
      </c>
      <c r="Q28" s="24" t="str">
        <f>IFERROR(INDEX(Coefficients!$B$3:$B$12,MATCH(I28,Coefficients!$A$3:$A$12,0)),"")</f>
        <v/>
      </c>
      <c r="R28" s="24" t="str">
        <f>IFERROR(INDEX(Coefficients!$B$3:$B$12,MATCH(J28,Coefficients!$A$3:$A$12,0)),"")</f>
        <v/>
      </c>
      <c r="S28" s="24" t="str">
        <f>IFERROR(INDEX(Coefficients!$E$3:$E$17,MATCH(K28,Coefficients!$D$3:$D$17,0)),"")</f>
        <v/>
      </c>
      <c r="T28" s="24" t="str">
        <f t="shared" si="1"/>
        <v>--</v>
      </c>
      <c r="U28" s="24" t="str">
        <f t="shared" si="2"/>
        <v xml:space="preserve"> from  to </v>
      </c>
    </row>
    <row r="29" spans="4:21" x14ac:dyDescent="0.35">
      <c r="E29" s="12"/>
      <c r="F29" s="12"/>
      <c r="I29" s="7"/>
      <c r="J29" s="7"/>
      <c r="K29" s="7"/>
      <c r="L29" s="10"/>
      <c r="M29" s="50"/>
      <c r="N29" s="9" t="str">
        <f t="shared" si="3"/>
        <v/>
      </c>
      <c r="O29" s="23" t="str">
        <f>IFERROR(INDEX(Coefficients!$F$2:$F$17,MATCH(K29,Coefficients!$D$2:$D$17,0)),"")</f>
        <v/>
      </c>
      <c r="P29" s="9" t="str">
        <f>IFERROR(INDEX(Coefficients!$G$2:$G$17,MATCH(K29,Coefficients!$D$2:$D$17,0)),"")</f>
        <v/>
      </c>
      <c r="Q29" s="24" t="str">
        <f>IFERROR(INDEX(Coefficients!$B$3:$B$12,MATCH(I29,Coefficients!$A$3:$A$12,0)),"")</f>
        <v/>
      </c>
      <c r="R29" s="24" t="str">
        <f>IFERROR(INDEX(Coefficients!$B$3:$B$12,MATCH(J29,Coefficients!$A$3:$A$12,0)),"")</f>
        <v/>
      </c>
      <c r="S29" s="24" t="str">
        <f>IFERROR(INDEX(Coefficients!$E$3:$E$17,MATCH(K29,Coefficients!$D$3:$D$17,0)),"")</f>
        <v/>
      </c>
      <c r="T29" s="24" t="str">
        <f t="shared" si="1"/>
        <v>--</v>
      </c>
      <c r="U29" s="24" t="str">
        <f t="shared" si="2"/>
        <v xml:space="preserve"> from  to </v>
      </c>
    </row>
    <row r="30" spans="4:21" x14ac:dyDescent="0.35">
      <c r="E30" s="12"/>
      <c r="F30" s="12"/>
      <c r="I30" s="7"/>
      <c r="J30" s="7"/>
      <c r="K30" s="7"/>
      <c r="L30" s="10"/>
      <c r="M30" s="50"/>
      <c r="N30" s="9" t="str">
        <f t="shared" si="3"/>
        <v/>
      </c>
      <c r="O30" s="23" t="str">
        <f>IFERROR(INDEX(Coefficients!$F$2:$F$17,MATCH(K30,Coefficients!$D$2:$D$17,0)),"")</f>
        <v/>
      </c>
      <c r="P30" s="9" t="str">
        <f>IFERROR(INDEX(Coefficients!$G$2:$G$17,MATCH(K30,Coefficients!$D$2:$D$17,0)),"")</f>
        <v/>
      </c>
      <c r="Q30" s="24" t="str">
        <f>IFERROR(INDEX(Coefficients!$B$3:$B$12,MATCH(I30,Coefficients!$A$3:$A$12,0)),"")</f>
        <v/>
      </c>
      <c r="R30" s="24" t="str">
        <f>IFERROR(INDEX(Coefficients!$B$3:$B$12,MATCH(J30,Coefficients!$A$3:$A$12,0)),"")</f>
        <v/>
      </c>
      <c r="S30" s="24" t="str">
        <f>IFERROR(INDEX(Coefficients!$E$3:$E$17,MATCH(K30,Coefficients!$D$3:$D$17,0)),"")</f>
        <v/>
      </c>
      <c r="T30" s="24" t="str">
        <f t="shared" si="1"/>
        <v>--</v>
      </c>
      <c r="U30" s="24" t="str">
        <f t="shared" si="2"/>
        <v xml:space="preserve"> from  to </v>
      </c>
    </row>
    <row r="31" spans="4:21" x14ac:dyDescent="0.35">
      <c r="E31" s="12"/>
      <c r="F31" s="12"/>
      <c r="I31" s="7"/>
      <c r="J31" s="7"/>
      <c r="K31" s="7"/>
      <c r="L31" s="10"/>
      <c r="M31" s="50"/>
      <c r="N31" s="9" t="str">
        <f t="shared" si="3"/>
        <v/>
      </c>
      <c r="O31" s="23" t="str">
        <f>IFERROR(INDEX(Coefficients!$F$2:$F$17,MATCH(K31,Coefficients!$D$2:$D$17,0)),"")</f>
        <v/>
      </c>
      <c r="P31" s="9" t="str">
        <f>IFERROR(INDEX(Coefficients!$G$2:$G$17,MATCH(K31,Coefficients!$D$2:$D$17,0)),"")</f>
        <v/>
      </c>
      <c r="Q31" s="24" t="str">
        <f>IFERROR(INDEX(Coefficients!$B$3:$B$12,MATCH(I31,Coefficients!$A$3:$A$12,0)),"")</f>
        <v/>
      </c>
      <c r="R31" s="24" t="str">
        <f>IFERROR(INDEX(Coefficients!$B$3:$B$12,MATCH(J31,Coefficients!$A$3:$A$12,0)),"")</f>
        <v/>
      </c>
      <c r="S31" s="24" t="str">
        <f>IFERROR(INDEX(Coefficients!$E$3:$E$17,MATCH(K31,Coefficients!$D$3:$D$17,0)),"")</f>
        <v/>
      </c>
      <c r="T31" s="24" t="str">
        <f t="shared" si="1"/>
        <v>--</v>
      </c>
      <c r="U31" s="24" t="str">
        <f t="shared" si="2"/>
        <v xml:space="preserve"> from  to </v>
      </c>
    </row>
    <row r="32" spans="4:21" x14ac:dyDescent="0.35">
      <c r="E32" s="12"/>
      <c r="F32" s="12"/>
      <c r="I32" s="7"/>
      <c r="J32" s="7"/>
      <c r="K32" s="7"/>
      <c r="L32" s="10"/>
      <c r="M32" s="50"/>
      <c r="N32" s="9" t="str">
        <f t="shared" si="3"/>
        <v/>
      </c>
      <c r="O32" s="23" t="str">
        <f>IFERROR(INDEX(Coefficients!$F$2:$F$17,MATCH(K32,Coefficients!$D$2:$D$17,0)),"")</f>
        <v/>
      </c>
      <c r="P32" s="9" t="str">
        <f>IFERROR(INDEX(Coefficients!$G$2:$G$17,MATCH(K32,Coefficients!$D$2:$D$17,0)),"")</f>
        <v/>
      </c>
      <c r="Q32" s="24" t="str">
        <f>IFERROR(INDEX(Coefficients!$B$3:$B$12,MATCH(I32,Coefficients!$A$3:$A$12,0)),"")</f>
        <v/>
      </c>
      <c r="R32" s="24" t="str">
        <f>IFERROR(INDEX(Coefficients!$B$3:$B$12,MATCH(J32,Coefficients!$A$3:$A$12,0)),"")</f>
        <v/>
      </c>
      <c r="S32" s="24" t="str">
        <f>IFERROR(INDEX(Coefficients!$E$3:$E$17,MATCH(K32,Coefficients!$D$3:$D$17,0)),"")</f>
        <v/>
      </c>
      <c r="T32" s="24" t="str">
        <f t="shared" si="1"/>
        <v>--</v>
      </c>
      <c r="U32" s="24" t="str">
        <f t="shared" si="2"/>
        <v xml:space="preserve"> from  to </v>
      </c>
    </row>
    <row r="33" spans="5:21" x14ac:dyDescent="0.35">
      <c r="E33" s="12"/>
      <c r="F33" s="12"/>
      <c r="I33" s="7"/>
      <c r="J33" s="7"/>
      <c r="K33" s="7"/>
      <c r="L33" s="10"/>
      <c r="M33" s="50"/>
      <c r="N33" s="9" t="str">
        <f t="shared" si="3"/>
        <v/>
      </c>
      <c r="O33" s="23" t="str">
        <f>IFERROR(INDEX(Coefficients!$F$2:$F$17,MATCH(K33,Coefficients!$D$2:$D$17,0)),"")</f>
        <v/>
      </c>
      <c r="P33" s="9" t="str">
        <f>IFERROR(INDEX(Coefficients!$G$2:$G$17,MATCH(K33,Coefficients!$D$2:$D$17,0)),"")</f>
        <v/>
      </c>
      <c r="Q33" s="24" t="str">
        <f>IFERROR(INDEX(Coefficients!$B$3:$B$12,MATCH(I33,Coefficients!$A$3:$A$12,0)),"")</f>
        <v/>
      </c>
      <c r="R33" s="24" t="str">
        <f>IFERROR(INDEX(Coefficients!$B$3:$B$12,MATCH(J33,Coefficients!$A$3:$A$12,0)),"")</f>
        <v/>
      </c>
      <c r="S33" s="24" t="str">
        <f>IFERROR(INDEX(Coefficients!$E$3:$E$17,MATCH(K33,Coefficients!$D$3:$D$17,0)),"")</f>
        <v/>
      </c>
      <c r="T33" s="24" t="str">
        <f t="shared" si="1"/>
        <v>--</v>
      </c>
      <c r="U33" s="24" t="str">
        <f t="shared" si="2"/>
        <v xml:space="preserve"> from  to </v>
      </c>
    </row>
    <row r="34" spans="5:21" x14ac:dyDescent="0.35">
      <c r="E34" s="12"/>
      <c r="F34" s="12"/>
      <c r="I34" s="7"/>
      <c r="J34" s="7"/>
      <c r="K34" s="7"/>
      <c r="L34" s="10"/>
      <c r="M34" s="50"/>
      <c r="N34" s="9" t="str">
        <f t="shared" si="3"/>
        <v/>
      </c>
      <c r="O34" s="23" t="str">
        <f>IFERROR(INDEX(Coefficients!$F$2:$F$17,MATCH(K34,Coefficients!$D$2:$D$17,0)),"")</f>
        <v/>
      </c>
      <c r="P34" s="9" t="str">
        <f>IFERROR(INDEX(Coefficients!$G$2:$G$17,MATCH(K34,Coefficients!$D$2:$D$17,0)),"")</f>
        <v/>
      </c>
      <c r="Q34" s="24" t="str">
        <f>IFERROR(INDEX(Coefficients!$B$3:$B$12,MATCH(I34,Coefficients!$A$3:$A$12,0)),"")</f>
        <v/>
      </c>
      <c r="R34" s="24" t="str">
        <f>IFERROR(INDEX(Coefficients!$B$3:$B$12,MATCH(J34,Coefficients!$A$3:$A$12,0)),"")</f>
        <v/>
      </c>
      <c r="S34" s="24" t="str">
        <f>IFERROR(INDEX(Coefficients!$E$3:$E$17,MATCH(K34,Coefficients!$D$3:$D$17,0)),"")</f>
        <v/>
      </c>
      <c r="T34" s="24" t="str">
        <f t="shared" si="1"/>
        <v>--</v>
      </c>
      <c r="U34" s="24" t="str">
        <f t="shared" si="2"/>
        <v xml:space="preserve"> from  to </v>
      </c>
    </row>
    <row r="35" spans="5:21" x14ac:dyDescent="0.35">
      <c r="E35" s="12"/>
      <c r="F35" s="12"/>
      <c r="I35" s="7"/>
      <c r="J35" s="7"/>
      <c r="K35" s="7"/>
      <c r="L35" s="10"/>
      <c r="M35" s="50"/>
      <c r="N35" s="9" t="str">
        <f t="shared" si="3"/>
        <v/>
      </c>
      <c r="O35" s="23" t="str">
        <f>IFERROR(INDEX(Coefficients!$F$2:$F$17,MATCH(K35,Coefficients!$D$2:$D$17,0)),"")</f>
        <v/>
      </c>
      <c r="P35" s="9" t="str">
        <f>IFERROR(INDEX(Coefficients!$G$2:$G$17,MATCH(K35,Coefficients!$D$2:$D$17,0)),"")</f>
        <v/>
      </c>
      <c r="Q35" s="24" t="str">
        <f>IFERROR(INDEX(Coefficients!$B$3:$B$12,MATCH(I35,Coefficients!$A$3:$A$12,0)),"")</f>
        <v/>
      </c>
      <c r="R35" s="24" t="str">
        <f>IFERROR(INDEX(Coefficients!$B$3:$B$12,MATCH(J35,Coefficients!$A$3:$A$12,0)),"")</f>
        <v/>
      </c>
      <c r="S35" s="24" t="str">
        <f>IFERROR(INDEX(Coefficients!$E$3:$E$17,MATCH(K35,Coefficients!$D$3:$D$17,0)),"")</f>
        <v/>
      </c>
      <c r="T35" s="24" t="str">
        <f t="shared" si="1"/>
        <v>--</v>
      </c>
      <c r="U35" s="24" t="str">
        <f t="shared" si="2"/>
        <v xml:space="preserve"> from  to </v>
      </c>
    </row>
    <row r="36" spans="5:21" x14ac:dyDescent="0.35">
      <c r="E36" s="12"/>
      <c r="F36" s="12"/>
      <c r="I36" s="7"/>
      <c r="J36" s="7"/>
      <c r="K36" s="7"/>
      <c r="L36" s="10"/>
      <c r="M36" s="50"/>
      <c r="N36" s="9" t="str">
        <f t="shared" si="3"/>
        <v/>
      </c>
      <c r="O36" s="23" t="str">
        <f>IFERROR(INDEX(Coefficients!$F$2:$F$17,MATCH(K36,Coefficients!$D$2:$D$17,0)),"")</f>
        <v/>
      </c>
      <c r="P36" s="9" t="str">
        <f>IFERROR(INDEX(Coefficients!$G$2:$G$17,MATCH(K36,Coefficients!$D$2:$D$17,0)),"")</f>
        <v/>
      </c>
      <c r="Q36" s="24" t="str">
        <f>IFERROR(INDEX(Coefficients!$B$3:$B$12,MATCH(I36,Coefficients!$A$3:$A$12,0)),"")</f>
        <v/>
      </c>
      <c r="R36" s="24" t="str">
        <f>IFERROR(INDEX(Coefficients!$B$3:$B$12,MATCH(J36,Coefficients!$A$3:$A$12,0)),"")</f>
        <v/>
      </c>
      <c r="S36" s="24" t="str">
        <f>IFERROR(INDEX(Coefficients!$E$3:$E$17,MATCH(K36,Coefficients!$D$3:$D$17,0)),"")</f>
        <v/>
      </c>
      <c r="T36" s="24" t="str">
        <f t="shared" si="1"/>
        <v>--</v>
      </c>
      <c r="U36" s="24" t="str">
        <f t="shared" si="2"/>
        <v xml:space="preserve"> from  to </v>
      </c>
    </row>
    <row r="37" spans="5:21" x14ac:dyDescent="0.35">
      <c r="E37" s="12"/>
      <c r="F37" s="12"/>
      <c r="I37" s="7"/>
      <c r="J37" s="7"/>
      <c r="K37" s="7"/>
      <c r="L37" s="10"/>
      <c r="M37" s="50"/>
      <c r="N37" s="9" t="str">
        <f t="shared" si="3"/>
        <v/>
      </c>
      <c r="O37" s="23" t="str">
        <f>IFERROR(INDEX(Coefficients!$F$2:$F$17,MATCH(K37,Coefficients!$D$2:$D$17,0)),"")</f>
        <v/>
      </c>
      <c r="P37" s="9" t="str">
        <f>IFERROR(INDEX(Coefficients!$G$2:$G$17,MATCH(K37,Coefficients!$D$2:$D$17,0)),"")</f>
        <v/>
      </c>
      <c r="Q37" s="24" t="str">
        <f>IFERROR(INDEX(Coefficients!$B$3:$B$12,MATCH(I37,Coefficients!$A$3:$A$12,0)),"")</f>
        <v/>
      </c>
      <c r="R37" s="24" t="str">
        <f>IFERROR(INDEX(Coefficients!$B$3:$B$12,MATCH(J37,Coefficients!$A$3:$A$12,0)),"")</f>
        <v/>
      </c>
      <c r="S37" s="24" t="str">
        <f>IFERROR(INDEX(Coefficients!$E$3:$E$17,MATCH(K37,Coefficients!$D$3:$D$17,0)),"")</f>
        <v/>
      </c>
      <c r="T37" s="24" t="str">
        <f t="shared" si="1"/>
        <v>--</v>
      </c>
      <c r="U37" s="24" t="str">
        <f t="shared" si="2"/>
        <v xml:space="preserve"> from  to </v>
      </c>
    </row>
    <row r="38" spans="5:21" x14ac:dyDescent="0.35">
      <c r="E38" s="12"/>
      <c r="F38" s="12"/>
      <c r="I38" s="7"/>
      <c r="J38" s="7"/>
      <c r="K38" s="7"/>
      <c r="L38" s="10"/>
      <c r="M38" s="50"/>
      <c r="N38" s="9" t="str">
        <f t="shared" si="3"/>
        <v/>
      </c>
      <c r="O38" s="23" t="str">
        <f>IFERROR(INDEX(Coefficients!$F$2:$F$17,MATCH(K38,Coefficients!$D$2:$D$17,0)),"")</f>
        <v/>
      </c>
      <c r="P38" s="9" t="str">
        <f>IFERROR(INDEX(Coefficients!$G$2:$G$17,MATCH(K38,Coefficients!$D$2:$D$17,0)),"")</f>
        <v/>
      </c>
      <c r="Q38" s="24" t="str">
        <f>IFERROR(INDEX(Coefficients!$B$3:$B$12,MATCH(I38,Coefficients!$A$3:$A$12,0)),"")</f>
        <v/>
      </c>
      <c r="R38" s="24" t="str">
        <f>IFERROR(INDEX(Coefficients!$B$3:$B$12,MATCH(J38,Coefficients!$A$3:$A$12,0)),"")</f>
        <v/>
      </c>
      <c r="S38" s="24" t="str">
        <f>IFERROR(INDEX(Coefficients!$E$3:$E$17,MATCH(K38,Coefficients!$D$3:$D$17,0)),"")</f>
        <v/>
      </c>
      <c r="T38" s="24" t="str">
        <f t="shared" si="1"/>
        <v>--</v>
      </c>
      <c r="U38" s="24" t="str">
        <f t="shared" si="2"/>
        <v xml:space="preserve"> from  to </v>
      </c>
    </row>
    <row r="39" spans="5:21" x14ac:dyDescent="0.35">
      <c r="E39" s="5"/>
      <c r="F39" s="5"/>
      <c r="I39" s="7"/>
      <c r="J39" s="7"/>
      <c r="K39" s="7"/>
      <c r="L39" s="10"/>
      <c r="M39" s="50"/>
      <c r="N39" s="9" t="str">
        <f t="shared" si="3"/>
        <v/>
      </c>
      <c r="O39" s="23" t="str">
        <f>IFERROR(INDEX(Coefficients!$F$2:$F$17,MATCH(K39,Coefficients!$D$2:$D$17,0)),"")</f>
        <v/>
      </c>
      <c r="P39" s="9" t="str">
        <f>IFERROR(INDEX(Coefficients!$G$2:$G$17,MATCH(K39,Coefficients!$D$2:$D$17,0)),"")</f>
        <v/>
      </c>
      <c r="Q39" s="24" t="str">
        <f>IFERROR(INDEX(Coefficients!$B$3:$B$12,MATCH(I39,Coefficients!$A$3:$A$12,0)),"")</f>
        <v/>
      </c>
      <c r="R39" s="24" t="str">
        <f>IFERROR(INDEX(Coefficients!$B$3:$B$12,MATCH(J39,Coefficients!$A$3:$A$12,0)),"")</f>
        <v/>
      </c>
      <c r="S39" s="24" t="str">
        <f>IFERROR(INDEX(Coefficients!$E$3:$E$17,MATCH(K39,Coefficients!$D$3:$D$17,0)),"")</f>
        <v/>
      </c>
      <c r="T39" s="24" t="str">
        <f t="shared" si="1"/>
        <v>--</v>
      </c>
      <c r="U39" s="24" t="str">
        <f t="shared" si="2"/>
        <v xml:space="preserve"> from  to </v>
      </c>
    </row>
    <row r="40" spans="5:21" x14ac:dyDescent="0.35">
      <c r="I40" s="7"/>
      <c r="J40" s="7"/>
      <c r="K40" s="7"/>
      <c r="L40" s="10"/>
      <c r="M40" s="50"/>
      <c r="N40" s="9" t="str">
        <f t="shared" si="3"/>
        <v/>
      </c>
      <c r="O40" s="23" t="str">
        <f>IFERROR(INDEX(Coefficients!$F$2:$F$17,MATCH(K40,Coefficients!$D$2:$D$17,0)),"")</f>
        <v/>
      </c>
      <c r="P40" s="9" t="str">
        <f>IFERROR(INDEX(Coefficients!$G$2:$G$17,MATCH(K40,Coefficients!$D$2:$D$17,0)),"")</f>
        <v/>
      </c>
      <c r="Q40" s="24" t="str">
        <f>IFERROR(INDEX(Coefficients!$B$3:$B$12,MATCH(I40,Coefficients!$A$3:$A$12,0)),"")</f>
        <v/>
      </c>
      <c r="R40" s="24" t="str">
        <f>IFERROR(INDEX(Coefficients!$B$3:$B$12,MATCH(J40,Coefficients!$A$3:$A$12,0)),"")</f>
        <v/>
      </c>
      <c r="S40" s="24" t="str">
        <f>IFERROR(INDEX(Coefficients!$E$3:$E$17,MATCH(K40,Coefficients!$D$3:$D$17,0)),"")</f>
        <v/>
      </c>
      <c r="T40" s="24" t="str">
        <f t="shared" si="1"/>
        <v>--</v>
      </c>
      <c r="U40" s="24" t="str">
        <f t="shared" si="2"/>
        <v xml:space="preserve"> from  to </v>
      </c>
    </row>
    <row r="41" spans="5:21" x14ac:dyDescent="0.35">
      <c r="I41" s="7"/>
      <c r="J41" s="7"/>
      <c r="K41" s="7"/>
      <c r="L41" s="10"/>
      <c r="M41" s="50"/>
      <c r="N41" s="9" t="str">
        <f t="shared" si="3"/>
        <v/>
      </c>
      <c r="O41" s="23" t="str">
        <f>IFERROR(INDEX(Coefficients!$F$2:$F$17,MATCH(K41,Coefficients!$D$2:$D$17,0)),"")</f>
        <v/>
      </c>
      <c r="P41" s="9" t="str">
        <f>IFERROR(INDEX(Coefficients!$G$2:$G$17,MATCH(K41,Coefficients!$D$2:$D$17,0)),"")</f>
        <v/>
      </c>
      <c r="Q41" s="24" t="str">
        <f>IFERROR(INDEX(Coefficients!$B$3:$B$12,MATCH(I41,Coefficients!$A$3:$A$12,0)),"")</f>
        <v/>
      </c>
      <c r="R41" s="24" t="str">
        <f>IFERROR(INDEX(Coefficients!$B$3:$B$12,MATCH(J41,Coefficients!$A$3:$A$12,0)),"")</f>
        <v/>
      </c>
      <c r="S41" s="24" t="str">
        <f>IFERROR(INDEX(Coefficients!$E$3:$E$17,MATCH(K41,Coefficients!$D$3:$D$17,0)),"")</f>
        <v/>
      </c>
      <c r="T41" s="24" t="str">
        <f t="shared" si="1"/>
        <v>--</v>
      </c>
      <c r="U41" s="24" t="str">
        <f t="shared" si="2"/>
        <v xml:space="preserve"> from  to </v>
      </c>
    </row>
    <row r="42" spans="5:21" x14ac:dyDescent="0.35">
      <c r="M42"/>
    </row>
    <row r="43" spans="5:21" x14ac:dyDescent="0.35">
      <c r="M43"/>
    </row>
    <row r="44" spans="5:21" x14ac:dyDescent="0.2">
      <c r="M44"/>
    </row>
    <row r="45" spans="5:21" x14ac:dyDescent="0.2">
      <c r="M45"/>
    </row>
    <row r="46" spans="5:21" x14ac:dyDescent="0.2">
      <c r="M46"/>
    </row>
    <row r="47" spans="5:21" x14ac:dyDescent="0.2">
      <c r="M47"/>
    </row>
    <row r="48" spans="5:21" x14ac:dyDescent="0.2">
      <c r="M48"/>
    </row>
    <row r="49" spans="13:13" x14ac:dyDescent="0.2">
      <c r="M49"/>
    </row>
    <row r="50" spans="13:13" x14ac:dyDescent="0.2">
      <c r="M50"/>
    </row>
    <row r="51" spans="13:13" x14ac:dyDescent="0.2">
      <c r="M51"/>
    </row>
    <row r="52" spans="13:13" x14ac:dyDescent="0.2">
      <c r="M52"/>
    </row>
    <row r="53" spans="13:13" x14ac:dyDescent="0.2">
      <c r="M53"/>
    </row>
  </sheetData>
  <conditionalFormatting sqref="T57:T1048576 T1:T41">
    <cfRule type="duplicateValues" dxfId="1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showGridLines="0" zoomScale="85" zoomScaleNormal="85" zoomScalePageLayoutView="85" workbookViewId="0">
      <selection activeCell="O21" sqref="O21"/>
    </sheetView>
  </sheetViews>
  <sheetFormatPr baseColWidth="10" defaultColWidth="10.6640625" defaultRowHeight="16" x14ac:dyDescent="0.2"/>
  <cols>
    <col min="1" max="1" width="9.1640625" customWidth="1"/>
    <col min="2" max="6" width="9.83203125" customWidth="1"/>
    <col min="7" max="8" width="9.83203125" style="45" customWidth="1"/>
    <col min="9" max="13" width="9.83203125" customWidth="1"/>
    <col min="14" max="14" width="9.83203125" style="45" customWidth="1"/>
    <col min="15" max="15" width="9.83203125" customWidth="1"/>
    <col min="16" max="16" width="9.83203125" style="1" customWidth="1"/>
    <col min="17" max="35" width="9.83203125" customWidth="1"/>
    <col min="36" max="36" width="14.1640625" bestFit="1" customWidth="1"/>
    <col min="37" max="43" width="9.83203125" customWidth="1"/>
    <col min="44" max="44" width="13.33203125" bestFit="1" customWidth="1"/>
    <col min="46" max="46" width="9.83203125" customWidth="1"/>
  </cols>
  <sheetData>
    <row r="1" spans="1:48" x14ac:dyDescent="0.2">
      <c r="B1" s="2" t="s">
        <v>91</v>
      </c>
      <c r="H1" s="88"/>
      <c r="I1" s="2" t="s">
        <v>115</v>
      </c>
      <c r="P1" s="20" t="s">
        <v>18</v>
      </c>
      <c r="W1" s="31" t="s">
        <v>96</v>
      </c>
      <c r="X1" s="32">
        <f>MAX(X4:X17)</f>
        <v>4.7417880851797567E-3</v>
      </c>
      <c r="Y1" s="32">
        <f>MAX(Y4:Y17)</f>
        <v>1.9831093071671611E-2</v>
      </c>
      <c r="Z1" s="32">
        <f>MIN(Z4:Z17)</f>
        <v>6.9972485652433372E-2</v>
      </c>
      <c r="AA1" s="32">
        <f>MAX(AA4:AA17)</f>
        <v>3.0120481927710843E-2</v>
      </c>
      <c r="AB1" s="32">
        <f>MIN(AB4:AB17)</f>
        <v>1.6401501466339792E-3</v>
      </c>
      <c r="AU1" s="4" t="s">
        <v>24</v>
      </c>
    </row>
    <row r="2" spans="1:48" x14ac:dyDescent="0.2">
      <c r="B2" s="27" t="s">
        <v>93</v>
      </c>
      <c r="C2" s="26">
        <f>SUM(C4:C36)</f>
        <v>383</v>
      </c>
      <c r="D2" s="26">
        <f t="shared" ref="D2:G2" si="0">SUM(D4:D36)</f>
        <v>100.69</v>
      </c>
      <c r="E2" s="26">
        <f t="shared" si="0"/>
        <v>13.414999999999999</v>
      </c>
      <c r="F2" s="26">
        <f t="shared" si="0"/>
        <v>44</v>
      </c>
      <c r="G2" s="46">
        <f t="shared" si="0"/>
        <v>88.916666666666671</v>
      </c>
      <c r="H2" s="88"/>
      <c r="I2" s="27" t="s">
        <v>93</v>
      </c>
      <c r="J2" s="26">
        <f>SUM(J4:J36)</f>
        <v>11599</v>
      </c>
      <c r="K2" s="26">
        <f t="shared" ref="K2:N2" si="1">SUM(K4:K36)</f>
        <v>1815.3310999999999</v>
      </c>
      <c r="L2" s="26">
        <f t="shared" si="1"/>
        <v>12.8621985</v>
      </c>
      <c r="M2" s="26">
        <f t="shared" si="1"/>
        <v>166</v>
      </c>
      <c r="N2" s="46">
        <f t="shared" si="1"/>
        <v>609.70027777777773</v>
      </c>
      <c r="P2" s="25" t="s">
        <v>19</v>
      </c>
      <c r="Q2" s="30">
        <f>INDEX(GUI!$F$5:$F$9,MATCH(TOPSIS!Q3,GUI!$E$5:$E$9,0))</f>
        <v>1</v>
      </c>
      <c r="R2" s="30">
        <f>INDEX(GUI!$F$5:$F$9,MATCH(TOPSIS!R3,GUI!$E$5:$E$9,0))</f>
        <v>1</v>
      </c>
      <c r="S2" s="30">
        <f>INDEX(GUI!$F$5:$F$9,MATCH(TOPSIS!S3,GUI!$E$5:$E$9,0))</f>
        <v>1</v>
      </c>
      <c r="T2" s="30">
        <f>INDEX(GUI!$F$5:$F$9,MATCH(TOPSIS!T3,GUI!$E$5:$E$9,0))</f>
        <v>1</v>
      </c>
      <c r="U2" s="30">
        <f>INDEX(GUI!$F$5:$F$9,MATCH(TOPSIS!U3,GUI!$E$5:$E$9,0))</f>
        <v>1</v>
      </c>
      <c r="W2" s="33" t="s">
        <v>95</v>
      </c>
      <c r="X2" s="34">
        <f>MIN(X4:X17)</f>
        <v>1.4656435899646522E-3</v>
      </c>
      <c r="Y2" s="34">
        <f t="shared" ref="Y2:AA2" si="2">MIN(Y4:Y17)</f>
        <v>0</v>
      </c>
      <c r="Z2" s="34">
        <f>MAX(Z4:Z17)</f>
        <v>7.7747206280481526E-2</v>
      </c>
      <c r="AA2" s="34">
        <f t="shared" si="2"/>
        <v>6.024096385542169E-3</v>
      </c>
      <c r="AB2" s="34">
        <f>MAX(AB4:AB17)</f>
        <v>1.6401501466339792E-2</v>
      </c>
      <c r="AD2" s="2" t="s">
        <v>20</v>
      </c>
      <c r="AJ2" s="4" t="s">
        <v>22</v>
      </c>
      <c r="AK2" s="4"/>
      <c r="AL2" s="2" t="s">
        <v>21</v>
      </c>
      <c r="AM2">
        <v>2</v>
      </c>
      <c r="AN2">
        <v>9</v>
      </c>
      <c r="AO2">
        <v>2</v>
      </c>
      <c r="AP2">
        <v>9</v>
      </c>
      <c r="AQ2">
        <v>7</v>
      </c>
      <c r="AR2" s="4" t="s">
        <v>23</v>
      </c>
      <c r="AT2" s="2" t="s">
        <v>98</v>
      </c>
    </row>
    <row r="3" spans="1:48" x14ac:dyDescent="0.2">
      <c r="B3" s="16" t="s">
        <v>92</v>
      </c>
      <c r="C3" s="16" t="s">
        <v>4</v>
      </c>
      <c r="D3" s="15" t="s">
        <v>0</v>
      </c>
      <c r="E3" s="16" t="s">
        <v>16</v>
      </c>
      <c r="F3" s="16" t="s">
        <v>5</v>
      </c>
      <c r="G3" s="47" t="s">
        <v>7</v>
      </c>
      <c r="H3" s="88"/>
      <c r="I3" s="16" t="s">
        <v>92</v>
      </c>
      <c r="J3" s="16" t="s">
        <v>4</v>
      </c>
      <c r="K3" s="15" t="s">
        <v>0</v>
      </c>
      <c r="L3" s="16" t="s">
        <v>16</v>
      </c>
      <c r="M3" s="16" t="s">
        <v>5</v>
      </c>
      <c r="N3" s="47" t="s">
        <v>7</v>
      </c>
      <c r="P3" s="16" t="s">
        <v>92</v>
      </c>
      <c r="Q3" s="8" t="s">
        <v>4</v>
      </c>
      <c r="R3" s="8" t="s">
        <v>0</v>
      </c>
      <c r="S3" s="8" t="s">
        <v>16</v>
      </c>
      <c r="T3" s="8" t="s">
        <v>5</v>
      </c>
      <c r="U3" s="8" t="s">
        <v>7</v>
      </c>
      <c r="W3" s="16" t="s">
        <v>92</v>
      </c>
      <c r="X3" s="8" t="s">
        <v>4</v>
      </c>
      <c r="Y3" s="8" t="s">
        <v>0</v>
      </c>
      <c r="Z3" s="8" t="s">
        <v>16</v>
      </c>
      <c r="AA3" s="8" t="s">
        <v>5</v>
      </c>
      <c r="AB3" s="8" t="s">
        <v>7</v>
      </c>
      <c r="AD3" s="16" t="s">
        <v>92</v>
      </c>
      <c r="AE3" s="8" t="s">
        <v>4</v>
      </c>
      <c r="AF3" s="8" t="s">
        <v>0</v>
      </c>
      <c r="AG3" s="8" t="s">
        <v>16</v>
      </c>
      <c r="AH3" s="8" t="s">
        <v>5</v>
      </c>
      <c r="AI3" s="8" t="s">
        <v>7</v>
      </c>
      <c r="AJ3" s="12" t="s">
        <v>97</v>
      </c>
      <c r="AL3" s="16" t="s">
        <v>92</v>
      </c>
      <c r="AM3" s="8" t="s">
        <v>4</v>
      </c>
      <c r="AN3" s="8" t="s">
        <v>0</v>
      </c>
      <c r="AO3" s="8" t="s">
        <v>16</v>
      </c>
      <c r="AP3" s="8" t="s">
        <v>5</v>
      </c>
      <c r="AQ3" s="8" t="s">
        <v>7</v>
      </c>
      <c r="AR3" s="12" t="s">
        <v>97</v>
      </c>
      <c r="AT3" s="16" t="s">
        <v>92</v>
      </c>
      <c r="AU3" s="8" t="s">
        <v>26</v>
      </c>
      <c r="AV3" s="8" t="s">
        <v>99</v>
      </c>
    </row>
    <row r="4" spans="1:48" x14ac:dyDescent="0.2">
      <c r="A4" s="6"/>
      <c r="B4" s="21">
        <v>1</v>
      </c>
      <c r="C4" s="21">
        <f>IF(ISNUMBER($B4),SUMIF(Routes!$O:$O,$B4,Routes!Q:Q),"")</f>
        <v>33</v>
      </c>
      <c r="D4" s="22">
        <f>IF(ISNUMBER($B4),SUMIF(Routes!$O:$O,$B4,Routes!R:R),"")</f>
        <v>2.75</v>
      </c>
      <c r="E4" s="49">
        <f>IFERROR(AVERAGEIFS(Routes!$S$2:$S$54,Routes!$O$2:$O$54,TOPSIS!B4),"")</f>
        <v>0.97666666666666668</v>
      </c>
      <c r="F4" s="21">
        <f>IF(ISNUMBER($B4),SUMIF(Routes!$O:$O,$B4,Routes!T:T),"")</f>
        <v>3</v>
      </c>
      <c r="G4" s="48">
        <f>IFERROR(AVERAGEIF(Routes!$O$2:$O$54,TOPSIS!B4,Routes!$U$2:$U$54),"")</f>
        <v>6.333333333333333</v>
      </c>
      <c r="H4" s="88"/>
      <c r="I4" s="21">
        <v>1</v>
      </c>
      <c r="J4" s="89">
        <f>C4^2</f>
        <v>1089</v>
      </c>
      <c r="K4" s="89">
        <f t="shared" ref="K4:N4" si="3">D4^2</f>
        <v>7.5625</v>
      </c>
      <c r="L4" s="89">
        <f t="shared" si="3"/>
        <v>0.95387777777777782</v>
      </c>
      <c r="M4" s="89">
        <f t="shared" si="3"/>
        <v>9</v>
      </c>
      <c r="N4" s="89">
        <f t="shared" si="3"/>
        <v>40.111111111111107</v>
      </c>
      <c r="P4" s="21">
        <v>1</v>
      </c>
      <c r="Q4" s="28">
        <f>C4/J$2</f>
        <v>2.845072851107854E-3</v>
      </c>
      <c r="R4" s="28">
        <f t="shared" ref="R4:U4" si="4">D4/K$2</f>
        <v>1.5148751651971369E-3</v>
      </c>
      <c r="S4" s="28">
        <f t="shared" si="4"/>
        <v>7.5933104800603626E-2</v>
      </c>
      <c r="T4" s="28">
        <f t="shared" si="4"/>
        <v>1.8072289156626505E-2</v>
      </c>
      <c r="U4" s="28">
        <f t="shared" si="4"/>
        <v>1.0387617595348534E-2</v>
      </c>
      <c r="W4" s="35">
        <v>1</v>
      </c>
      <c r="X4" s="36">
        <f t="shared" ref="X4:X17" si="5">Q4*Q$2</f>
        <v>2.845072851107854E-3</v>
      </c>
      <c r="Y4" s="36">
        <f t="shared" ref="Y4:Y17" si="6">R4*R$2</f>
        <v>1.5148751651971369E-3</v>
      </c>
      <c r="Z4" s="36">
        <f t="shared" ref="Z4:Z17" si="7">S4*S$2</f>
        <v>7.5933104800603626E-2</v>
      </c>
      <c r="AA4" s="36">
        <f t="shared" ref="AA4:AA17" si="8">T4*T$2</f>
        <v>1.8072289156626505E-2</v>
      </c>
      <c r="AB4" s="36">
        <f t="shared" ref="AB4:AB17" si="9">U4*U$2</f>
        <v>1.0387617595348534E-2</v>
      </c>
      <c r="AD4" s="21">
        <v>1</v>
      </c>
      <c r="AE4" s="37">
        <f>X4-X$2</f>
        <v>1.3794292611432018E-3</v>
      </c>
      <c r="AF4" s="37">
        <f t="shared" ref="AF4:AI4" si="10">Y4-Y$2</f>
        <v>1.5148751651971369E-3</v>
      </c>
      <c r="AG4" s="37">
        <f t="shared" si="10"/>
        <v>-1.8141014798778998E-3</v>
      </c>
      <c r="AH4" s="37">
        <f t="shared" si="10"/>
        <v>1.2048192771084336E-2</v>
      </c>
      <c r="AI4" s="37">
        <f t="shared" si="10"/>
        <v>-6.0138838709912577E-3</v>
      </c>
      <c r="AJ4">
        <f>IFERROR(ABS(IF(SUM(AE4:AI4)=0,"",SUM(AE4:AI4))),"")</f>
        <v>7.1145118465555171E-3</v>
      </c>
      <c r="AL4" s="21">
        <v>1</v>
      </c>
      <c r="AM4" s="37">
        <f>X4-X$1</f>
        <v>-1.8967152340719027E-3</v>
      </c>
      <c r="AN4" s="37">
        <f t="shared" ref="AN4:AQ4" si="11">Y4-Y$1</f>
        <v>-1.8316217906474475E-2</v>
      </c>
      <c r="AO4" s="37">
        <f t="shared" si="11"/>
        <v>5.9606191481702542E-3</v>
      </c>
      <c r="AP4" s="37">
        <f t="shared" si="11"/>
        <v>-1.2048192771084338E-2</v>
      </c>
      <c r="AQ4" s="37">
        <f t="shared" si="11"/>
        <v>8.7474674487145552E-3</v>
      </c>
      <c r="AR4">
        <f>IFERROR(ABS(IF(SUM(AM4:AQ4)=0,"",SUM(AM4:AQ4))),"")</f>
        <v>1.7553039314745902E-2</v>
      </c>
      <c r="AT4" s="21">
        <v>1</v>
      </c>
      <c r="AU4" s="7">
        <f>AJ4/(AR4+AJ4)</f>
        <v>0.28841581395873617</v>
      </c>
      <c r="AV4" s="7">
        <f>RANK(AU4,$AU$4:$AU$17,1)</f>
        <v>5</v>
      </c>
    </row>
    <row r="5" spans="1:48" x14ac:dyDescent="0.2">
      <c r="B5" s="21">
        <f>IFERROR(IF((B4+1)&gt;(MAX(Routes!$O:$O)+1),"",B4+1),"")</f>
        <v>2</v>
      </c>
      <c r="C5" s="21">
        <f>IF(ISNUMBER($B5),SUMIF(Routes!$O:$O,$B5,Routes!Q:Q),"")</f>
        <v>20</v>
      </c>
      <c r="D5" s="22">
        <f>IF(ISNUMBER($B5),SUMIF(Routes!$O:$O,$B5,Routes!R:R),"")</f>
        <v>5</v>
      </c>
      <c r="E5" s="49">
        <f>IFERROR(AVERAGEIFS(Routes!$S$2:$S$54,Routes!$O$2:$O$54,TOPSIS!B5),"")</f>
        <v>0.9325</v>
      </c>
      <c r="F5" s="21">
        <f>IF(ISNUMBER($B5),SUMIF(Routes!$O:$O,$B5,Routes!T:T),"")</f>
        <v>4</v>
      </c>
      <c r="G5" s="48">
        <f>IFERROR(AVERAGEIF(Routes!$O$2:$O$54,TOPSIS!B5,Routes!$U$2:$U$54),"")</f>
        <v>6.5</v>
      </c>
      <c r="H5" s="88"/>
      <c r="I5" s="21">
        <f>IFERROR(IF((I4+1)&gt;(MAX(Routes!$O:$O)+1),"",I4+1),"")</f>
        <v>2</v>
      </c>
      <c r="J5" s="89">
        <f t="shared" ref="J5:J17" si="12">C5^2</f>
        <v>400</v>
      </c>
      <c r="K5" s="89">
        <f t="shared" ref="K5:K17" si="13">D5^2</f>
        <v>25</v>
      </c>
      <c r="L5" s="89">
        <f t="shared" ref="L5:L17" si="14">E5^2</f>
        <v>0.86955625000000003</v>
      </c>
      <c r="M5" s="89">
        <f t="shared" ref="M5:M17" si="15">F5^2</f>
        <v>16</v>
      </c>
      <c r="N5" s="89">
        <f t="shared" ref="N5:N17" si="16">G5^2</f>
        <v>42.25</v>
      </c>
      <c r="P5" s="21">
        <f>IFERROR(IF((P4+1)&gt;(MAX(Routes!$O:$O)+1),"",P4+1),"")</f>
        <v>2</v>
      </c>
      <c r="Q5" s="28">
        <f t="shared" ref="Q5:Q17" si="17">C5/J$2</f>
        <v>1.7242865764290024E-3</v>
      </c>
      <c r="R5" s="28">
        <f t="shared" ref="R5:R17" si="18">D5/K$2</f>
        <v>2.7543184821766124E-3</v>
      </c>
      <c r="S5" s="28">
        <f t="shared" ref="S5:S17" si="19">E5/L$2</f>
        <v>7.2499269856549017E-2</v>
      </c>
      <c r="T5" s="28">
        <f t="shared" ref="T5:T17" si="20">F5/M$2</f>
        <v>2.4096385542168676E-2</v>
      </c>
      <c r="U5" s="28">
        <f t="shared" ref="U5:U17" si="21">G5/N$2</f>
        <v>1.0660975953120865E-2</v>
      </c>
      <c r="W5" s="35">
        <f>IFERROR(IF((W4+1)&gt;(MAX(Routes!$O:$O)+1),"",W4+1),"")</f>
        <v>2</v>
      </c>
      <c r="X5" s="36">
        <f t="shared" si="5"/>
        <v>1.7242865764290024E-3</v>
      </c>
      <c r="Y5" s="36">
        <f t="shared" si="6"/>
        <v>2.7543184821766124E-3</v>
      </c>
      <c r="Z5" s="36">
        <f t="shared" si="7"/>
        <v>7.2499269856549017E-2</v>
      </c>
      <c r="AA5" s="36">
        <f t="shared" si="8"/>
        <v>2.4096385542168676E-2</v>
      </c>
      <c r="AB5" s="36">
        <f t="shared" si="9"/>
        <v>1.0660975953120865E-2</v>
      </c>
      <c r="AD5" s="21">
        <f>IFERROR(IF((AD4+1)&gt;(MAX(Routes!$O:$O)+1),"",AD4+1),"")</f>
        <v>2</v>
      </c>
      <c r="AE5" s="37">
        <f t="shared" ref="AE5:AE17" si="22">X5-X$2</f>
        <v>2.5864298646435021E-4</v>
      </c>
      <c r="AF5" s="37">
        <f t="shared" ref="AF5:AF17" si="23">Y5-Y$2</f>
        <v>2.7543184821766124E-3</v>
      </c>
      <c r="AG5" s="37">
        <f t="shared" ref="AG5:AG17" si="24">Z5-Z$2</f>
        <v>-5.2479364239325088E-3</v>
      </c>
      <c r="AH5" s="37">
        <f t="shared" ref="AH5:AH17" si="25">AA5-AA$2</f>
        <v>1.8072289156626509E-2</v>
      </c>
      <c r="AI5" s="37">
        <f t="shared" ref="AI5:AI17" si="26">AB5-AB$2</f>
        <v>-5.7405255132189272E-3</v>
      </c>
      <c r="AJ5">
        <f t="shared" ref="AJ5:AJ36" si="27">IFERROR(ABS(IF(SUM(AE5:AI5)=0,"",SUM(AE5:AI5))),"")</f>
        <v>1.0096788688116034E-2</v>
      </c>
      <c r="AL5" s="21">
        <f>IFERROR(IF((AL4+1)&gt;(MAX(Routes!$O:$O)+1),"",AL4+1),"")</f>
        <v>2</v>
      </c>
      <c r="AM5" s="37">
        <f t="shared" ref="AM5:AM17" si="28">X5-X$1</f>
        <v>-3.0175015087507543E-3</v>
      </c>
      <c r="AN5" s="37">
        <f t="shared" ref="AN5:AN17" si="29">Y5-Y$1</f>
        <v>-1.7076774589494997E-2</v>
      </c>
      <c r="AO5" s="37">
        <f t="shared" ref="AO5:AO17" si="30">Z5-Z$1</f>
        <v>2.5267842041156452E-3</v>
      </c>
      <c r="AP5" s="37">
        <f t="shared" ref="AP5:AP17" si="31">AA5-AA$1</f>
        <v>-6.0240963855421673E-3</v>
      </c>
      <c r="AQ5" s="37">
        <f t="shared" ref="AQ5:AQ17" si="32">AB5-AB$1</f>
        <v>9.0208258064868856E-3</v>
      </c>
      <c r="AR5">
        <f t="shared" ref="AR5:AR36" si="33">IFERROR(ABS(IF(SUM(AM5:AQ5)=0,"",SUM(AM5:AQ5))),"")</f>
        <v>1.4570762473185389E-2</v>
      </c>
      <c r="AT5" s="21">
        <f>IFERROR(IF((AT4+1)&gt;(MAX(Routes!$O:$O)+1),"",AT4+1),"")</f>
        <v>2</v>
      </c>
      <c r="AU5" s="7">
        <f t="shared" ref="AU5:AU17" si="34">AJ5/(AR5+AJ5)</f>
        <v>0.40931459398190795</v>
      </c>
      <c r="AV5" s="7">
        <f t="shared" ref="AV5:AV17" si="35">RANK(AU5,$AU$4:$AU$17,1)</f>
        <v>8</v>
      </c>
    </row>
    <row r="6" spans="1:48" x14ac:dyDescent="0.2">
      <c r="B6" s="21">
        <f>IFERROR(IF((B5+1)&gt;(MAX(Routes!$O:$O)+1),"",B5+1),"")</f>
        <v>3</v>
      </c>
      <c r="C6" s="21">
        <f>IF(ISNUMBER($B6),SUMIF(Routes!$O:$O,$B6,Routes!Q:Q),"")</f>
        <v>26</v>
      </c>
      <c r="D6" s="22">
        <f>IF(ISNUMBER($B6),SUMIF(Routes!$O:$O,$B6,Routes!R:R),"")</f>
        <v>2.25</v>
      </c>
      <c r="E6" s="49">
        <f>IFERROR(AVERAGEIFS(Routes!$S$2:$S$54,Routes!$O$2:$O$54,TOPSIS!B6),"")</f>
        <v>0.96</v>
      </c>
      <c r="F6" s="21">
        <f>IF(ISNUMBER($B6),SUMIF(Routes!$O:$O,$B6,Routes!T:T),"")</f>
        <v>3</v>
      </c>
      <c r="G6" s="48">
        <f>IFERROR(AVERAGEIF(Routes!$O$2:$O$54,TOPSIS!B6,Routes!$U$2:$U$54),"")</f>
        <v>6.666666666666667</v>
      </c>
      <c r="H6" s="88"/>
      <c r="I6" s="21">
        <f>IFERROR(IF((I5+1)&gt;(MAX(Routes!$O:$O)+1),"",I5+1),"")</f>
        <v>3</v>
      </c>
      <c r="J6" s="89">
        <f t="shared" si="12"/>
        <v>676</v>
      </c>
      <c r="K6" s="89">
        <f t="shared" si="13"/>
        <v>5.0625</v>
      </c>
      <c r="L6" s="89">
        <f t="shared" si="14"/>
        <v>0.92159999999999997</v>
      </c>
      <c r="M6" s="89">
        <f t="shared" si="15"/>
        <v>9</v>
      </c>
      <c r="N6" s="89">
        <f t="shared" si="16"/>
        <v>44.44444444444445</v>
      </c>
      <c r="P6" s="21">
        <f>IFERROR(IF((P5+1)&gt;(MAX(Routes!$O:$O)+1),"",P5+1),"")</f>
        <v>3</v>
      </c>
      <c r="Q6" s="28">
        <f t="shared" si="17"/>
        <v>2.2415725493577033E-3</v>
      </c>
      <c r="R6" s="28">
        <f t="shared" si="18"/>
        <v>1.2394433169794757E-3</v>
      </c>
      <c r="S6" s="28">
        <f t="shared" si="19"/>
        <v>7.4637318029262253E-2</v>
      </c>
      <c r="T6" s="28">
        <f t="shared" si="20"/>
        <v>1.8072289156626505E-2</v>
      </c>
      <c r="U6" s="28">
        <f t="shared" si="21"/>
        <v>1.0934334310893195E-2</v>
      </c>
      <c r="W6" s="35">
        <f>IFERROR(IF((W5+1)&gt;(MAX(Routes!$O:$O)+1),"",W5+1),"")</f>
        <v>3</v>
      </c>
      <c r="X6" s="36">
        <f t="shared" si="5"/>
        <v>2.2415725493577033E-3</v>
      </c>
      <c r="Y6" s="36">
        <f t="shared" si="6"/>
        <v>1.2394433169794757E-3</v>
      </c>
      <c r="Z6" s="36">
        <f t="shared" si="7"/>
        <v>7.4637318029262253E-2</v>
      </c>
      <c r="AA6" s="36">
        <f t="shared" si="8"/>
        <v>1.8072289156626505E-2</v>
      </c>
      <c r="AB6" s="36">
        <f t="shared" si="9"/>
        <v>1.0934334310893195E-2</v>
      </c>
      <c r="AD6" s="21">
        <f>IFERROR(IF((AD5+1)&gt;(MAX(Routes!$O:$O)+1),"",AD5+1),"")</f>
        <v>3</v>
      </c>
      <c r="AE6" s="37">
        <f t="shared" si="22"/>
        <v>7.7592895939305106E-4</v>
      </c>
      <c r="AF6" s="37">
        <f t="shared" si="23"/>
        <v>1.2394433169794757E-3</v>
      </c>
      <c r="AG6" s="37">
        <f t="shared" si="24"/>
        <v>-3.1098882512192727E-3</v>
      </c>
      <c r="AH6" s="37">
        <f t="shared" si="25"/>
        <v>1.2048192771084336E-2</v>
      </c>
      <c r="AI6" s="37">
        <f t="shared" si="26"/>
        <v>-5.4671671554465968E-3</v>
      </c>
      <c r="AJ6">
        <f t="shared" si="27"/>
        <v>5.4865096407909937E-3</v>
      </c>
      <c r="AL6" s="21">
        <f>IFERROR(IF((AL5+1)&gt;(MAX(Routes!$O:$O)+1),"",AL5+1),"")</f>
        <v>3</v>
      </c>
      <c r="AM6" s="37">
        <f t="shared" si="28"/>
        <v>-2.5002155358220535E-3</v>
      </c>
      <c r="AN6" s="37">
        <f t="shared" si="29"/>
        <v>-1.8591649754692133E-2</v>
      </c>
      <c r="AO6" s="37">
        <f t="shared" si="30"/>
        <v>4.6648323768288813E-3</v>
      </c>
      <c r="AP6" s="37">
        <f t="shared" si="31"/>
        <v>-1.2048192771084338E-2</v>
      </c>
      <c r="AQ6" s="37">
        <f t="shared" si="32"/>
        <v>9.2941841642592161E-3</v>
      </c>
      <c r="AR6">
        <f t="shared" si="33"/>
        <v>1.9181041520510429E-2</v>
      </c>
      <c r="AT6" s="21">
        <f>IFERROR(IF((AT5+1)&gt;(MAX(Routes!$O:$O)+1),"",AT5+1),"")</f>
        <v>3</v>
      </c>
      <c r="AU6" s="7">
        <f t="shared" si="34"/>
        <v>0.22241809107497695</v>
      </c>
      <c r="AV6" s="7">
        <f t="shared" si="35"/>
        <v>3</v>
      </c>
    </row>
    <row r="7" spans="1:48" x14ac:dyDescent="0.2">
      <c r="B7" s="21">
        <f>IFERROR(IF((B6+1)&gt;(MAX(Routes!$O:$O)+1),"",B6+1),"")</f>
        <v>4</v>
      </c>
      <c r="C7" s="21">
        <f>IF(ISNUMBER($B7),SUMIF(Routes!$O:$O,$B7,Routes!Q:Q),"")</f>
        <v>27</v>
      </c>
      <c r="D7" s="22">
        <f>IF(ISNUMBER($B7),SUMIF(Routes!$O:$O,$B7,Routes!R:R),"")</f>
        <v>5.5</v>
      </c>
      <c r="E7" s="49">
        <f>IFERROR(AVERAGEIFS(Routes!$S$2:$S$54,Routes!$O$2:$O$54,TOPSIS!B7),"")</f>
        <v>0.95600000000000007</v>
      </c>
      <c r="F7" s="21">
        <f>IF(ISNUMBER($B7),SUMIF(Routes!$O:$O,$B7,Routes!T:T),"")</f>
        <v>5</v>
      </c>
      <c r="G7" s="48">
        <f>IFERROR(AVERAGEIF(Routes!$O$2:$O$54,TOPSIS!B7,Routes!$U$2:$U$54),"")</f>
        <v>6.2</v>
      </c>
      <c r="H7" s="88"/>
      <c r="I7" s="21">
        <f>IFERROR(IF((I6+1)&gt;(MAX(Routes!$O:$O)+1),"",I6+1),"")</f>
        <v>4</v>
      </c>
      <c r="J7" s="89">
        <f t="shared" si="12"/>
        <v>729</v>
      </c>
      <c r="K7" s="89">
        <f t="shared" si="13"/>
        <v>30.25</v>
      </c>
      <c r="L7" s="89">
        <f t="shared" si="14"/>
        <v>0.91393600000000019</v>
      </c>
      <c r="M7" s="89">
        <f t="shared" si="15"/>
        <v>25</v>
      </c>
      <c r="N7" s="89">
        <f t="shared" si="16"/>
        <v>38.440000000000005</v>
      </c>
      <c r="P7" s="21">
        <f>IFERROR(IF((P6+1)&gt;(MAX(Routes!$O:$O)+1),"",P6+1),"")</f>
        <v>4</v>
      </c>
      <c r="Q7" s="28">
        <f t="shared" si="17"/>
        <v>2.3277868781791532E-3</v>
      </c>
      <c r="R7" s="28">
        <f t="shared" si="18"/>
        <v>3.0297503303942739E-3</v>
      </c>
      <c r="S7" s="28">
        <f t="shared" si="19"/>
        <v>7.432632920414034E-2</v>
      </c>
      <c r="T7" s="28">
        <f t="shared" si="20"/>
        <v>3.0120481927710843E-2</v>
      </c>
      <c r="U7" s="28">
        <f t="shared" si="21"/>
        <v>1.0168930909130671E-2</v>
      </c>
      <c r="W7" s="35">
        <f>IFERROR(IF((W6+1)&gt;(MAX(Routes!$O:$O)+1),"",W6+1),"")</f>
        <v>4</v>
      </c>
      <c r="X7" s="36">
        <f t="shared" si="5"/>
        <v>2.3277868781791532E-3</v>
      </c>
      <c r="Y7" s="36">
        <f t="shared" si="6"/>
        <v>3.0297503303942739E-3</v>
      </c>
      <c r="Z7" s="36">
        <f t="shared" si="7"/>
        <v>7.432632920414034E-2</v>
      </c>
      <c r="AA7" s="36">
        <f t="shared" si="8"/>
        <v>3.0120481927710843E-2</v>
      </c>
      <c r="AB7" s="36">
        <f t="shared" si="9"/>
        <v>1.0168930909130671E-2</v>
      </c>
      <c r="AD7" s="21">
        <f>IFERROR(IF((AD6+1)&gt;(MAX(Routes!$O:$O)+1),"",AD6+1),"")</f>
        <v>4</v>
      </c>
      <c r="AE7" s="37">
        <f t="shared" si="22"/>
        <v>8.6214328821450099E-4</v>
      </c>
      <c r="AF7" s="37">
        <f t="shared" si="23"/>
        <v>3.0297503303942739E-3</v>
      </c>
      <c r="AG7" s="37">
        <f t="shared" si="24"/>
        <v>-3.4208770763411861E-3</v>
      </c>
      <c r="AH7" s="37">
        <f t="shared" si="25"/>
        <v>2.4096385542168676E-2</v>
      </c>
      <c r="AI7" s="37">
        <f t="shared" si="26"/>
        <v>-6.2325705572091206E-3</v>
      </c>
      <c r="AJ7">
        <f t="shared" si="27"/>
        <v>1.8334831527227147E-2</v>
      </c>
      <c r="AL7" s="21">
        <f>IFERROR(IF((AL6+1)&gt;(MAX(Routes!$O:$O)+1),"",AL6+1),"")</f>
        <v>4</v>
      </c>
      <c r="AM7" s="37">
        <f t="shared" si="28"/>
        <v>-2.4140012070006035E-3</v>
      </c>
      <c r="AN7" s="37">
        <f t="shared" si="29"/>
        <v>-1.6801342741277335E-2</v>
      </c>
      <c r="AO7" s="37">
        <f t="shared" si="30"/>
        <v>4.3538435517069679E-3</v>
      </c>
      <c r="AP7" s="37">
        <f t="shared" si="31"/>
        <v>0</v>
      </c>
      <c r="AQ7" s="37">
        <f t="shared" si="32"/>
        <v>8.5287807624966922E-3</v>
      </c>
      <c r="AR7">
        <f t="shared" si="33"/>
        <v>6.332719634074278E-3</v>
      </c>
      <c r="AT7" s="21">
        <f>IFERROR(IF((AT6+1)&gt;(MAX(Routes!$O:$O)+1),"",AT6+1),"")</f>
        <v>4</v>
      </c>
      <c r="AU7" s="7">
        <f t="shared" si="34"/>
        <v>0.74327732847640426</v>
      </c>
      <c r="AV7" s="7">
        <f t="shared" si="35"/>
        <v>11</v>
      </c>
    </row>
    <row r="8" spans="1:48" x14ac:dyDescent="0.2">
      <c r="B8" s="21">
        <f>IFERROR(IF((B7+1)&gt;(MAX(Routes!$O:$O)+1),"",B7+1),"")</f>
        <v>5</v>
      </c>
      <c r="C8" s="21">
        <f>IF(ISNUMBER($B8),SUMIF(Routes!$O:$O,$B8,Routes!Q:Q),"")</f>
        <v>33</v>
      </c>
      <c r="D8" s="22">
        <f>IF(ISNUMBER($B8),SUMIF(Routes!$O:$O,$B8,Routes!R:R),"")</f>
        <v>2.75</v>
      </c>
      <c r="E8" s="49">
        <f>IFERROR(AVERAGEIFS(Routes!$S$2:$S$54,Routes!$O$2:$O$54,TOPSIS!B8),"")</f>
        <v>0.98250000000000004</v>
      </c>
      <c r="F8" s="21">
        <f>IF(ISNUMBER($B8),SUMIF(Routes!$O:$O,$B8,Routes!T:T),"")</f>
        <v>4</v>
      </c>
      <c r="G8" s="48">
        <f>IFERROR(AVERAGEIF(Routes!$O$2:$O$54,TOPSIS!B8,Routes!$U$2:$U$54),"")</f>
        <v>6.25</v>
      </c>
      <c r="H8" s="88"/>
      <c r="I8" s="21">
        <f>IFERROR(IF((I7+1)&gt;(MAX(Routes!$O:$O)+1),"",I7+1),"")</f>
        <v>5</v>
      </c>
      <c r="J8" s="89">
        <f t="shared" si="12"/>
        <v>1089</v>
      </c>
      <c r="K8" s="89">
        <f t="shared" si="13"/>
        <v>7.5625</v>
      </c>
      <c r="L8" s="89">
        <f t="shared" si="14"/>
        <v>0.96530625000000003</v>
      </c>
      <c r="M8" s="89">
        <f t="shared" si="15"/>
        <v>16</v>
      </c>
      <c r="N8" s="89">
        <f t="shared" si="16"/>
        <v>39.0625</v>
      </c>
      <c r="P8" s="21">
        <f>IFERROR(IF((P7+1)&gt;(MAX(Routes!$O:$O)+1),"",P7+1),"")</f>
        <v>5</v>
      </c>
      <c r="Q8" s="28">
        <f t="shared" si="17"/>
        <v>2.845072851107854E-3</v>
      </c>
      <c r="R8" s="28">
        <f t="shared" si="18"/>
        <v>1.5148751651971369E-3</v>
      </c>
      <c r="S8" s="28">
        <f t="shared" si="19"/>
        <v>7.6386630170573094E-2</v>
      </c>
      <c r="T8" s="28">
        <f t="shared" si="20"/>
        <v>2.4096385542168676E-2</v>
      </c>
      <c r="U8" s="28">
        <f t="shared" si="21"/>
        <v>1.0250938416462371E-2</v>
      </c>
      <c r="W8" s="35">
        <f>IFERROR(IF((W7+1)&gt;(MAX(Routes!$O:$O)+1),"",W7+1),"")</f>
        <v>5</v>
      </c>
      <c r="X8" s="36">
        <f t="shared" si="5"/>
        <v>2.845072851107854E-3</v>
      </c>
      <c r="Y8" s="36">
        <f t="shared" si="6"/>
        <v>1.5148751651971369E-3</v>
      </c>
      <c r="Z8" s="36">
        <f t="shared" si="7"/>
        <v>7.6386630170573094E-2</v>
      </c>
      <c r="AA8" s="36">
        <f t="shared" si="8"/>
        <v>2.4096385542168676E-2</v>
      </c>
      <c r="AB8" s="36">
        <f t="shared" si="9"/>
        <v>1.0250938416462371E-2</v>
      </c>
      <c r="AD8" s="21">
        <f>IFERROR(IF((AD7+1)&gt;(MAX(Routes!$O:$O)+1),"",AD7+1),"")</f>
        <v>5</v>
      </c>
      <c r="AE8" s="37">
        <f t="shared" si="22"/>
        <v>1.3794292611432018E-3</v>
      </c>
      <c r="AF8" s="37">
        <f t="shared" si="23"/>
        <v>1.5148751651971369E-3</v>
      </c>
      <c r="AG8" s="37">
        <f t="shared" si="24"/>
        <v>-1.3605761099084318E-3</v>
      </c>
      <c r="AH8" s="37">
        <f t="shared" si="25"/>
        <v>1.8072289156626509E-2</v>
      </c>
      <c r="AI8" s="37">
        <f t="shared" si="26"/>
        <v>-6.1505630498774212E-3</v>
      </c>
      <c r="AJ8">
        <f t="shared" si="27"/>
        <v>1.3455454423180994E-2</v>
      </c>
      <c r="AL8" s="21">
        <f>IFERROR(IF((AL7+1)&gt;(MAX(Routes!$O:$O)+1),"",AL7+1),"")</f>
        <v>5</v>
      </c>
      <c r="AM8" s="37">
        <f t="shared" si="28"/>
        <v>-1.8967152340719027E-3</v>
      </c>
      <c r="AN8" s="37">
        <f t="shared" si="29"/>
        <v>-1.8316217906474475E-2</v>
      </c>
      <c r="AO8" s="37">
        <f t="shared" si="30"/>
        <v>6.4141445181397222E-3</v>
      </c>
      <c r="AP8" s="37">
        <f t="shared" si="31"/>
        <v>-6.0240963855421673E-3</v>
      </c>
      <c r="AQ8" s="37">
        <f t="shared" si="32"/>
        <v>8.6107882698283917E-3</v>
      </c>
      <c r="AR8">
        <f t="shared" si="33"/>
        <v>1.1212096738120429E-2</v>
      </c>
      <c r="AT8" s="21">
        <f>IFERROR(IF((AT7+1)&gt;(MAX(Routes!$O:$O)+1),"",AT7+1),"")</f>
        <v>5</v>
      </c>
      <c r="AU8" s="7">
        <f t="shared" si="34"/>
        <v>0.54547183606494254</v>
      </c>
      <c r="AV8" s="7">
        <f t="shared" si="35"/>
        <v>10</v>
      </c>
    </row>
    <row r="9" spans="1:48" x14ac:dyDescent="0.2">
      <c r="B9" s="21">
        <f>IFERROR(IF((B8+1)&gt;(MAX(Routes!$O:$O)+1),"",B8+1),"")</f>
        <v>6</v>
      </c>
      <c r="C9" s="21">
        <f>IF(ISNUMBER($B9),SUMIF(Routes!$O:$O,$B9,Routes!Q:Q),"")</f>
        <v>22</v>
      </c>
      <c r="D9" s="22">
        <f>IF(ISNUMBER($B9),SUMIF(Routes!$O:$O,$B9,Routes!R:R),"")</f>
        <v>8.25</v>
      </c>
      <c r="E9" s="49">
        <f>IFERROR(AVERAGEIFS(Routes!$S$2:$S$54,Routes!$O$2:$O$54,TOPSIS!B9),"")</f>
        <v>0.93800000000000006</v>
      </c>
      <c r="F9" s="21">
        <f>IF(ISNUMBER($B9),SUMIF(Routes!$O:$O,$B9,Routes!T:T),"")</f>
        <v>5</v>
      </c>
      <c r="G9" s="48">
        <f>IFERROR(AVERAGEIF(Routes!$O$2:$O$54,TOPSIS!B9,Routes!$U$2:$U$54),"")</f>
        <v>6.4</v>
      </c>
      <c r="H9" s="88"/>
      <c r="I9" s="21">
        <f>IFERROR(IF((I8+1)&gt;(MAX(Routes!$O:$O)+1),"",I8+1),"")</f>
        <v>6</v>
      </c>
      <c r="J9" s="89">
        <f t="shared" si="12"/>
        <v>484</v>
      </c>
      <c r="K9" s="89">
        <f t="shared" si="13"/>
        <v>68.0625</v>
      </c>
      <c r="L9" s="89">
        <f t="shared" si="14"/>
        <v>0.87984400000000007</v>
      </c>
      <c r="M9" s="89">
        <f t="shared" si="15"/>
        <v>25</v>
      </c>
      <c r="N9" s="89">
        <f t="shared" si="16"/>
        <v>40.960000000000008</v>
      </c>
      <c r="P9" s="21">
        <f>IFERROR(IF((P8+1)&gt;(MAX(Routes!$O:$O)+1),"",P8+1),"")</f>
        <v>6</v>
      </c>
      <c r="Q9" s="28">
        <f t="shared" si="17"/>
        <v>1.8967152340719027E-3</v>
      </c>
      <c r="R9" s="28">
        <f t="shared" si="18"/>
        <v>4.5446254955914108E-3</v>
      </c>
      <c r="S9" s="28">
        <f t="shared" si="19"/>
        <v>7.2926879491091667E-2</v>
      </c>
      <c r="T9" s="28">
        <f t="shared" si="20"/>
        <v>3.0120481927710843E-2</v>
      </c>
      <c r="U9" s="28">
        <f t="shared" si="21"/>
        <v>1.0496960938457468E-2</v>
      </c>
      <c r="W9" s="35">
        <f>IFERROR(IF((W8+1)&gt;(MAX(Routes!$O:$O)+1),"",W8+1),"")</f>
        <v>6</v>
      </c>
      <c r="X9" s="36">
        <f t="shared" si="5"/>
        <v>1.8967152340719027E-3</v>
      </c>
      <c r="Y9" s="36">
        <f t="shared" si="6"/>
        <v>4.5446254955914108E-3</v>
      </c>
      <c r="Z9" s="36">
        <f t="shared" si="7"/>
        <v>7.2926879491091667E-2</v>
      </c>
      <c r="AA9" s="36">
        <f t="shared" si="8"/>
        <v>3.0120481927710843E-2</v>
      </c>
      <c r="AB9" s="36">
        <f t="shared" si="9"/>
        <v>1.0496960938457468E-2</v>
      </c>
      <c r="AD9" s="21">
        <f>IFERROR(IF((AD8+1)&gt;(MAX(Routes!$O:$O)+1),"",AD8+1),"")</f>
        <v>6</v>
      </c>
      <c r="AE9" s="37">
        <f t="shared" si="22"/>
        <v>4.3107164410725049E-4</v>
      </c>
      <c r="AF9" s="37">
        <f t="shared" si="23"/>
        <v>4.5446254955914108E-3</v>
      </c>
      <c r="AG9" s="37">
        <f t="shared" si="24"/>
        <v>-4.8203267893898588E-3</v>
      </c>
      <c r="AH9" s="37">
        <f t="shared" si="25"/>
        <v>2.4096385542168676E-2</v>
      </c>
      <c r="AI9" s="37">
        <f t="shared" si="26"/>
        <v>-5.9045405278823244E-3</v>
      </c>
      <c r="AJ9">
        <f t="shared" si="27"/>
        <v>1.8347215364595156E-2</v>
      </c>
      <c r="AL9" s="21">
        <f>IFERROR(IF((AL8+1)&gt;(MAX(Routes!$O:$O)+1),"",AL8+1),"")</f>
        <v>6</v>
      </c>
      <c r="AM9" s="37">
        <f t="shared" si="28"/>
        <v>-2.845072851107854E-3</v>
      </c>
      <c r="AN9" s="37">
        <f t="shared" si="29"/>
        <v>-1.5286467576080199E-2</v>
      </c>
      <c r="AO9" s="37">
        <f t="shared" si="30"/>
        <v>2.9543938386582952E-3</v>
      </c>
      <c r="AP9" s="37">
        <f t="shared" si="31"/>
        <v>0</v>
      </c>
      <c r="AQ9" s="37">
        <f t="shared" si="32"/>
        <v>8.8568107918234884E-3</v>
      </c>
      <c r="AR9">
        <f t="shared" si="33"/>
        <v>6.3203357967062702E-3</v>
      </c>
      <c r="AT9" s="21">
        <f>IFERROR(IF((AT8+1)&gt;(MAX(Routes!$O:$O)+1),"",AT8+1),"")</f>
        <v>6</v>
      </c>
      <c r="AU9" s="7">
        <f t="shared" si="34"/>
        <v>0.74377935793555205</v>
      </c>
      <c r="AV9" s="7">
        <f t="shared" si="35"/>
        <v>12</v>
      </c>
    </row>
    <row r="10" spans="1:48" x14ac:dyDescent="0.2">
      <c r="B10" s="21">
        <f>IFERROR(IF((B9+1)&gt;(MAX(Routes!$O:$O)+1),"",B9+1),"")</f>
        <v>7</v>
      </c>
      <c r="C10" s="21">
        <f>IF(ISNUMBER($B10),SUMIF(Routes!$O:$O,$B10,Routes!Q:Q),"")</f>
        <v>28</v>
      </c>
      <c r="D10" s="22">
        <f>IF(ISNUMBER($B10),SUMIF(Routes!$O:$O,$B10,Routes!R:R),"")</f>
        <v>5.5</v>
      </c>
      <c r="E10" s="49">
        <f>IFERROR(AVERAGEIFS(Routes!$S$2:$S$54,Routes!$O$2:$O$54,TOPSIS!B10),"")</f>
        <v>0.96000000000000008</v>
      </c>
      <c r="F10" s="21">
        <f>IF(ISNUMBER($B10),SUMIF(Routes!$O:$O,$B10,Routes!T:T),"")</f>
        <v>4</v>
      </c>
      <c r="G10" s="48">
        <f>IFERROR(AVERAGEIF(Routes!$O$2:$O$54,TOPSIS!B10,Routes!$U$2:$U$54),"")</f>
        <v>6.5</v>
      </c>
      <c r="H10" s="88"/>
      <c r="I10" s="21">
        <f>IFERROR(IF((I9+1)&gt;(MAX(Routes!$O:$O)+1),"",I9+1),"")</f>
        <v>7</v>
      </c>
      <c r="J10" s="89">
        <f t="shared" si="12"/>
        <v>784</v>
      </c>
      <c r="K10" s="89">
        <f t="shared" si="13"/>
        <v>30.25</v>
      </c>
      <c r="L10" s="89">
        <f t="shared" si="14"/>
        <v>0.9216000000000002</v>
      </c>
      <c r="M10" s="89">
        <f t="shared" si="15"/>
        <v>16</v>
      </c>
      <c r="N10" s="89">
        <f t="shared" si="16"/>
        <v>42.25</v>
      </c>
      <c r="P10" s="21">
        <f>IFERROR(IF((P9+1)&gt;(MAX(Routes!$O:$O)+1),"",P9+1),"")</f>
        <v>7</v>
      </c>
      <c r="Q10" s="28">
        <f t="shared" si="17"/>
        <v>2.4140012070006035E-3</v>
      </c>
      <c r="R10" s="28">
        <f t="shared" si="18"/>
        <v>3.0297503303942739E-3</v>
      </c>
      <c r="S10" s="28">
        <f t="shared" si="19"/>
        <v>7.4637318029262267E-2</v>
      </c>
      <c r="T10" s="28">
        <f t="shared" si="20"/>
        <v>2.4096385542168676E-2</v>
      </c>
      <c r="U10" s="28">
        <f t="shared" si="21"/>
        <v>1.0660975953120865E-2</v>
      </c>
      <c r="W10" s="35">
        <f>IFERROR(IF((W9+1)&gt;(MAX(Routes!$O:$O)+1),"",W9+1),"")</f>
        <v>7</v>
      </c>
      <c r="X10" s="36">
        <f t="shared" si="5"/>
        <v>2.4140012070006035E-3</v>
      </c>
      <c r="Y10" s="36">
        <f t="shared" si="6"/>
        <v>3.0297503303942739E-3</v>
      </c>
      <c r="Z10" s="36">
        <f t="shared" si="7"/>
        <v>7.4637318029262267E-2</v>
      </c>
      <c r="AA10" s="36">
        <f t="shared" si="8"/>
        <v>2.4096385542168676E-2</v>
      </c>
      <c r="AB10" s="36">
        <f t="shared" si="9"/>
        <v>1.0660975953120865E-2</v>
      </c>
      <c r="AD10" s="21">
        <f>IFERROR(IF((AD9+1)&gt;(MAX(Routes!$O:$O)+1),"",AD9+1),"")</f>
        <v>7</v>
      </c>
      <c r="AE10" s="37">
        <f t="shared" si="22"/>
        <v>9.4835761703595135E-4</v>
      </c>
      <c r="AF10" s="37">
        <f t="shared" si="23"/>
        <v>3.0297503303942739E-3</v>
      </c>
      <c r="AG10" s="37">
        <f t="shared" si="24"/>
        <v>-3.1098882512192588E-3</v>
      </c>
      <c r="AH10" s="37">
        <f t="shared" si="25"/>
        <v>1.8072289156626509E-2</v>
      </c>
      <c r="AI10" s="37">
        <f t="shared" si="26"/>
        <v>-5.7405255132189272E-3</v>
      </c>
      <c r="AJ10">
        <f t="shared" si="27"/>
        <v>1.3199983339618549E-2</v>
      </c>
      <c r="AL10" s="21">
        <f>IFERROR(IF((AL9+1)&gt;(MAX(Routes!$O:$O)+1),"",AL9+1),"")</f>
        <v>7</v>
      </c>
      <c r="AM10" s="37">
        <f t="shared" si="28"/>
        <v>-2.3277868781791532E-3</v>
      </c>
      <c r="AN10" s="37">
        <f t="shared" si="29"/>
        <v>-1.6801342741277335E-2</v>
      </c>
      <c r="AO10" s="37">
        <f t="shared" si="30"/>
        <v>4.6648323768288952E-3</v>
      </c>
      <c r="AP10" s="37">
        <f t="shared" si="31"/>
        <v>-6.0240963855421673E-3</v>
      </c>
      <c r="AQ10" s="37">
        <f t="shared" si="32"/>
        <v>9.0208258064868856E-3</v>
      </c>
      <c r="AR10">
        <f t="shared" si="33"/>
        <v>1.1467567821682874E-2</v>
      </c>
      <c r="AT10" s="21">
        <f>IFERROR(IF((AT9+1)&gt;(MAX(Routes!$O:$O)+1),"",AT9+1),"")</f>
        <v>7</v>
      </c>
      <c r="AU10" s="7">
        <f t="shared" si="34"/>
        <v>0.53511527160939865</v>
      </c>
      <c r="AV10" s="7">
        <f t="shared" si="35"/>
        <v>9</v>
      </c>
    </row>
    <row r="11" spans="1:48" x14ac:dyDescent="0.2">
      <c r="B11" s="21">
        <f>IFERROR(IF((B10+1)&gt;(MAX(Routes!$O:$O)+1),"",B10+1),"")</f>
        <v>8</v>
      </c>
      <c r="C11" s="21">
        <f>IF(ISNUMBER($B11),SUMIF(Routes!$O:$O,$B11,Routes!Q:Q),"")</f>
        <v>25</v>
      </c>
      <c r="D11" s="22">
        <f>IF(ISNUMBER($B11),SUMIF(Routes!$O:$O,$B11,Routes!R:R),"")</f>
        <v>2.75</v>
      </c>
      <c r="E11" s="49">
        <f>IFERROR(AVERAGEIFS(Routes!$S$2:$S$54,Routes!$O$2:$O$54,TOPSIS!B11),"")</f>
        <v>0.97666666666666668</v>
      </c>
      <c r="F11" s="21">
        <f>IF(ISNUMBER($B11),SUMIF(Routes!$O:$O,$B11,Routes!T:T),"")</f>
        <v>3</v>
      </c>
      <c r="G11" s="48">
        <f>IFERROR(AVERAGEIF(Routes!$O$2:$O$54,TOPSIS!B11,Routes!$U$2:$U$54),"")</f>
        <v>6.333333333333333</v>
      </c>
      <c r="H11" s="88"/>
      <c r="I11" s="21">
        <f>IFERROR(IF((I10+1)&gt;(MAX(Routes!$O:$O)+1),"",I10+1),"")</f>
        <v>8</v>
      </c>
      <c r="J11" s="89">
        <f t="shared" si="12"/>
        <v>625</v>
      </c>
      <c r="K11" s="89">
        <f t="shared" si="13"/>
        <v>7.5625</v>
      </c>
      <c r="L11" s="89">
        <f t="shared" si="14"/>
        <v>0.95387777777777782</v>
      </c>
      <c r="M11" s="89">
        <f t="shared" si="15"/>
        <v>9</v>
      </c>
      <c r="N11" s="89">
        <f t="shared" si="16"/>
        <v>40.111111111111107</v>
      </c>
      <c r="P11" s="21">
        <f>IFERROR(IF((P10+1)&gt;(MAX(Routes!$O:$O)+1),"",P10+1),"")</f>
        <v>8</v>
      </c>
      <c r="Q11" s="28">
        <f t="shared" si="17"/>
        <v>2.1553582205362533E-3</v>
      </c>
      <c r="R11" s="28">
        <f t="shared" si="18"/>
        <v>1.5148751651971369E-3</v>
      </c>
      <c r="S11" s="28">
        <f t="shared" si="19"/>
        <v>7.5933104800603626E-2</v>
      </c>
      <c r="T11" s="28">
        <f t="shared" si="20"/>
        <v>1.8072289156626505E-2</v>
      </c>
      <c r="U11" s="28">
        <f t="shared" si="21"/>
        <v>1.0387617595348534E-2</v>
      </c>
      <c r="W11" s="35">
        <f>IFERROR(IF((W10+1)&gt;(MAX(Routes!$O:$O)+1),"",W10+1),"")</f>
        <v>8</v>
      </c>
      <c r="X11" s="36">
        <f t="shared" si="5"/>
        <v>2.1553582205362533E-3</v>
      </c>
      <c r="Y11" s="36">
        <f t="shared" si="6"/>
        <v>1.5148751651971369E-3</v>
      </c>
      <c r="Z11" s="36">
        <f t="shared" si="7"/>
        <v>7.5933104800603626E-2</v>
      </c>
      <c r="AA11" s="36">
        <f t="shared" si="8"/>
        <v>1.8072289156626505E-2</v>
      </c>
      <c r="AB11" s="36">
        <f t="shared" si="9"/>
        <v>1.0387617595348534E-2</v>
      </c>
      <c r="AD11" s="21">
        <f>IFERROR(IF((AD10+1)&gt;(MAX(Routes!$O:$O)+1),"",AD10+1),"")</f>
        <v>8</v>
      </c>
      <c r="AE11" s="37">
        <f t="shared" si="22"/>
        <v>6.8971463057160114E-4</v>
      </c>
      <c r="AF11" s="37">
        <f t="shared" si="23"/>
        <v>1.5148751651971369E-3</v>
      </c>
      <c r="AG11" s="37">
        <f t="shared" si="24"/>
        <v>-1.8141014798778998E-3</v>
      </c>
      <c r="AH11" s="37">
        <f t="shared" si="25"/>
        <v>1.2048192771084336E-2</v>
      </c>
      <c r="AI11" s="37">
        <f t="shared" si="26"/>
        <v>-6.0138838709912577E-3</v>
      </c>
      <c r="AJ11">
        <f t="shared" si="27"/>
        <v>6.424797215983916E-3</v>
      </c>
      <c r="AL11" s="21">
        <f>IFERROR(IF((AL10+1)&gt;(MAX(Routes!$O:$O)+1),"",AL10+1),"")</f>
        <v>8</v>
      </c>
      <c r="AM11" s="37">
        <f t="shared" si="28"/>
        <v>-2.5864298646435034E-3</v>
      </c>
      <c r="AN11" s="37">
        <f t="shared" si="29"/>
        <v>-1.8316217906474475E-2</v>
      </c>
      <c r="AO11" s="37">
        <f t="shared" si="30"/>
        <v>5.9606191481702542E-3</v>
      </c>
      <c r="AP11" s="37">
        <f t="shared" si="31"/>
        <v>-1.2048192771084338E-2</v>
      </c>
      <c r="AQ11" s="37">
        <f t="shared" si="32"/>
        <v>8.7474674487145552E-3</v>
      </c>
      <c r="AR11">
        <f t="shared" si="33"/>
        <v>1.8242753945317505E-2</v>
      </c>
      <c r="AT11" s="21">
        <f>IFERROR(IF((AT10+1)&gt;(MAX(Routes!$O:$O)+1),"",AT10+1),"")</f>
        <v>8</v>
      </c>
      <c r="AU11" s="7">
        <f t="shared" si="34"/>
        <v>0.26045541261765665</v>
      </c>
      <c r="AV11" s="7">
        <f t="shared" si="35"/>
        <v>4</v>
      </c>
    </row>
    <row r="12" spans="1:48" x14ac:dyDescent="0.2">
      <c r="B12" s="21">
        <f>IFERROR(IF((B11+1)&gt;(MAX(Routes!$O:$O)+1),"",B11+1),"")</f>
        <v>9</v>
      </c>
      <c r="C12" s="21">
        <f>IF(ISNUMBER($B12),SUMIF(Routes!$O:$O,$B12,Routes!Q:Q),"")</f>
        <v>25</v>
      </c>
      <c r="D12" s="22">
        <f>IF(ISNUMBER($B12),SUMIF(Routes!$O:$O,$B12,Routes!R:R),"")</f>
        <v>14.75</v>
      </c>
      <c r="E12" s="49">
        <f>IFERROR(AVERAGEIFS(Routes!$S$2:$S$54,Routes!$O$2:$O$54,TOPSIS!B12),"")</f>
        <v>0.96599999999999997</v>
      </c>
      <c r="F12" s="21">
        <f>IF(ISNUMBER($B12),SUMIF(Routes!$O:$O,$B12,Routes!T:T),"")</f>
        <v>5</v>
      </c>
      <c r="G12" s="48">
        <f>IFERROR(AVERAGEIF(Routes!$O$2:$O$54,TOPSIS!B12,Routes!$U$2:$U$54),"")</f>
        <v>6.4</v>
      </c>
      <c r="H12" s="88"/>
      <c r="I12" s="21">
        <f>IFERROR(IF((I11+1)&gt;(MAX(Routes!$O:$O)+1),"",I11+1),"")</f>
        <v>9</v>
      </c>
      <c r="J12" s="89">
        <f t="shared" si="12"/>
        <v>625</v>
      </c>
      <c r="K12" s="89">
        <f t="shared" si="13"/>
        <v>217.5625</v>
      </c>
      <c r="L12" s="89">
        <f t="shared" si="14"/>
        <v>0.93315599999999999</v>
      </c>
      <c r="M12" s="89">
        <f t="shared" si="15"/>
        <v>25</v>
      </c>
      <c r="N12" s="89">
        <f t="shared" si="16"/>
        <v>40.960000000000008</v>
      </c>
      <c r="P12" s="21">
        <f>IFERROR(IF((P11+1)&gt;(MAX(Routes!$O:$O)+1),"",P11+1),"")</f>
        <v>9</v>
      </c>
      <c r="Q12" s="28">
        <f t="shared" si="17"/>
        <v>2.1553582205362533E-3</v>
      </c>
      <c r="R12" s="28">
        <f t="shared" si="18"/>
        <v>8.1252395224210069E-3</v>
      </c>
      <c r="S12" s="28">
        <f t="shared" si="19"/>
        <v>7.5103801266945144E-2</v>
      </c>
      <c r="T12" s="28">
        <f t="shared" si="20"/>
        <v>3.0120481927710843E-2</v>
      </c>
      <c r="U12" s="28">
        <f t="shared" si="21"/>
        <v>1.0496960938457468E-2</v>
      </c>
      <c r="W12" s="35">
        <f>IFERROR(IF((W11+1)&gt;(MAX(Routes!$O:$O)+1),"",W11+1),"")</f>
        <v>9</v>
      </c>
      <c r="X12" s="36">
        <f t="shared" si="5"/>
        <v>2.1553582205362533E-3</v>
      </c>
      <c r="Y12" s="36">
        <f t="shared" si="6"/>
        <v>8.1252395224210069E-3</v>
      </c>
      <c r="Z12" s="36">
        <f t="shared" si="7"/>
        <v>7.5103801266945144E-2</v>
      </c>
      <c r="AA12" s="36">
        <f t="shared" si="8"/>
        <v>3.0120481927710843E-2</v>
      </c>
      <c r="AB12" s="36">
        <f t="shared" si="9"/>
        <v>1.0496960938457468E-2</v>
      </c>
      <c r="AD12" s="21">
        <f>IFERROR(IF((AD11+1)&gt;(MAX(Routes!$O:$O)+1),"",AD11+1),"")</f>
        <v>9</v>
      </c>
      <c r="AE12" s="37">
        <f t="shared" si="22"/>
        <v>6.8971463057160114E-4</v>
      </c>
      <c r="AF12" s="37">
        <f t="shared" si="23"/>
        <v>8.1252395224210069E-3</v>
      </c>
      <c r="AG12" s="37">
        <f t="shared" si="24"/>
        <v>-2.6434050135363818E-3</v>
      </c>
      <c r="AH12" s="37">
        <f t="shared" si="25"/>
        <v>2.4096385542168676E-2</v>
      </c>
      <c r="AI12" s="37">
        <f t="shared" si="26"/>
        <v>-5.9045405278823244E-3</v>
      </c>
      <c r="AJ12">
        <f t="shared" si="27"/>
        <v>2.4363394153742578E-2</v>
      </c>
      <c r="AL12" s="21">
        <f>IFERROR(IF((AL11+1)&gt;(MAX(Routes!$O:$O)+1),"",AL11+1),"")</f>
        <v>9</v>
      </c>
      <c r="AM12" s="37">
        <f t="shared" si="28"/>
        <v>-2.5864298646435034E-3</v>
      </c>
      <c r="AN12" s="37">
        <f t="shared" si="29"/>
        <v>-1.1705853549250604E-2</v>
      </c>
      <c r="AO12" s="37">
        <f t="shared" si="30"/>
        <v>5.1313156145117722E-3</v>
      </c>
      <c r="AP12" s="37">
        <f t="shared" si="31"/>
        <v>0</v>
      </c>
      <c r="AQ12" s="37">
        <f t="shared" si="32"/>
        <v>8.8568107918234884E-3</v>
      </c>
      <c r="AR12">
        <f t="shared" si="33"/>
        <v>3.0415700755884699E-4</v>
      </c>
      <c r="AT12" s="21">
        <f>IFERROR(IF((AT11+1)&gt;(MAX(Routes!$O:$O)+1),"",AT11+1),"")</f>
        <v>9</v>
      </c>
      <c r="AU12" s="7">
        <f t="shared" si="34"/>
        <v>0.98766975264103185</v>
      </c>
      <c r="AV12" s="7">
        <f t="shared" si="35"/>
        <v>14</v>
      </c>
    </row>
    <row r="13" spans="1:48" x14ac:dyDescent="0.2">
      <c r="B13" s="21">
        <f>IFERROR(IF((B12+1)&gt;(MAX(Routes!$O:$O)+1),"",B12+1),"")</f>
        <v>10</v>
      </c>
      <c r="C13" s="21">
        <f>IF(ISNUMBER($B13),SUMIF(Routes!$O:$O,$B13,Routes!Q:Q),"")</f>
        <v>30</v>
      </c>
      <c r="D13" s="22">
        <f>IF(ISNUMBER($B13),SUMIF(Routes!$O:$O,$B13,Routes!R:R),"")</f>
        <v>6</v>
      </c>
      <c r="E13" s="49">
        <f>IFERROR(AVERAGEIFS(Routes!$S$2:$S$54,Routes!$O$2:$O$54,TOPSIS!B13),"")</f>
        <v>0.96666666666666667</v>
      </c>
      <c r="F13" s="21">
        <f>IF(ISNUMBER($B13),SUMIF(Routes!$O:$O,$B13,Routes!T:T),"")</f>
        <v>3</v>
      </c>
      <c r="G13" s="48">
        <f>IFERROR(AVERAGEIF(Routes!$O$2:$O$54,TOPSIS!B13,Routes!$U$2:$U$54),"")</f>
        <v>6.333333333333333</v>
      </c>
      <c r="H13" s="88"/>
      <c r="I13" s="21">
        <f>IFERROR(IF((I12+1)&gt;(MAX(Routes!$O:$O)+1),"",I12+1),"")</f>
        <v>10</v>
      </c>
      <c r="J13" s="89">
        <f t="shared" si="12"/>
        <v>900</v>
      </c>
      <c r="K13" s="89">
        <f t="shared" si="13"/>
        <v>36</v>
      </c>
      <c r="L13" s="89">
        <f t="shared" si="14"/>
        <v>0.93444444444444441</v>
      </c>
      <c r="M13" s="89">
        <f t="shared" si="15"/>
        <v>9</v>
      </c>
      <c r="N13" s="89">
        <f t="shared" si="16"/>
        <v>40.111111111111107</v>
      </c>
      <c r="P13" s="21">
        <f>IFERROR(IF((P12+1)&gt;(MAX(Routes!$O:$O)+1),"",P12+1),"")</f>
        <v>10</v>
      </c>
      <c r="Q13" s="28">
        <f t="shared" si="17"/>
        <v>2.5864298646435038E-3</v>
      </c>
      <c r="R13" s="28">
        <f t="shared" si="18"/>
        <v>3.305182178611935E-3</v>
      </c>
      <c r="S13" s="28">
        <f t="shared" si="19"/>
        <v>7.5155632737798808E-2</v>
      </c>
      <c r="T13" s="28">
        <f t="shared" si="20"/>
        <v>1.8072289156626505E-2</v>
      </c>
      <c r="U13" s="28">
        <f t="shared" si="21"/>
        <v>1.0387617595348534E-2</v>
      </c>
      <c r="W13" s="35">
        <f>IFERROR(IF((W12+1)&gt;(MAX(Routes!$O:$O)+1),"",W12+1),"")</f>
        <v>10</v>
      </c>
      <c r="X13" s="36">
        <f t="shared" si="5"/>
        <v>2.5864298646435038E-3</v>
      </c>
      <c r="Y13" s="36">
        <f t="shared" si="6"/>
        <v>3.305182178611935E-3</v>
      </c>
      <c r="Z13" s="36">
        <f t="shared" si="7"/>
        <v>7.5155632737798808E-2</v>
      </c>
      <c r="AA13" s="36">
        <f t="shared" si="8"/>
        <v>1.8072289156626505E-2</v>
      </c>
      <c r="AB13" s="36">
        <f t="shared" si="9"/>
        <v>1.0387617595348534E-2</v>
      </c>
      <c r="AD13" s="21">
        <f>IFERROR(IF((AD12+1)&gt;(MAX(Routes!$O:$O)+1),"",AD12+1),"")</f>
        <v>10</v>
      </c>
      <c r="AE13" s="37">
        <f t="shared" si="22"/>
        <v>1.1207862746788516E-3</v>
      </c>
      <c r="AF13" s="37">
        <f t="shared" si="23"/>
        <v>3.305182178611935E-3</v>
      </c>
      <c r="AG13" s="37">
        <f t="shared" si="24"/>
        <v>-2.591573542682718E-3</v>
      </c>
      <c r="AH13" s="37">
        <f t="shared" si="25"/>
        <v>1.2048192771084336E-2</v>
      </c>
      <c r="AI13" s="37">
        <f t="shared" si="26"/>
        <v>-6.0138838709912577E-3</v>
      </c>
      <c r="AJ13">
        <f t="shared" si="27"/>
        <v>7.868703810701148E-3</v>
      </c>
      <c r="AL13" s="21">
        <f>IFERROR(IF((AL12+1)&gt;(MAX(Routes!$O:$O)+1),"",AL12+1),"")</f>
        <v>10</v>
      </c>
      <c r="AM13" s="37">
        <f t="shared" si="28"/>
        <v>-2.1553582205362529E-3</v>
      </c>
      <c r="AN13" s="37">
        <f t="shared" si="29"/>
        <v>-1.6525910893059676E-2</v>
      </c>
      <c r="AO13" s="37">
        <f t="shared" si="30"/>
        <v>5.183147085365436E-3</v>
      </c>
      <c r="AP13" s="37">
        <f t="shared" si="31"/>
        <v>-1.2048192771084338E-2</v>
      </c>
      <c r="AQ13" s="37">
        <f t="shared" si="32"/>
        <v>8.7474674487145552E-3</v>
      </c>
      <c r="AR13">
        <f t="shared" si="33"/>
        <v>1.6798847350600277E-2</v>
      </c>
      <c r="AT13" s="21">
        <f>IFERROR(IF((AT12+1)&gt;(MAX(Routes!$O:$O)+1),"",AT12+1),"")</f>
        <v>10</v>
      </c>
      <c r="AU13" s="7">
        <f t="shared" si="34"/>
        <v>0.31899006752829234</v>
      </c>
      <c r="AV13" s="7">
        <f t="shared" si="35"/>
        <v>7</v>
      </c>
    </row>
    <row r="14" spans="1:48" x14ac:dyDescent="0.2">
      <c r="B14" s="21">
        <f>IFERROR(IF((B13+1)&gt;(MAX(Routes!$O:$O)+1),"",B13+1),"")</f>
        <v>11</v>
      </c>
      <c r="C14" s="21">
        <f>IF(ISNUMBER($B14),SUMIF(Routes!$O:$O,$B14,Routes!Q:Q),"")</f>
        <v>20</v>
      </c>
      <c r="D14" s="22">
        <f>IF(ISNUMBER($B14),SUMIF(Routes!$O:$O,$B14,Routes!R:R),"")</f>
        <v>36</v>
      </c>
      <c r="E14" s="49">
        <f>IFERROR(AVERAGEIFS(Routes!$S$2:$S$54,Routes!$O$2:$O$54,TOPSIS!B14),"")</f>
        <v>0.95</v>
      </c>
      <c r="F14" s="21">
        <f>IF(ISNUMBER($B14),SUMIF(Routes!$O:$O,$B14,Routes!T:T),"")</f>
        <v>2</v>
      </c>
      <c r="G14" s="48">
        <f>IFERROR(AVERAGEIF(Routes!$O$2:$O$54,TOPSIS!B14,Routes!$U$2:$U$54),"")</f>
        <v>8</v>
      </c>
      <c r="H14" s="88"/>
      <c r="I14" s="21">
        <f>IFERROR(IF((I13+1)&gt;(MAX(Routes!$O:$O)+1),"",I13+1),"")</f>
        <v>11</v>
      </c>
      <c r="J14" s="89">
        <f t="shared" si="12"/>
        <v>400</v>
      </c>
      <c r="K14" s="89">
        <f t="shared" si="13"/>
        <v>1296</v>
      </c>
      <c r="L14" s="89">
        <f t="shared" si="14"/>
        <v>0.90249999999999997</v>
      </c>
      <c r="M14" s="89">
        <f t="shared" si="15"/>
        <v>4</v>
      </c>
      <c r="N14" s="89">
        <f t="shared" si="16"/>
        <v>64</v>
      </c>
      <c r="P14" s="21">
        <f>IFERROR(IF((P13+1)&gt;(MAX(Routes!$O:$O)+1),"",P13+1),"")</f>
        <v>11</v>
      </c>
      <c r="Q14" s="28">
        <f t="shared" si="17"/>
        <v>1.7242865764290024E-3</v>
      </c>
      <c r="R14" s="28">
        <f t="shared" si="18"/>
        <v>1.9831093071671611E-2</v>
      </c>
      <c r="S14" s="28">
        <f t="shared" si="19"/>
        <v>7.3859845966457449E-2</v>
      </c>
      <c r="T14" s="28">
        <f t="shared" si="20"/>
        <v>1.2048192771084338E-2</v>
      </c>
      <c r="U14" s="28">
        <f t="shared" si="21"/>
        <v>1.3121201173071834E-2</v>
      </c>
      <c r="W14" s="35">
        <f>IFERROR(IF((W13+1)&gt;(MAX(Routes!$O:$O)+1),"",W13+1),"")</f>
        <v>11</v>
      </c>
      <c r="X14" s="36">
        <f t="shared" si="5"/>
        <v>1.7242865764290024E-3</v>
      </c>
      <c r="Y14" s="36">
        <f t="shared" si="6"/>
        <v>1.9831093071671611E-2</v>
      </c>
      <c r="Z14" s="36">
        <f t="shared" si="7"/>
        <v>7.3859845966457449E-2</v>
      </c>
      <c r="AA14" s="36">
        <f t="shared" si="8"/>
        <v>1.2048192771084338E-2</v>
      </c>
      <c r="AB14" s="36">
        <f t="shared" si="9"/>
        <v>1.3121201173071834E-2</v>
      </c>
      <c r="AD14" s="21">
        <f>IFERROR(IF((AD13+1)&gt;(MAX(Routes!$O:$O)+1),"",AD13+1),"")</f>
        <v>11</v>
      </c>
      <c r="AE14" s="37">
        <f t="shared" si="22"/>
        <v>2.5864298646435021E-4</v>
      </c>
      <c r="AF14" s="37">
        <f t="shared" si="23"/>
        <v>1.9831093071671611E-2</v>
      </c>
      <c r="AG14" s="37">
        <f t="shared" si="24"/>
        <v>-3.887360314024077E-3</v>
      </c>
      <c r="AH14" s="37">
        <f t="shared" si="25"/>
        <v>6.024096385542169E-3</v>
      </c>
      <c r="AI14" s="37">
        <f t="shared" si="26"/>
        <v>-3.2803002932679584E-3</v>
      </c>
      <c r="AJ14">
        <f t="shared" si="27"/>
        <v>1.8946171836386097E-2</v>
      </c>
      <c r="AL14" s="21">
        <f>IFERROR(IF((AL13+1)&gt;(MAX(Routes!$O:$O)+1),"",AL13+1),"")</f>
        <v>11</v>
      </c>
      <c r="AM14" s="37">
        <f t="shared" si="28"/>
        <v>-3.0175015087507543E-3</v>
      </c>
      <c r="AN14" s="37">
        <f t="shared" si="29"/>
        <v>0</v>
      </c>
      <c r="AO14" s="37">
        <f t="shared" si="30"/>
        <v>3.887360314024077E-3</v>
      </c>
      <c r="AP14" s="37">
        <f t="shared" si="31"/>
        <v>-1.8072289156626505E-2</v>
      </c>
      <c r="AQ14" s="37">
        <f t="shared" si="32"/>
        <v>1.1481051026437854E-2</v>
      </c>
      <c r="AR14">
        <f t="shared" si="33"/>
        <v>5.7213793249153294E-3</v>
      </c>
      <c r="AT14" s="21">
        <f>IFERROR(IF((AT13+1)&gt;(MAX(Routes!$O:$O)+1),"",AT13+1),"")</f>
        <v>11</v>
      </c>
      <c r="AU14" s="7">
        <f t="shared" si="34"/>
        <v>0.76806050639144685</v>
      </c>
      <c r="AV14" s="7">
        <f t="shared" si="35"/>
        <v>13</v>
      </c>
    </row>
    <row r="15" spans="1:48" x14ac:dyDescent="0.2">
      <c r="B15" s="21">
        <f>IFERROR(IF((B14+1)&gt;(MAX(Routes!$O:$O)+1),"",B14+1),"")</f>
        <v>12</v>
      </c>
      <c r="C15" s="21">
        <f>IF(ISNUMBER($B15),SUMIF(Routes!$O:$O,$B15,Routes!Q:Q),"")</f>
        <v>17</v>
      </c>
      <c r="D15" s="22">
        <f>IF(ISNUMBER($B15),SUMIF(Routes!$O:$O,$B15,Routes!R:R),"")</f>
        <v>9.19</v>
      </c>
      <c r="E15" s="49">
        <f>IFERROR(AVERAGEIFS(Routes!$S$2:$S$54,Routes!$O$2:$O$54,TOPSIS!B15),"")</f>
        <v>0.9</v>
      </c>
      <c r="F15" s="21">
        <f>IF(ISNUMBER($B15),SUMIF(Routes!$O:$O,$B15,Routes!T:T),"")</f>
        <v>1</v>
      </c>
      <c r="G15" s="48">
        <f>IFERROR(AVERAGEIF(Routes!$O$2:$O$54,TOPSIS!B15,Routes!$U$2:$U$54),"")</f>
        <v>10</v>
      </c>
      <c r="H15" s="88"/>
      <c r="I15" s="21">
        <f>IFERROR(IF((I14+1)&gt;(MAX(Routes!$O:$O)+1),"",I14+1),"")</f>
        <v>12</v>
      </c>
      <c r="J15" s="89">
        <f t="shared" si="12"/>
        <v>289</v>
      </c>
      <c r="K15" s="89">
        <f t="shared" si="13"/>
        <v>84.456099999999992</v>
      </c>
      <c r="L15" s="89">
        <f t="shared" si="14"/>
        <v>0.81</v>
      </c>
      <c r="M15" s="89">
        <f t="shared" si="15"/>
        <v>1</v>
      </c>
      <c r="N15" s="89">
        <f t="shared" si="16"/>
        <v>100</v>
      </c>
      <c r="P15" s="21">
        <f>IFERROR(IF((P14+1)&gt;(MAX(Routes!$O:$O)+1),"",P14+1),"")</f>
        <v>12</v>
      </c>
      <c r="Q15" s="28">
        <f t="shared" si="17"/>
        <v>1.4656435899646522E-3</v>
      </c>
      <c r="R15" s="28">
        <f t="shared" si="18"/>
        <v>5.0624373702406137E-3</v>
      </c>
      <c r="S15" s="28">
        <f t="shared" si="19"/>
        <v>6.9972485652433372E-2</v>
      </c>
      <c r="T15" s="28">
        <f t="shared" si="20"/>
        <v>6.024096385542169E-3</v>
      </c>
      <c r="U15" s="28">
        <f t="shared" si="21"/>
        <v>1.6401501466339792E-2</v>
      </c>
      <c r="W15" s="35">
        <f>IFERROR(IF((W14+1)&gt;(MAX(Routes!$O:$O)+1),"",W14+1),"")</f>
        <v>12</v>
      </c>
      <c r="X15" s="36">
        <f t="shared" si="5"/>
        <v>1.4656435899646522E-3</v>
      </c>
      <c r="Y15" s="36">
        <f t="shared" si="6"/>
        <v>5.0624373702406137E-3</v>
      </c>
      <c r="Z15" s="36">
        <f t="shared" si="7"/>
        <v>6.9972485652433372E-2</v>
      </c>
      <c r="AA15" s="36">
        <f t="shared" si="8"/>
        <v>6.024096385542169E-3</v>
      </c>
      <c r="AB15" s="36">
        <f t="shared" si="9"/>
        <v>1.6401501466339792E-2</v>
      </c>
      <c r="AD15" s="21">
        <f>IFERROR(IF((AD14+1)&gt;(MAX(Routes!$O:$O)+1),"",AD14+1),"")</f>
        <v>12</v>
      </c>
      <c r="AE15" s="37">
        <f t="shared" si="22"/>
        <v>0</v>
      </c>
      <c r="AF15" s="37">
        <f t="shared" si="23"/>
        <v>5.0624373702406137E-3</v>
      </c>
      <c r="AG15" s="37">
        <f t="shared" si="24"/>
        <v>-7.774720628048154E-3</v>
      </c>
      <c r="AH15" s="37">
        <f t="shared" si="25"/>
        <v>0</v>
      </c>
      <c r="AI15" s="37">
        <f t="shared" si="26"/>
        <v>0</v>
      </c>
      <c r="AJ15">
        <f t="shared" si="27"/>
        <v>2.7122832578075403E-3</v>
      </c>
      <c r="AL15" s="21">
        <f>IFERROR(IF((AL14+1)&gt;(MAX(Routes!$O:$O)+1),"",AL14+1),"")</f>
        <v>12</v>
      </c>
      <c r="AM15" s="37">
        <f t="shared" si="28"/>
        <v>-3.2761444952151045E-3</v>
      </c>
      <c r="AN15" s="37">
        <f t="shared" si="29"/>
        <v>-1.4768655701430997E-2</v>
      </c>
      <c r="AO15" s="37">
        <f t="shared" si="30"/>
        <v>0</v>
      </c>
      <c r="AP15" s="37">
        <f t="shared" si="31"/>
        <v>-2.4096385542168676E-2</v>
      </c>
      <c r="AQ15" s="37">
        <f t="shared" si="32"/>
        <v>1.4761351319705813E-2</v>
      </c>
      <c r="AR15">
        <f t="shared" si="33"/>
        <v>2.7379834419108965E-2</v>
      </c>
      <c r="AT15" s="21">
        <f>IFERROR(IF((AT14+1)&gt;(MAX(Routes!$O:$O)+1),"",AT14+1),"")</f>
        <v>12</v>
      </c>
      <c r="AU15" s="7">
        <f t="shared" si="34"/>
        <v>9.0132681485827024E-2</v>
      </c>
      <c r="AV15" s="7">
        <f t="shared" si="35"/>
        <v>1</v>
      </c>
    </row>
    <row r="16" spans="1:48" x14ac:dyDescent="0.2">
      <c r="B16" s="21">
        <f>IFERROR(IF((B15+1)&gt;(MAX(Routes!$O:$O)+1),"",B15+1),"")</f>
        <v>13</v>
      </c>
      <c r="C16" s="21">
        <f>IF(ISNUMBER($B16),SUMIF(Routes!$O:$O,$B16,Routes!Q:Q),"")</f>
        <v>22</v>
      </c>
      <c r="D16" s="22">
        <f>IF(ISNUMBER($B16),SUMIF(Routes!$O:$O,$B16,Routes!R:R),"")</f>
        <v>0</v>
      </c>
      <c r="E16" s="49">
        <f>IFERROR(AVERAGEIFS(Routes!$S$2:$S$54,Routes!$O$2:$O$54,TOPSIS!B16),"")</f>
        <v>0.95</v>
      </c>
      <c r="F16" s="21">
        <f>IF(ISNUMBER($B16),SUMIF(Routes!$O:$O,$B16,Routes!T:T),"")</f>
        <v>1</v>
      </c>
      <c r="G16" s="48">
        <f>IFERROR(AVERAGEIF(Routes!$O$2:$O$54,TOPSIS!B16,Routes!$U$2:$U$54),"")</f>
        <v>1</v>
      </c>
      <c r="H16" s="88"/>
      <c r="I16" s="21">
        <f>IFERROR(IF((I15+1)&gt;(MAX(Routes!$O:$O)+1),"",I15+1),"")</f>
        <v>13</v>
      </c>
      <c r="J16" s="89">
        <f t="shared" si="12"/>
        <v>484</v>
      </c>
      <c r="K16" s="89">
        <f t="shared" si="13"/>
        <v>0</v>
      </c>
      <c r="L16" s="89">
        <f t="shared" si="14"/>
        <v>0.90249999999999997</v>
      </c>
      <c r="M16" s="89">
        <f t="shared" si="15"/>
        <v>1</v>
      </c>
      <c r="N16" s="89">
        <f t="shared" si="16"/>
        <v>1</v>
      </c>
      <c r="P16" s="21">
        <f>IFERROR(IF((P15+1)&gt;(MAX(Routes!$O:$O)+1),"",P15+1),"")</f>
        <v>13</v>
      </c>
      <c r="Q16" s="28">
        <f t="shared" si="17"/>
        <v>1.8967152340719027E-3</v>
      </c>
      <c r="R16" s="28">
        <f t="shared" si="18"/>
        <v>0</v>
      </c>
      <c r="S16" s="28">
        <f t="shared" si="19"/>
        <v>7.3859845966457449E-2</v>
      </c>
      <c r="T16" s="28">
        <f t="shared" si="20"/>
        <v>6.024096385542169E-3</v>
      </c>
      <c r="U16" s="28">
        <f t="shared" si="21"/>
        <v>1.6401501466339792E-3</v>
      </c>
      <c r="W16" s="35">
        <f>IFERROR(IF((W15+1)&gt;(MAX(Routes!$O:$O)+1),"",W15+1),"")</f>
        <v>13</v>
      </c>
      <c r="X16" s="36">
        <f t="shared" si="5"/>
        <v>1.8967152340719027E-3</v>
      </c>
      <c r="Y16" s="36">
        <f t="shared" si="6"/>
        <v>0</v>
      </c>
      <c r="Z16" s="36">
        <f t="shared" si="7"/>
        <v>7.3859845966457449E-2</v>
      </c>
      <c r="AA16" s="36">
        <f t="shared" si="8"/>
        <v>6.024096385542169E-3</v>
      </c>
      <c r="AB16" s="36">
        <f t="shared" si="9"/>
        <v>1.6401501466339792E-3</v>
      </c>
      <c r="AD16" s="21">
        <f>IFERROR(IF((AD15+1)&gt;(MAX(Routes!$O:$O)+1),"",AD15+1),"")</f>
        <v>13</v>
      </c>
      <c r="AE16" s="37">
        <f t="shared" si="22"/>
        <v>4.3107164410725049E-4</v>
      </c>
      <c r="AF16" s="37">
        <f t="shared" si="23"/>
        <v>0</v>
      </c>
      <c r="AG16" s="37">
        <f t="shared" si="24"/>
        <v>-3.887360314024077E-3</v>
      </c>
      <c r="AH16" s="37">
        <f t="shared" si="25"/>
        <v>0</v>
      </c>
      <c r="AI16" s="37">
        <f t="shared" si="26"/>
        <v>-1.4761351319705813E-2</v>
      </c>
      <c r="AJ16">
        <f t="shared" si="27"/>
        <v>1.8217639989622638E-2</v>
      </c>
      <c r="AL16" s="21">
        <f>IFERROR(IF((AL15+1)&gt;(MAX(Routes!$O:$O)+1),"",AL15+1),"")</f>
        <v>13</v>
      </c>
      <c r="AM16" s="37">
        <f t="shared" si="28"/>
        <v>-2.845072851107854E-3</v>
      </c>
      <c r="AN16" s="37">
        <f t="shared" si="29"/>
        <v>-1.9831093071671611E-2</v>
      </c>
      <c r="AO16" s="37">
        <f t="shared" si="30"/>
        <v>3.887360314024077E-3</v>
      </c>
      <c r="AP16" s="37">
        <f t="shared" si="31"/>
        <v>-2.4096385542168676E-2</v>
      </c>
      <c r="AQ16" s="37">
        <f t="shared" si="32"/>
        <v>0</v>
      </c>
      <c r="AR16">
        <f t="shared" si="33"/>
        <v>4.2885191150924068E-2</v>
      </c>
      <c r="AT16" s="21">
        <f>IFERROR(IF((AT15+1)&gt;(MAX(Routes!$O:$O)+1),"",AT15+1),"")</f>
        <v>13</v>
      </c>
      <c r="AU16" s="7">
        <f t="shared" si="34"/>
        <v>0.29814723228976125</v>
      </c>
      <c r="AV16" s="7">
        <f t="shared" si="35"/>
        <v>6</v>
      </c>
    </row>
    <row r="17" spans="2:48" x14ac:dyDescent="0.2">
      <c r="B17" s="21">
        <f>IFERROR(IF((B16+1)&gt;(MAX(Routes!$O:$O)+1),"",B16+1),"")</f>
        <v>14</v>
      </c>
      <c r="C17" s="21">
        <f>IF(ISNUMBER($B17),SUMIF(Routes!$O:$O,$B17,Routes!Q:Q),"")</f>
        <v>55</v>
      </c>
      <c r="D17" s="22">
        <f>IF(ISNUMBER($B17),SUMIF(Routes!$O:$O,$B17,Routes!R:R),"")</f>
        <v>0</v>
      </c>
      <c r="E17" s="49">
        <f>IFERROR(AVERAGEIFS(Routes!$S$2:$S$54,Routes!$O$2:$O$54,TOPSIS!B17),"")</f>
        <v>1</v>
      </c>
      <c r="F17" s="21">
        <f>IF(ISNUMBER($B17),SUMIF(Routes!$O:$O,$B17,Routes!T:T),"")</f>
        <v>1</v>
      </c>
      <c r="G17" s="48">
        <f>IFERROR(AVERAGEIF(Routes!$O$2:$O$54,TOPSIS!B17,Routes!$U$2:$U$54),"")</f>
        <v>6</v>
      </c>
      <c r="H17" s="88"/>
      <c r="I17" s="21">
        <f>IFERROR(IF((I16+1)&gt;(MAX(Routes!$O:$O)+1),"",I16+1),"")</f>
        <v>14</v>
      </c>
      <c r="J17" s="89">
        <f t="shared" si="12"/>
        <v>3025</v>
      </c>
      <c r="K17" s="89">
        <f t="shared" si="13"/>
        <v>0</v>
      </c>
      <c r="L17" s="89">
        <f t="shared" si="14"/>
        <v>1</v>
      </c>
      <c r="M17" s="89">
        <f t="shared" si="15"/>
        <v>1</v>
      </c>
      <c r="N17" s="89">
        <f t="shared" si="16"/>
        <v>36</v>
      </c>
      <c r="P17" s="21">
        <f>IFERROR(IF((P16+1)&gt;(MAX(Routes!$O:$O)+1),"",P16+1),"")</f>
        <v>14</v>
      </c>
      <c r="Q17" s="28">
        <f t="shared" si="17"/>
        <v>4.7417880851797567E-3</v>
      </c>
      <c r="R17" s="28">
        <f t="shared" si="18"/>
        <v>0</v>
      </c>
      <c r="S17" s="28">
        <f t="shared" si="19"/>
        <v>7.7747206280481526E-2</v>
      </c>
      <c r="T17" s="28">
        <f t="shared" si="20"/>
        <v>6.024096385542169E-3</v>
      </c>
      <c r="U17" s="28">
        <f t="shared" si="21"/>
        <v>9.8409008798038752E-3</v>
      </c>
      <c r="W17" s="35">
        <f>IFERROR(IF((W16+1)&gt;(MAX(Routes!$O:$O)+1),"",W16+1),"")</f>
        <v>14</v>
      </c>
      <c r="X17" s="36">
        <f t="shared" si="5"/>
        <v>4.7417880851797567E-3</v>
      </c>
      <c r="Y17" s="36">
        <f t="shared" si="6"/>
        <v>0</v>
      </c>
      <c r="Z17" s="36">
        <f t="shared" si="7"/>
        <v>7.7747206280481526E-2</v>
      </c>
      <c r="AA17" s="36">
        <f t="shared" si="8"/>
        <v>6.024096385542169E-3</v>
      </c>
      <c r="AB17" s="36">
        <f t="shared" si="9"/>
        <v>9.8409008798038752E-3</v>
      </c>
      <c r="AD17" s="21">
        <f>IFERROR(IF((AD16+1)&gt;(MAX(Routes!$O:$O)+1),"",AD16+1),"")</f>
        <v>14</v>
      </c>
      <c r="AE17" s="37">
        <f t="shared" si="22"/>
        <v>3.2761444952151045E-3</v>
      </c>
      <c r="AF17" s="37">
        <f t="shared" si="23"/>
        <v>0</v>
      </c>
      <c r="AG17" s="37">
        <f t="shared" si="24"/>
        <v>0</v>
      </c>
      <c r="AH17" s="37">
        <f t="shared" si="25"/>
        <v>0</v>
      </c>
      <c r="AI17" s="37">
        <f t="shared" si="26"/>
        <v>-6.5606005865359168E-3</v>
      </c>
      <c r="AJ17">
        <f t="shared" si="27"/>
        <v>3.2844560913208123E-3</v>
      </c>
      <c r="AL17" s="21">
        <f>IFERROR(IF((AL16+1)&gt;(MAX(Routes!$O:$O)+1),"",AL16+1),"")</f>
        <v>14</v>
      </c>
      <c r="AM17" s="37">
        <f t="shared" si="28"/>
        <v>0</v>
      </c>
      <c r="AN17" s="37">
        <f t="shared" si="29"/>
        <v>-1.9831093071671611E-2</v>
      </c>
      <c r="AO17" s="37">
        <f t="shared" si="30"/>
        <v>7.774720628048154E-3</v>
      </c>
      <c r="AP17" s="37">
        <f t="shared" si="31"/>
        <v>-2.4096385542168676E-2</v>
      </c>
      <c r="AQ17" s="37">
        <f t="shared" si="32"/>
        <v>8.200750733169896E-3</v>
      </c>
      <c r="AR17">
        <f t="shared" si="33"/>
        <v>2.795200725262224E-2</v>
      </c>
      <c r="AT17" s="21">
        <f>IFERROR(IF((AT16+1)&gt;(MAX(Routes!$O:$O)+1),"",AT16+1),"")</f>
        <v>14</v>
      </c>
      <c r="AU17" s="7">
        <f t="shared" si="34"/>
        <v>0.10514814225784268</v>
      </c>
      <c r="AV17" s="7">
        <f t="shared" si="35"/>
        <v>2</v>
      </c>
    </row>
    <row r="18" spans="2:48" x14ac:dyDescent="0.2">
      <c r="B18" s="21">
        <f>IFERROR(IF((B17+1)&gt;(MAX(Routes!$O:$O)+1),"",B17+1),"")</f>
        <v>15</v>
      </c>
      <c r="C18" s="21">
        <f>IF(ISNUMBER($B18),SUMIF(Routes!$O:$O,$B18,Routes!Q:Q),"")</f>
        <v>0</v>
      </c>
      <c r="D18" s="22">
        <f>IF(ISNUMBER($B18),SUMIF(Routes!$O:$O,$B18,Routes!R:R),"")</f>
        <v>0</v>
      </c>
      <c r="E18" s="49" t="str">
        <f>IFERROR(AVERAGEIFS(Routes!$S$2:$S$54,Routes!$O$2:$O$54,TOPSIS!B18),"")</f>
        <v/>
      </c>
      <c r="F18" s="21">
        <f>IF(ISNUMBER($B18),SUMIF(Routes!$O:$O,$B18,Routes!T:T),"")</f>
        <v>0</v>
      </c>
      <c r="G18" s="85" t="str">
        <f>IFERROR(AVERAGEIF(Routes!$O$2:$O$54,TOPSIS!B18,Routes!$U$2:$U$54),"")</f>
        <v/>
      </c>
      <c r="H18" s="88"/>
      <c r="I18" s="86">
        <f>IFERROR(IF((I17+1)&gt;(MAX(Routes!$O:$O)+1),"",I17+1),"")</f>
        <v>15</v>
      </c>
      <c r="J18" s="21">
        <f>IF(ISNUMBER($B18),SUMIF(Routes!$O:$O,$B18,Routes!W:W),"")</f>
        <v>0</v>
      </c>
      <c r="K18" s="22">
        <f>IF(ISNUMBER($B18),SUMIF(Routes!$O:$O,$B18,Routes!X:X),"")</f>
        <v>0</v>
      </c>
      <c r="L18" s="49" t="str">
        <f>IFERROR(AVERAGEIFS(Routes!$S$2:$S$54,Routes!$O$2:$O$54,TOPSIS!I18),"")</f>
        <v/>
      </c>
      <c r="M18" s="21">
        <f>IF(ISNUMBER($B18),SUMIF(Routes!$O:$O,$B18,Routes!Z:Z),"")</f>
        <v>0</v>
      </c>
      <c r="N18" s="48" t="str">
        <f>IFERROR(AVERAGEIF(Routes!$O$2:$O$54,TOPSIS!I18,Routes!$U$2:$U$54),"")</f>
        <v/>
      </c>
      <c r="P18" s="21">
        <f>IFERROR(IF((P17+1)&gt;(MAX(Routes!$O:$O)+1),"",P17+1),"")</f>
        <v>15</v>
      </c>
      <c r="Q18" s="13"/>
      <c r="R18" s="13"/>
      <c r="S18" s="13"/>
      <c r="T18" s="13"/>
      <c r="U18" s="13"/>
      <c r="W18" s="35">
        <f>IFERROR(IF((W17+1)&gt;(MAX(Routes!$O:$O)+1),"",W17+1),"")</f>
        <v>15</v>
      </c>
      <c r="X18" s="3"/>
      <c r="Y18" s="3"/>
      <c r="Z18" s="3"/>
      <c r="AA18" s="3"/>
      <c r="AB18" s="3"/>
      <c r="AD18" s="21">
        <f>IFERROR(IF((AD17+1)&gt;(MAX(Routes!$O:$O)+1),"",AD17+1),"")</f>
        <v>15</v>
      </c>
      <c r="AJ18" t="str">
        <f t="shared" si="27"/>
        <v/>
      </c>
      <c r="AL18" s="21">
        <f>IFERROR(IF((AL17+1)&gt;(MAX(Routes!$O:$O)+1),"",AL17+1),"")</f>
        <v>15</v>
      </c>
      <c r="AR18" t="str">
        <f t="shared" si="33"/>
        <v/>
      </c>
      <c r="AT18" s="21">
        <f>IFERROR(IF((AT17+1)&gt;(MAX(Routes!$O:$O)+1),"",AT17+1),"")</f>
        <v>15</v>
      </c>
    </row>
    <row r="19" spans="2:48" x14ac:dyDescent="0.2">
      <c r="B19" s="21" t="str">
        <f>IFERROR(IF((B18+1)&gt;(MAX(Routes!$O:$O)+1),"",B18+1),"")</f>
        <v/>
      </c>
      <c r="C19" s="21" t="str">
        <f>IF(ISNUMBER($B19),SUMIF(Routes!$O:$O,$B19,Routes!Q:Q),"")</f>
        <v/>
      </c>
      <c r="D19" s="22" t="str">
        <f>IF(ISNUMBER($B19),SUMIF(Routes!$O:$O,$B19,Routes!R:R),"")</f>
        <v/>
      </c>
      <c r="E19" s="49" t="str">
        <f>IFERROR(AVERAGEIFS(Routes!$S$2:$S$54,Routes!$O$2:$O$54,TOPSIS!B19),"")</f>
        <v/>
      </c>
      <c r="F19" s="21" t="str">
        <f>IF(ISNUMBER($B19),SUMIF(Routes!$O:$O,$B19,Routes!T:T),"")</f>
        <v/>
      </c>
      <c r="G19" s="85" t="str">
        <f>IFERROR(AVERAGEIF(Routes!$O$2:$O$54,TOPSIS!B19,Routes!$U$2:$U$54),"")</f>
        <v/>
      </c>
      <c r="H19" s="88"/>
      <c r="I19" s="86" t="str">
        <f>IFERROR(IF((I18+1)&gt;(MAX(Routes!$O:$O)+1),"",I18+1),"")</f>
        <v/>
      </c>
      <c r="J19" s="21" t="str">
        <f>IF(ISNUMBER($B19),SUMIF(Routes!$O:$O,$B19,Routes!W:W),"")</f>
        <v/>
      </c>
      <c r="K19" s="22" t="str">
        <f>IF(ISNUMBER($B19),SUMIF(Routes!$O:$O,$B19,Routes!X:X),"")</f>
        <v/>
      </c>
      <c r="L19" s="49" t="str">
        <f>IFERROR(AVERAGEIFS(Routes!$S$2:$S$54,Routes!$O$2:$O$54,TOPSIS!I19),"")</f>
        <v/>
      </c>
      <c r="M19" s="21" t="str">
        <f>IF(ISNUMBER($B19),SUMIF(Routes!$O:$O,$B19,Routes!Z:Z),"")</f>
        <v/>
      </c>
      <c r="N19" s="48" t="str">
        <f>IFERROR(AVERAGEIF(Routes!$O$2:$O$54,TOPSIS!I19,Routes!$U$2:$U$54),"")</f>
        <v/>
      </c>
      <c r="P19" s="21" t="str">
        <f>IFERROR(IF((P18+1)&gt;(MAX(Routes!$O:$O)+1),"",P18+1),"")</f>
        <v/>
      </c>
      <c r="Q19" s="13"/>
      <c r="R19" s="13"/>
      <c r="S19" s="13"/>
      <c r="T19" s="13"/>
      <c r="U19" s="13"/>
      <c r="W19" s="35" t="str">
        <f>IFERROR(IF((W18+1)&gt;(MAX(Routes!$O:$O)+1),"",W18+1),"")</f>
        <v/>
      </c>
      <c r="X19" s="3"/>
      <c r="Y19" s="3"/>
      <c r="Z19" s="3"/>
      <c r="AA19" s="3"/>
      <c r="AB19" s="3"/>
      <c r="AD19" s="21" t="str">
        <f>IFERROR(IF((AD18+1)&gt;(MAX(Routes!$O:$O)+1),"",AD18+1),"")</f>
        <v/>
      </c>
      <c r="AJ19" t="str">
        <f t="shared" si="27"/>
        <v/>
      </c>
      <c r="AL19" s="21" t="str">
        <f>IFERROR(IF((AL18+1)&gt;(MAX(Routes!$O:$O)+1),"",AL18+1),"")</f>
        <v/>
      </c>
      <c r="AR19" t="str">
        <f t="shared" si="33"/>
        <v/>
      </c>
      <c r="AT19" s="21" t="str">
        <f>IFERROR(IF((AT18+1)&gt;(MAX(Routes!$O:$O)+1),"",AT18+1),"")</f>
        <v/>
      </c>
    </row>
    <row r="20" spans="2:48" x14ac:dyDescent="0.2">
      <c r="B20" s="21" t="str">
        <f>IFERROR(IF((B19+1)&gt;(MAX(Routes!$O:$O)+1),"",B19+1),"")</f>
        <v/>
      </c>
      <c r="C20" s="21" t="str">
        <f>IF(ISNUMBER($B20),SUMIF(Routes!$O:$O,$B20,Routes!Q:Q),"")</f>
        <v/>
      </c>
      <c r="D20" s="22" t="str">
        <f>IF(ISNUMBER($B20),SUMIF(Routes!$O:$O,$B20,Routes!R:R),"")</f>
        <v/>
      </c>
      <c r="E20" s="49" t="str">
        <f>IFERROR(AVERAGEIFS(Routes!$S$2:$S$54,Routes!$O$2:$O$54,TOPSIS!B20),"")</f>
        <v/>
      </c>
      <c r="F20" s="21" t="str">
        <f>IF(ISNUMBER($B20),SUMIF(Routes!$O:$O,$B20,Routes!T:T),"")</f>
        <v/>
      </c>
      <c r="G20" s="48" t="str">
        <f>IFERROR(AVERAGEIF(Routes!$O$2:$O$54,TOPSIS!B20,Routes!$U$2:$U$54),"")</f>
        <v/>
      </c>
      <c r="H20" s="87"/>
      <c r="I20" s="21" t="str">
        <f>IFERROR(IF((I19+1)&gt;(MAX(Routes!$O:$O)+1),"",I19+1),"")</f>
        <v/>
      </c>
      <c r="J20" s="21" t="str">
        <f>IF(ISNUMBER($B20),SUMIF(Routes!$O:$O,$B20,Routes!W:W),"")</f>
        <v/>
      </c>
      <c r="K20" s="22" t="str">
        <f>IF(ISNUMBER($B20),SUMIF(Routes!$O:$O,$B20,Routes!X:X),"")</f>
        <v/>
      </c>
      <c r="L20" s="49" t="str">
        <f>IFERROR(AVERAGEIFS(Routes!$S$2:$S$54,Routes!$O$2:$O$54,TOPSIS!I20),"")</f>
        <v/>
      </c>
      <c r="M20" s="21" t="str">
        <f>IF(ISNUMBER($B20),SUMIF(Routes!$O:$O,$B20,Routes!Z:Z),"")</f>
        <v/>
      </c>
      <c r="N20" s="48" t="str">
        <f>IFERROR(AVERAGEIF(Routes!$O$2:$O$54,TOPSIS!I20,Routes!$U$2:$U$54),"")</f>
        <v/>
      </c>
      <c r="P20" s="21" t="str">
        <f>IFERROR(IF((P19+1)&gt;(MAX(Routes!$O:$O)+1),"",P19+1),"")</f>
        <v/>
      </c>
      <c r="Q20" s="13"/>
      <c r="R20" s="13"/>
      <c r="S20" s="13"/>
      <c r="T20" s="13"/>
      <c r="U20" s="13"/>
      <c r="W20" s="35" t="str">
        <f>IFERROR(IF((W19+1)&gt;(MAX(Routes!$O:$O)+1),"",W19+1),"")</f>
        <v/>
      </c>
      <c r="X20" s="3"/>
      <c r="Y20" s="3"/>
      <c r="Z20" s="3"/>
      <c r="AA20" s="3"/>
      <c r="AB20" s="3"/>
      <c r="AD20" s="21" t="str">
        <f>IFERROR(IF((AD19+1)&gt;(MAX(Routes!$O:$O)+1),"",AD19+1),"")</f>
        <v/>
      </c>
      <c r="AJ20" t="str">
        <f t="shared" si="27"/>
        <v/>
      </c>
      <c r="AL20" s="21" t="str">
        <f>IFERROR(IF((AL19+1)&gt;(MAX(Routes!$O:$O)+1),"",AL19+1),"")</f>
        <v/>
      </c>
      <c r="AR20" t="str">
        <f t="shared" si="33"/>
        <v/>
      </c>
      <c r="AT20" s="21" t="str">
        <f>IFERROR(IF((AT19+1)&gt;(MAX(Routes!$O:$O)+1),"",AT19+1),"")</f>
        <v/>
      </c>
    </row>
    <row r="21" spans="2:48" x14ac:dyDescent="0.2">
      <c r="B21" s="21" t="str">
        <f>IFERROR(IF((B20+1)&gt;(MAX(Routes!$O:$O)+1),"",B20+1),"")</f>
        <v/>
      </c>
      <c r="C21" s="21" t="str">
        <f>IF(ISNUMBER($B21),SUMIF(Routes!$O:$O,$B21,Routes!Q:Q),"")</f>
        <v/>
      </c>
      <c r="D21" s="22" t="str">
        <f>IF(ISNUMBER($B21),SUMIF(Routes!$O:$O,$B21,Routes!R:R),"")</f>
        <v/>
      </c>
      <c r="E21" s="49" t="str">
        <f>IFERROR(AVERAGEIFS(Routes!$S$2:$S$54,Routes!$O$2:$O$54,TOPSIS!B21),"")</f>
        <v/>
      </c>
      <c r="F21" s="21" t="str">
        <f>IF(ISNUMBER($B21),SUMIF(Routes!$O:$O,$B21,Routes!T:T),"")</f>
        <v/>
      </c>
      <c r="G21" s="48" t="str">
        <f>IFERROR(AVERAGEIF(Routes!$O$2:$O$54,TOPSIS!B21,Routes!$U$2:$U$54),"")</f>
        <v/>
      </c>
      <c r="H21" s="48"/>
      <c r="I21" s="21" t="str">
        <f>IFERROR(IF((I20+1)&gt;(MAX(Routes!$O:$O)+1),"",I20+1),"")</f>
        <v/>
      </c>
      <c r="J21" s="21" t="str">
        <f>IF(ISNUMBER($B21),SUMIF(Routes!$O:$O,$B21,Routes!W:W),"")</f>
        <v/>
      </c>
      <c r="K21" s="22" t="str">
        <f>IF(ISNUMBER($B21),SUMIF(Routes!$O:$O,$B21,Routes!X:X),"")</f>
        <v/>
      </c>
      <c r="L21" s="49" t="str">
        <f>IFERROR(AVERAGEIFS(Routes!$S$2:$S$54,Routes!$O$2:$O$54,TOPSIS!I21),"")</f>
        <v/>
      </c>
      <c r="M21" s="21" t="str">
        <f>IF(ISNUMBER($B21),SUMIF(Routes!$O:$O,$B21,Routes!Z:Z),"")</f>
        <v/>
      </c>
      <c r="N21" s="48" t="str">
        <f>IFERROR(AVERAGEIF(Routes!$O$2:$O$54,TOPSIS!I21,Routes!$U$2:$U$54),"")</f>
        <v/>
      </c>
      <c r="P21" s="21" t="str">
        <f>IFERROR(IF((P20+1)&gt;(MAX(Routes!$O:$O)+1),"",P20+1),"")</f>
        <v/>
      </c>
      <c r="Q21" s="13"/>
      <c r="R21" s="13"/>
      <c r="S21" s="13"/>
      <c r="T21" s="13"/>
      <c r="U21" s="13"/>
      <c r="W21" s="35" t="str">
        <f>IFERROR(IF((W20+1)&gt;(MAX(Routes!$O:$O)+1),"",W20+1),"")</f>
        <v/>
      </c>
      <c r="X21" s="3"/>
      <c r="Y21" s="3"/>
      <c r="Z21" s="3"/>
      <c r="AA21" s="3"/>
      <c r="AB21" s="3"/>
      <c r="AD21" s="21" t="str">
        <f>IFERROR(IF((AD20+1)&gt;(MAX(Routes!$O:$O)+1),"",AD20+1),"")</f>
        <v/>
      </c>
      <c r="AJ21" t="str">
        <f t="shared" si="27"/>
        <v/>
      </c>
      <c r="AL21" s="21" t="str">
        <f>IFERROR(IF((AL20+1)&gt;(MAX(Routes!$O:$O)+1),"",AL20+1),"")</f>
        <v/>
      </c>
      <c r="AR21" t="str">
        <f t="shared" si="33"/>
        <v/>
      </c>
      <c r="AT21" s="21" t="str">
        <f>IFERROR(IF((AT20+1)&gt;(MAX(Routes!$O:$O)+1),"",AT20+1),"")</f>
        <v/>
      </c>
    </row>
    <row r="22" spans="2:48" x14ac:dyDescent="0.2">
      <c r="B22" s="21" t="str">
        <f>IFERROR(IF((B21+1)&gt;(MAX(Routes!$O:$O)+1),"",B21+1),"")</f>
        <v/>
      </c>
      <c r="C22" s="21" t="str">
        <f>IF(ISNUMBER($B22),SUMIF(Routes!$O:$O,$B22,Routes!Q:Q),"")</f>
        <v/>
      </c>
      <c r="D22" s="22" t="str">
        <f>IF(ISNUMBER($B22),SUMIF(Routes!$O:$O,$B22,Routes!R:R),"")</f>
        <v/>
      </c>
      <c r="E22" s="49" t="str">
        <f>IFERROR(AVERAGEIFS(Routes!$S$2:$S$54,Routes!$O$2:$O$54,TOPSIS!B22),"")</f>
        <v/>
      </c>
      <c r="F22" s="21" t="str">
        <f>IF(ISNUMBER($B22),SUMIF(Routes!$O:$O,$B22,Routes!T:T),"")</f>
        <v/>
      </c>
      <c r="G22" s="48" t="str">
        <f>IFERROR(AVERAGEIF(Routes!$O$2:$O$54,TOPSIS!B22,Routes!$U$2:$U$54),"")</f>
        <v/>
      </c>
      <c r="H22" s="48"/>
      <c r="I22" s="21" t="str">
        <f>IFERROR(IF((I21+1)&gt;(MAX(Routes!$O:$O)+1),"",I21+1),"")</f>
        <v/>
      </c>
      <c r="J22" s="21" t="str">
        <f>IF(ISNUMBER($B22),SUMIF(Routes!$O:$O,$B22,Routes!W:W),"")</f>
        <v/>
      </c>
      <c r="K22" s="22" t="str">
        <f>IF(ISNUMBER($B22),SUMIF(Routes!$O:$O,$B22,Routes!X:X),"")</f>
        <v/>
      </c>
      <c r="L22" s="49" t="str">
        <f>IFERROR(AVERAGEIFS(Routes!$S$2:$S$54,Routes!$O$2:$O$54,TOPSIS!I22),"")</f>
        <v/>
      </c>
      <c r="M22" s="21" t="str">
        <f>IF(ISNUMBER($B22),SUMIF(Routes!$O:$O,$B22,Routes!Z:Z),"")</f>
        <v/>
      </c>
      <c r="N22" s="48" t="str">
        <f>IFERROR(AVERAGEIF(Routes!$O$2:$O$54,TOPSIS!I22,Routes!$U$2:$U$54),"")</f>
        <v/>
      </c>
      <c r="P22" s="21" t="str">
        <f>IFERROR(IF((P21+1)&gt;(MAX(Routes!$O:$O)+1),"",P21+1),"")</f>
        <v/>
      </c>
      <c r="Q22" s="13"/>
      <c r="R22" s="13"/>
      <c r="S22" s="13"/>
      <c r="T22" s="13"/>
      <c r="U22" s="13"/>
      <c r="W22" s="35" t="str">
        <f>IFERROR(IF((W21+1)&gt;(MAX(Routes!$O:$O)+1),"",W21+1),"")</f>
        <v/>
      </c>
      <c r="X22" s="3"/>
      <c r="Y22" s="3"/>
      <c r="Z22" s="3"/>
      <c r="AA22" s="3"/>
      <c r="AB22" s="3"/>
      <c r="AD22" s="21" t="str">
        <f>IFERROR(IF((AD21+1)&gt;(MAX(Routes!$O:$O)+1),"",AD21+1),"")</f>
        <v/>
      </c>
      <c r="AJ22" t="str">
        <f t="shared" si="27"/>
        <v/>
      </c>
      <c r="AL22" s="21" t="str">
        <f>IFERROR(IF((AL21+1)&gt;(MAX(Routes!$O:$O)+1),"",AL21+1),"")</f>
        <v/>
      </c>
      <c r="AR22" t="str">
        <f t="shared" si="33"/>
        <v/>
      </c>
      <c r="AT22" s="21" t="str">
        <f>IFERROR(IF((AT21+1)&gt;(MAX(Routes!$O:$O)+1),"",AT21+1),"")</f>
        <v/>
      </c>
    </row>
    <row r="23" spans="2:48" x14ac:dyDescent="0.2">
      <c r="B23" s="21" t="str">
        <f>IFERROR(IF((B22+1)&gt;(MAX(Routes!$O:$O)+1),"",B22+1),"")</f>
        <v/>
      </c>
      <c r="C23" s="21" t="str">
        <f>IF(ISNUMBER($B23),SUMIF(Routes!$O:$O,$B23,Routes!Q:Q),"")</f>
        <v/>
      </c>
      <c r="D23" s="22" t="str">
        <f>IF(ISNUMBER($B23),SUMIF(Routes!$O:$O,$B23,Routes!R:R),"")</f>
        <v/>
      </c>
      <c r="E23" s="49" t="str">
        <f>IFERROR(AVERAGEIFS(Routes!$S$2:$S$54,Routes!$O$2:$O$54,TOPSIS!B23),"")</f>
        <v/>
      </c>
      <c r="F23" s="21" t="str">
        <f>IF(ISNUMBER($B23),SUMIF(Routes!$O:$O,$B23,Routes!T:T),"")</f>
        <v/>
      </c>
      <c r="G23" s="48" t="str">
        <f>IFERROR(AVERAGEIF(Routes!$O$2:$O$54,TOPSIS!B23,Routes!$U$2:$U$54),"")</f>
        <v/>
      </c>
      <c r="H23" s="48"/>
      <c r="I23" s="21" t="str">
        <f>IFERROR(IF((I22+1)&gt;(MAX(Routes!$O:$O)+1),"",I22+1),"")</f>
        <v/>
      </c>
      <c r="J23" s="21" t="str">
        <f>IF(ISNUMBER($B23),SUMIF(Routes!$O:$O,$B23,Routes!W:W),"")</f>
        <v/>
      </c>
      <c r="K23" s="22" t="str">
        <f>IF(ISNUMBER($B23),SUMIF(Routes!$O:$O,$B23,Routes!X:X),"")</f>
        <v/>
      </c>
      <c r="L23" s="49" t="str">
        <f>IFERROR(AVERAGEIFS(Routes!$S$2:$S$54,Routes!$O$2:$O$54,TOPSIS!I23),"")</f>
        <v/>
      </c>
      <c r="M23" s="21" t="str">
        <f>IF(ISNUMBER($B23),SUMIF(Routes!$O:$O,$B23,Routes!Z:Z),"")</f>
        <v/>
      </c>
      <c r="N23" s="48" t="str">
        <f>IFERROR(AVERAGEIF(Routes!$O$2:$O$54,TOPSIS!I23,Routes!$U$2:$U$54),"")</f>
        <v/>
      </c>
      <c r="P23" s="21" t="str">
        <f>IFERROR(IF((P22+1)&gt;(MAX(Routes!$O:$O)+1),"",P22+1),"")</f>
        <v/>
      </c>
      <c r="Q23" s="13"/>
      <c r="R23" s="13"/>
      <c r="S23" s="13"/>
      <c r="T23" s="13"/>
      <c r="U23" s="13"/>
      <c r="W23" s="35" t="str">
        <f>IFERROR(IF((W22+1)&gt;(MAX(Routes!$O:$O)+1),"",W22+1),"")</f>
        <v/>
      </c>
      <c r="X23" s="3"/>
      <c r="Y23" s="3"/>
      <c r="Z23" s="3"/>
      <c r="AA23" s="3"/>
      <c r="AB23" s="3"/>
      <c r="AD23" s="21" t="str">
        <f>IFERROR(IF((AD22+1)&gt;(MAX(Routes!$O:$O)+1),"",AD22+1),"")</f>
        <v/>
      </c>
      <c r="AJ23" t="str">
        <f t="shared" si="27"/>
        <v/>
      </c>
      <c r="AL23" s="21" t="str">
        <f>IFERROR(IF((AL22+1)&gt;(MAX(Routes!$O:$O)+1),"",AL22+1),"")</f>
        <v/>
      </c>
      <c r="AR23" t="str">
        <f t="shared" si="33"/>
        <v/>
      </c>
      <c r="AT23" s="21" t="str">
        <f>IFERROR(IF((AT22+1)&gt;(MAX(Routes!$O:$O)+1),"",AT22+1),"")</f>
        <v/>
      </c>
    </row>
    <row r="24" spans="2:48" x14ac:dyDescent="0.2">
      <c r="B24" s="21" t="str">
        <f>IFERROR(IF((B23+1)&gt;(MAX(Routes!$O:$O)+1),"",B23+1),"")</f>
        <v/>
      </c>
      <c r="C24" s="21" t="str">
        <f>IF(ISNUMBER($B24),SUMIF(Routes!$O:$O,$B24,Routes!Q:Q),"")</f>
        <v/>
      </c>
      <c r="D24" s="22" t="str">
        <f>IF(ISNUMBER($B24),SUMIF(Routes!$O:$O,$B24,Routes!R:R),"")</f>
        <v/>
      </c>
      <c r="E24" s="49" t="str">
        <f>IFERROR(AVERAGEIFS(Routes!$S$2:$S$54,Routes!$O$2:$O$54,TOPSIS!B24),"")</f>
        <v/>
      </c>
      <c r="F24" s="21" t="str">
        <f>IF(ISNUMBER($B24),SUMIF(Routes!$O:$O,$B24,Routes!T:T),"")</f>
        <v/>
      </c>
      <c r="G24" s="48" t="str">
        <f>IFERROR(AVERAGEIF(Routes!$O$2:$O$54,TOPSIS!B24,Routes!$U$2:$U$54),"")</f>
        <v/>
      </c>
      <c r="H24" s="48"/>
      <c r="I24" s="21" t="str">
        <f>IFERROR(IF((I23+1)&gt;(MAX(Routes!$O:$O)+1),"",I23+1),"")</f>
        <v/>
      </c>
      <c r="J24" s="21" t="str">
        <f>IF(ISNUMBER($B24),SUMIF(Routes!$O:$O,$B24,Routes!W:W),"")</f>
        <v/>
      </c>
      <c r="K24" s="22" t="str">
        <f>IF(ISNUMBER($B24),SUMIF(Routes!$O:$O,$B24,Routes!X:X),"")</f>
        <v/>
      </c>
      <c r="L24" s="49" t="str">
        <f>IFERROR(AVERAGEIFS(Routes!$S$2:$S$54,Routes!$O$2:$O$54,TOPSIS!I24),"")</f>
        <v/>
      </c>
      <c r="M24" s="21" t="str">
        <f>IF(ISNUMBER($B24),SUMIF(Routes!$O:$O,$B24,Routes!Z:Z),"")</f>
        <v/>
      </c>
      <c r="N24" s="48" t="str">
        <f>IFERROR(AVERAGEIF(Routes!$O$2:$O$54,TOPSIS!I24,Routes!$U$2:$U$54),"")</f>
        <v/>
      </c>
      <c r="P24" s="21" t="str">
        <f>IFERROR(IF((P23+1)&gt;(MAX(Routes!$O:$O)+1),"",P23+1),"")</f>
        <v/>
      </c>
      <c r="Q24" s="13"/>
      <c r="R24" s="13"/>
      <c r="S24" s="13"/>
      <c r="T24" s="13"/>
      <c r="U24" s="13"/>
      <c r="W24" s="35" t="str">
        <f>IFERROR(IF((W23+1)&gt;(MAX(Routes!$O:$O)+1),"",W23+1),"")</f>
        <v/>
      </c>
      <c r="X24" s="3"/>
      <c r="Y24" s="3"/>
      <c r="Z24" s="3"/>
      <c r="AA24" s="3"/>
      <c r="AB24" s="3"/>
      <c r="AD24" s="21" t="str">
        <f>IFERROR(IF((AD23+1)&gt;(MAX(Routes!$O:$O)+1),"",AD23+1),"")</f>
        <v/>
      </c>
      <c r="AJ24" t="str">
        <f t="shared" si="27"/>
        <v/>
      </c>
      <c r="AL24" s="21" t="str">
        <f>IFERROR(IF((AL23+1)&gt;(MAX(Routes!$O:$O)+1),"",AL23+1),"")</f>
        <v/>
      </c>
      <c r="AR24" t="str">
        <f t="shared" si="33"/>
        <v/>
      </c>
      <c r="AT24" s="21" t="str">
        <f>IFERROR(IF((AT23+1)&gt;(MAX(Routes!$O:$O)+1),"",AT23+1),"")</f>
        <v/>
      </c>
    </row>
    <row r="25" spans="2:48" x14ac:dyDescent="0.2">
      <c r="B25" s="21" t="str">
        <f>IFERROR(IF((B24+1)&gt;(MAX(Routes!$O:$O)+1),"",B24+1),"")</f>
        <v/>
      </c>
      <c r="C25" s="21" t="str">
        <f>IF(ISNUMBER($B25),SUMIF(Routes!$O:$O,$B25,Routes!Q:Q),"")</f>
        <v/>
      </c>
      <c r="D25" s="22" t="str">
        <f>IF(ISNUMBER($B25),SUMIF(Routes!$O:$O,$B25,Routes!R:R),"")</f>
        <v/>
      </c>
      <c r="E25" s="49" t="str">
        <f>IFERROR(AVERAGEIFS(Routes!$S$2:$S$54,Routes!$O$2:$O$54,TOPSIS!B25),"")</f>
        <v/>
      </c>
      <c r="F25" s="21" t="str">
        <f>IF(ISNUMBER($B25),SUMIF(Routes!$O:$O,$B25,Routes!T:T),"")</f>
        <v/>
      </c>
      <c r="G25" s="48" t="str">
        <f>IFERROR(AVERAGEIF(Routes!$O$2:$O$54,TOPSIS!B25,Routes!$U$2:$U$54),"")</f>
        <v/>
      </c>
      <c r="H25" s="48"/>
      <c r="I25" s="21" t="str">
        <f>IFERROR(IF((I24+1)&gt;(MAX(Routes!$O:$O)+1),"",I24+1),"")</f>
        <v/>
      </c>
      <c r="J25" s="21" t="str">
        <f>IF(ISNUMBER($B25),SUMIF(Routes!$O:$O,$B25,Routes!W:W),"")</f>
        <v/>
      </c>
      <c r="K25" s="22" t="str">
        <f>IF(ISNUMBER($B25),SUMIF(Routes!$O:$O,$B25,Routes!X:X),"")</f>
        <v/>
      </c>
      <c r="L25" s="49" t="str">
        <f>IFERROR(AVERAGEIFS(Routes!$S$2:$S$54,Routes!$O$2:$O$54,TOPSIS!I25),"")</f>
        <v/>
      </c>
      <c r="M25" s="21" t="str">
        <f>IF(ISNUMBER($B25),SUMIF(Routes!$O:$O,$B25,Routes!Z:Z),"")</f>
        <v/>
      </c>
      <c r="N25" s="48" t="str">
        <f>IFERROR(AVERAGEIF(Routes!$O$2:$O$54,TOPSIS!I25,Routes!$U$2:$U$54),"")</f>
        <v/>
      </c>
      <c r="P25" s="21" t="str">
        <f>IFERROR(IF((P24+1)&gt;(MAX(Routes!$O:$O)+1),"",P24+1),"")</f>
        <v/>
      </c>
      <c r="Q25" s="13"/>
      <c r="R25" s="13"/>
      <c r="S25" s="13"/>
      <c r="T25" s="13"/>
      <c r="U25" s="13"/>
      <c r="W25" s="35" t="str">
        <f>IFERROR(IF((W24+1)&gt;(MAX(Routes!$O:$O)+1),"",W24+1),"")</f>
        <v/>
      </c>
      <c r="X25" s="3"/>
      <c r="Y25" s="3"/>
      <c r="Z25" s="3"/>
      <c r="AA25" s="3"/>
      <c r="AB25" s="3"/>
      <c r="AD25" s="21" t="str">
        <f>IFERROR(IF((AD24+1)&gt;(MAX(Routes!$O:$O)+1),"",AD24+1),"")</f>
        <v/>
      </c>
      <c r="AJ25" t="str">
        <f t="shared" si="27"/>
        <v/>
      </c>
      <c r="AL25" s="21" t="str">
        <f>IFERROR(IF((AL24+1)&gt;(MAX(Routes!$O:$O)+1),"",AL24+1),"")</f>
        <v/>
      </c>
      <c r="AR25" t="str">
        <f t="shared" si="33"/>
        <v/>
      </c>
      <c r="AT25" s="21" t="str">
        <f>IFERROR(IF((AT24+1)&gt;(MAX(Routes!$O:$O)+1),"",AT24+1),"")</f>
        <v/>
      </c>
    </row>
    <row r="26" spans="2:48" x14ac:dyDescent="0.2">
      <c r="B26" s="21" t="str">
        <f>IFERROR(IF((B25+1)&gt;(MAX(Routes!$O:$O)+1),"",B25+1),"")</f>
        <v/>
      </c>
      <c r="C26" s="21" t="str">
        <f>IF(ISNUMBER($B26),SUMIF(Routes!$O:$O,$B26,Routes!Q:Q),"")</f>
        <v/>
      </c>
      <c r="D26" s="22" t="str">
        <f>IF(ISNUMBER($B26),SUMIF(Routes!$O:$O,$B26,Routes!R:R),"")</f>
        <v/>
      </c>
      <c r="E26" s="49" t="str">
        <f>IFERROR(AVERAGEIFS(Routes!$S$2:$S$54,Routes!$O$2:$O$54,TOPSIS!B26),"")</f>
        <v/>
      </c>
      <c r="F26" s="21" t="str">
        <f>IF(ISNUMBER($B26),SUMIF(Routes!$O:$O,$B26,Routes!T:T),"")</f>
        <v/>
      </c>
      <c r="G26" s="48" t="str">
        <f>IFERROR(AVERAGEIF(Routes!$O$2:$O$54,TOPSIS!B26,Routes!$U$2:$U$54),"")</f>
        <v/>
      </c>
      <c r="H26" s="48"/>
      <c r="I26" s="21" t="str">
        <f>IFERROR(IF((I25+1)&gt;(MAX(Routes!$O:$O)+1),"",I25+1),"")</f>
        <v/>
      </c>
      <c r="J26" s="21" t="str">
        <f>IF(ISNUMBER($B26),SUMIF(Routes!$O:$O,$B26,Routes!W:W),"")</f>
        <v/>
      </c>
      <c r="K26" s="22" t="str">
        <f>IF(ISNUMBER($B26),SUMIF(Routes!$O:$O,$B26,Routes!X:X),"")</f>
        <v/>
      </c>
      <c r="L26" s="49" t="str">
        <f>IFERROR(AVERAGEIFS(Routes!$S$2:$S$54,Routes!$O$2:$O$54,TOPSIS!I26),"")</f>
        <v/>
      </c>
      <c r="M26" s="21" t="str">
        <f>IF(ISNUMBER($B26),SUMIF(Routes!$O:$O,$B26,Routes!Z:Z),"")</f>
        <v/>
      </c>
      <c r="N26" s="48" t="str">
        <f>IFERROR(AVERAGEIF(Routes!$O$2:$O$54,TOPSIS!I26,Routes!$U$2:$U$54),"")</f>
        <v/>
      </c>
      <c r="P26" s="21" t="str">
        <f>IFERROR(IF((P25+1)&gt;(MAX(Routes!$O:$O)+1),"",P25+1),"")</f>
        <v/>
      </c>
      <c r="Q26" s="13"/>
      <c r="R26" s="13"/>
      <c r="S26" s="13"/>
      <c r="T26" s="13"/>
      <c r="U26" s="13"/>
      <c r="W26" s="35" t="str">
        <f>IFERROR(IF((W25+1)&gt;(MAX(Routes!$O:$O)+1),"",W25+1),"")</f>
        <v/>
      </c>
      <c r="X26" s="3"/>
      <c r="Y26" s="3"/>
      <c r="Z26" s="3"/>
      <c r="AA26" s="3"/>
      <c r="AB26" s="3"/>
      <c r="AD26" s="21" t="str">
        <f>IFERROR(IF((AD25+1)&gt;(MAX(Routes!$O:$O)+1),"",AD25+1),"")</f>
        <v/>
      </c>
      <c r="AJ26" t="str">
        <f t="shared" si="27"/>
        <v/>
      </c>
      <c r="AL26" s="21" t="str">
        <f>IFERROR(IF((AL25+1)&gt;(MAX(Routes!$O:$O)+1),"",AL25+1),"")</f>
        <v/>
      </c>
      <c r="AR26" t="str">
        <f t="shared" si="33"/>
        <v/>
      </c>
      <c r="AT26" s="21" t="str">
        <f>IFERROR(IF((AT25+1)&gt;(MAX(Routes!$O:$O)+1),"",AT25+1),"")</f>
        <v/>
      </c>
    </row>
    <row r="27" spans="2:48" x14ac:dyDescent="0.2">
      <c r="B27" s="21" t="str">
        <f>IFERROR(IF((B26+1)&gt;(MAX(Routes!$O:$O)+1),"",B26+1),"")</f>
        <v/>
      </c>
      <c r="C27" s="21" t="str">
        <f>IF(ISNUMBER($B27),SUMIF(Routes!$O:$O,$B27,Routes!Q:Q),"")</f>
        <v/>
      </c>
      <c r="D27" s="22" t="str">
        <f>IF(ISNUMBER($B27),SUMIF(Routes!$O:$O,$B27,Routes!R:R),"")</f>
        <v/>
      </c>
      <c r="E27" s="49" t="str">
        <f>IFERROR(AVERAGEIFS(Routes!$S$2:$S$54,Routes!$O$2:$O$54,TOPSIS!B27),"")</f>
        <v/>
      </c>
      <c r="F27" s="21" t="str">
        <f>IF(ISNUMBER($B27),SUMIF(Routes!$O:$O,$B27,Routes!T:T),"")</f>
        <v/>
      </c>
      <c r="G27" s="48" t="str">
        <f>IFERROR(AVERAGEIF(Routes!$O$2:$O$54,TOPSIS!B27,Routes!$U$2:$U$54),"")</f>
        <v/>
      </c>
      <c r="H27" s="48"/>
      <c r="I27" s="21" t="str">
        <f>IFERROR(IF((I26+1)&gt;(MAX(Routes!$O:$O)+1),"",I26+1),"")</f>
        <v/>
      </c>
      <c r="J27" s="21" t="str">
        <f>IF(ISNUMBER($B27),SUMIF(Routes!$O:$O,$B27,Routes!W:W),"")</f>
        <v/>
      </c>
      <c r="K27" s="22" t="str">
        <f>IF(ISNUMBER($B27),SUMIF(Routes!$O:$O,$B27,Routes!X:X),"")</f>
        <v/>
      </c>
      <c r="L27" s="49" t="str">
        <f>IFERROR(AVERAGEIFS(Routes!$S$2:$S$54,Routes!$O$2:$O$54,TOPSIS!I27),"")</f>
        <v/>
      </c>
      <c r="M27" s="21" t="str">
        <f>IF(ISNUMBER($B27),SUMIF(Routes!$O:$O,$B27,Routes!Z:Z),"")</f>
        <v/>
      </c>
      <c r="N27" s="48" t="str">
        <f>IFERROR(AVERAGEIF(Routes!$O$2:$O$54,TOPSIS!I27,Routes!$U$2:$U$54),"")</f>
        <v/>
      </c>
      <c r="P27" s="21" t="str">
        <f>IFERROR(IF((P26+1)&gt;(MAX(Routes!$O:$O)+1),"",P26+1),"")</f>
        <v/>
      </c>
      <c r="Q27" s="13"/>
      <c r="R27" s="13"/>
      <c r="S27" s="13"/>
      <c r="T27" s="13"/>
      <c r="U27" s="13"/>
      <c r="W27" s="35" t="str">
        <f>IFERROR(IF((W26+1)&gt;(MAX(Routes!$O:$O)+1),"",W26+1),"")</f>
        <v/>
      </c>
      <c r="X27" s="3"/>
      <c r="Y27" s="3"/>
      <c r="Z27" s="3"/>
      <c r="AA27" s="3"/>
      <c r="AB27" s="3"/>
      <c r="AD27" s="21" t="str">
        <f>IFERROR(IF((AD26+1)&gt;(MAX(Routes!$O:$O)+1),"",AD26+1),"")</f>
        <v/>
      </c>
      <c r="AJ27" t="str">
        <f t="shared" si="27"/>
        <v/>
      </c>
      <c r="AL27" s="21" t="str">
        <f>IFERROR(IF((AL26+1)&gt;(MAX(Routes!$O:$O)+1),"",AL26+1),"")</f>
        <v/>
      </c>
      <c r="AR27" t="str">
        <f t="shared" si="33"/>
        <v/>
      </c>
      <c r="AT27" s="21" t="str">
        <f>IFERROR(IF((AT26+1)&gt;(MAX(Routes!$O:$O)+1),"",AT26+1),"")</f>
        <v/>
      </c>
    </row>
    <row r="28" spans="2:48" x14ac:dyDescent="0.2">
      <c r="B28" s="21" t="str">
        <f>IFERROR(IF((B27+1)&gt;(MAX(Routes!$O:$O)+1),"",B27+1),"")</f>
        <v/>
      </c>
      <c r="C28" s="21" t="str">
        <f>IF(ISNUMBER($B28),SUMIF(Routes!$O:$O,$B28,Routes!Q:Q),"")</f>
        <v/>
      </c>
      <c r="D28" s="22" t="str">
        <f>IF(ISNUMBER($B28),SUMIF(Routes!$O:$O,$B28,Routes!R:R),"")</f>
        <v/>
      </c>
      <c r="E28" s="49" t="str">
        <f>IFERROR(AVERAGEIFS(Routes!$S$2:$S$54,Routes!$O$2:$O$54,TOPSIS!B28),"")</f>
        <v/>
      </c>
      <c r="F28" s="21" t="str">
        <f>IF(ISNUMBER($B28),SUMIF(Routes!$O:$O,$B28,Routes!T:T),"")</f>
        <v/>
      </c>
      <c r="G28" s="48" t="str">
        <f>IFERROR(AVERAGEIF(Routes!$O$2:$O$54,TOPSIS!B28,Routes!$U$2:$U$54),"")</f>
        <v/>
      </c>
      <c r="H28" s="48"/>
      <c r="I28" s="21" t="str">
        <f>IFERROR(IF((I27+1)&gt;(MAX(Routes!$O:$O)+1),"",I27+1),"")</f>
        <v/>
      </c>
      <c r="J28" s="21" t="str">
        <f>IF(ISNUMBER($B28),SUMIF(Routes!$O:$O,$B28,Routes!W:W),"")</f>
        <v/>
      </c>
      <c r="K28" s="22" t="str">
        <f>IF(ISNUMBER($B28),SUMIF(Routes!$O:$O,$B28,Routes!X:X),"")</f>
        <v/>
      </c>
      <c r="L28" s="49" t="str">
        <f>IFERROR(AVERAGEIFS(Routes!$S$2:$S$54,Routes!$O$2:$O$54,TOPSIS!I28),"")</f>
        <v/>
      </c>
      <c r="M28" s="21" t="str">
        <f>IF(ISNUMBER($B28),SUMIF(Routes!$O:$O,$B28,Routes!Z:Z),"")</f>
        <v/>
      </c>
      <c r="N28" s="48" t="str">
        <f>IFERROR(AVERAGEIF(Routes!$O$2:$O$54,TOPSIS!I28,Routes!$U$2:$U$54),"")</f>
        <v/>
      </c>
      <c r="P28" s="21" t="str">
        <f>IFERROR(IF((P27+1)&gt;(MAX(Routes!$O:$O)+1),"",P27+1),"")</f>
        <v/>
      </c>
      <c r="Q28" s="13"/>
      <c r="R28" s="13"/>
      <c r="S28" s="13"/>
      <c r="T28" s="13"/>
      <c r="U28" s="13"/>
      <c r="W28" s="35" t="str">
        <f>IFERROR(IF((W27+1)&gt;(MAX(Routes!$O:$O)+1),"",W27+1),"")</f>
        <v/>
      </c>
      <c r="X28" s="3"/>
      <c r="Y28" s="3"/>
      <c r="Z28" s="3"/>
      <c r="AA28" s="3"/>
      <c r="AB28" s="3"/>
      <c r="AD28" s="21" t="str">
        <f>IFERROR(IF((AD27+1)&gt;(MAX(Routes!$O:$O)+1),"",AD27+1),"")</f>
        <v/>
      </c>
      <c r="AJ28" t="str">
        <f t="shared" si="27"/>
        <v/>
      </c>
      <c r="AL28" s="21" t="str">
        <f>IFERROR(IF((AL27+1)&gt;(MAX(Routes!$O:$O)+1),"",AL27+1),"")</f>
        <v/>
      </c>
      <c r="AR28" t="str">
        <f t="shared" si="33"/>
        <v/>
      </c>
      <c r="AT28" s="21" t="str">
        <f>IFERROR(IF((AT27+1)&gt;(MAX(Routes!$O:$O)+1),"",AT27+1),"")</f>
        <v/>
      </c>
    </row>
    <row r="29" spans="2:48" x14ac:dyDescent="0.2">
      <c r="B29" s="21" t="str">
        <f>IFERROR(IF((B28+1)&gt;(MAX(Routes!$O:$O)+1),"",B28+1),"")</f>
        <v/>
      </c>
      <c r="C29" s="21" t="str">
        <f>IF(ISNUMBER($B29),SUMIF(Routes!$O:$O,$B29,Routes!Q:Q),"")</f>
        <v/>
      </c>
      <c r="D29" s="22" t="str">
        <f>IF(ISNUMBER($B29),SUMIF(Routes!$O:$O,$B29,Routes!R:R),"")</f>
        <v/>
      </c>
      <c r="E29" s="49" t="str">
        <f>IFERROR(AVERAGEIFS(Routes!$S$2:$S$54,Routes!$O$2:$O$54,TOPSIS!B29),"")</f>
        <v/>
      </c>
      <c r="F29" s="21" t="str">
        <f>IF(ISNUMBER($B29),SUMIF(Routes!$O:$O,$B29,Routes!T:T),"")</f>
        <v/>
      </c>
      <c r="G29" s="48" t="str">
        <f>IFERROR(AVERAGEIF(Routes!$O$2:$O$54,TOPSIS!B29,Routes!$U$2:$U$54),"")</f>
        <v/>
      </c>
      <c r="H29" s="48"/>
      <c r="I29" s="21" t="str">
        <f>IFERROR(IF((I28+1)&gt;(MAX(Routes!$O:$O)+1),"",I28+1),"")</f>
        <v/>
      </c>
      <c r="J29" s="21" t="str">
        <f>IF(ISNUMBER($B29),SUMIF(Routes!$O:$O,$B29,Routes!W:W),"")</f>
        <v/>
      </c>
      <c r="K29" s="22" t="str">
        <f>IF(ISNUMBER($B29),SUMIF(Routes!$O:$O,$B29,Routes!X:X),"")</f>
        <v/>
      </c>
      <c r="L29" s="49" t="str">
        <f>IFERROR(AVERAGEIFS(Routes!$S$2:$S$54,Routes!$O$2:$O$54,TOPSIS!I29),"")</f>
        <v/>
      </c>
      <c r="M29" s="21" t="str">
        <f>IF(ISNUMBER($B29),SUMIF(Routes!$O:$O,$B29,Routes!Z:Z),"")</f>
        <v/>
      </c>
      <c r="N29" s="48" t="str">
        <f>IFERROR(AVERAGEIF(Routes!$O$2:$O$54,TOPSIS!I29,Routes!$U$2:$U$54),"")</f>
        <v/>
      </c>
      <c r="P29" s="21" t="str">
        <f>IFERROR(IF((P28+1)&gt;(MAX(Routes!$O:$O)+1),"",P28+1),"")</f>
        <v/>
      </c>
      <c r="Q29" s="13"/>
      <c r="R29" s="13"/>
      <c r="S29" s="13"/>
      <c r="T29" s="13"/>
      <c r="U29" s="13"/>
      <c r="W29" s="35" t="str">
        <f>IFERROR(IF((W28+1)&gt;(MAX(Routes!$O:$O)+1),"",W28+1),"")</f>
        <v/>
      </c>
      <c r="X29" s="3"/>
      <c r="Y29" s="3"/>
      <c r="Z29" s="3"/>
      <c r="AA29" s="3"/>
      <c r="AB29" s="3"/>
      <c r="AD29" s="21" t="str">
        <f>IFERROR(IF((AD28+1)&gt;(MAX(Routes!$O:$O)+1),"",AD28+1),"")</f>
        <v/>
      </c>
      <c r="AJ29" t="str">
        <f t="shared" si="27"/>
        <v/>
      </c>
      <c r="AL29" s="21" t="str">
        <f>IFERROR(IF((AL28+1)&gt;(MAX(Routes!$O:$O)+1),"",AL28+1),"")</f>
        <v/>
      </c>
      <c r="AR29" t="str">
        <f t="shared" si="33"/>
        <v/>
      </c>
      <c r="AT29" s="21" t="str">
        <f>IFERROR(IF((AT28+1)&gt;(MAX(Routes!$O:$O)+1),"",AT28+1),"")</f>
        <v/>
      </c>
    </row>
    <row r="30" spans="2:48" x14ac:dyDescent="0.2">
      <c r="B30" s="21" t="str">
        <f>IFERROR(IF((B29+1)&gt;(MAX(Routes!$O:$O)+1),"",B29+1),"")</f>
        <v/>
      </c>
      <c r="C30" s="21" t="str">
        <f>IF(ISNUMBER($B30),SUMIF(Routes!$O:$O,$B30,Routes!Q:Q),"")</f>
        <v/>
      </c>
      <c r="D30" s="22" t="str">
        <f>IF(ISNUMBER($B30),SUMIF(Routes!$O:$O,$B30,Routes!R:R),"")</f>
        <v/>
      </c>
      <c r="E30" s="49" t="str">
        <f>IFERROR(AVERAGEIFS(Routes!$S$2:$S$54,Routes!$O$2:$O$54,TOPSIS!B30),"")</f>
        <v/>
      </c>
      <c r="F30" s="21" t="str">
        <f>IF(ISNUMBER($B30),SUMIF(Routes!$O:$O,$B30,Routes!T:T),"")</f>
        <v/>
      </c>
      <c r="G30" s="48" t="str">
        <f>IFERROR(AVERAGEIF(Routes!$O$2:$O$54,TOPSIS!B30,Routes!$U$2:$U$54),"")</f>
        <v/>
      </c>
      <c r="H30" s="48"/>
      <c r="I30" s="21" t="str">
        <f>IFERROR(IF((I29+1)&gt;(MAX(Routes!$O:$O)+1),"",I29+1),"")</f>
        <v/>
      </c>
      <c r="J30" s="21" t="str">
        <f>IF(ISNUMBER($B30),SUMIF(Routes!$O:$O,$B30,Routes!W:W),"")</f>
        <v/>
      </c>
      <c r="K30" s="22" t="str">
        <f>IF(ISNUMBER($B30),SUMIF(Routes!$O:$O,$B30,Routes!X:X),"")</f>
        <v/>
      </c>
      <c r="L30" s="49" t="str">
        <f>IFERROR(AVERAGEIFS(Routes!$S$2:$S$54,Routes!$O$2:$O$54,TOPSIS!I30),"")</f>
        <v/>
      </c>
      <c r="M30" s="21" t="str">
        <f>IF(ISNUMBER($B30),SUMIF(Routes!$O:$O,$B30,Routes!Z:Z),"")</f>
        <v/>
      </c>
      <c r="N30" s="48" t="str">
        <f>IFERROR(AVERAGEIF(Routes!$O$2:$O$54,TOPSIS!I30,Routes!$U$2:$U$54),"")</f>
        <v/>
      </c>
      <c r="P30" s="21" t="str">
        <f>IFERROR(IF((P29+1)&gt;(MAX(Routes!$O:$O)+1),"",P29+1),"")</f>
        <v/>
      </c>
      <c r="Q30" s="13"/>
      <c r="R30" s="13"/>
      <c r="S30" s="13"/>
      <c r="T30" s="13"/>
      <c r="U30" s="13"/>
      <c r="W30" s="35" t="str">
        <f>IFERROR(IF((W29+1)&gt;(MAX(Routes!$O:$O)+1),"",W29+1),"")</f>
        <v/>
      </c>
      <c r="X30" s="3"/>
      <c r="Y30" s="3"/>
      <c r="Z30" s="3"/>
      <c r="AA30" s="3"/>
      <c r="AB30" s="3"/>
      <c r="AD30" s="21" t="str">
        <f>IFERROR(IF((AD29+1)&gt;(MAX(Routes!$O:$O)+1),"",AD29+1),"")</f>
        <v/>
      </c>
      <c r="AJ30" t="str">
        <f t="shared" si="27"/>
        <v/>
      </c>
      <c r="AL30" s="21" t="str">
        <f>IFERROR(IF((AL29+1)&gt;(MAX(Routes!$O:$O)+1),"",AL29+1),"")</f>
        <v/>
      </c>
      <c r="AR30" t="str">
        <f t="shared" si="33"/>
        <v/>
      </c>
      <c r="AT30" s="21" t="str">
        <f>IFERROR(IF((AT29+1)&gt;(MAX(Routes!$O:$O)+1),"",AT29+1),"")</f>
        <v/>
      </c>
    </row>
    <row r="31" spans="2:48" x14ac:dyDescent="0.2">
      <c r="B31" s="21" t="str">
        <f>IFERROR(IF((B30+1)&gt;(MAX(Routes!$O:$O)+1),"",B30+1),"")</f>
        <v/>
      </c>
      <c r="C31" s="21" t="str">
        <f>IF(ISNUMBER($B31),SUMIF(Routes!$O:$O,$B31,Routes!Q:Q),"")</f>
        <v/>
      </c>
      <c r="D31" s="22" t="str">
        <f>IF(ISNUMBER($B31),SUMIF(Routes!$O:$O,$B31,Routes!R:R),"")</f>
        <v/>
      </c>
      <c r="E31" s="49" t="str">
        <f>IFERROR(AVERAGEIFS(Routes!$S$2:$S$54,Routes!$O$2:$O$54,TOPSIS!B31),"")</f>
        <v/>
      </c>
      <c r="F31" s="21" t="str">
        <f>IF(ISNUMBER($B31),SUMIF(Routes!$O:$O,$B31,Routes!T:T),"")</f>
        <v/>
      </c>
      <c r="G31" s="48" t="str">
        <f>IFERROR(AVERAGEIF(Routes!$O$2:$O$54,TOPSIS!B31,Routes!$U$2:$U$54),"")</f>
        <v/>
      </c>
      <c r="H31" s="48"/>
      <c r="I31" s="21" t="str">
        <f>IFERROR(IF((I30+1)&gt;(MAX(Routes!$O:$O)+1),"",I30+1),"")</f>
        <v/>
      </c>
      <c r="J31" s="21" t="str">
        <f>IF(ISNUMBER($B31),SUMIF(Routes!$O:$O,$B31,Routes!W:W),"")</f>
        <v/>
      </c>
      <c r="K31" s="22" t="str">
        <f>IF(ISNUMBER($B31),SUMIF(Routes!$O:$O,$B31,Routes!X:X),"")</f>
        <v/>
      </c>
      <c r="L31" s="49" t="str">
        <f>IFERROR(AVERAGEIFS(Routes!$S$2:$S$54,Routes!$O$2:$O$54,TOPSIS!I31),"")</f>
        <v/>
      </c>
      <c r="M31" s="21" t="str">
        <f>IF(ISNUMBER($B31),SUMIF(Routes!$O:$O,$B31,Routes!Z:Z),"")</f>
        <v/>
      </c>
      <c r="N31" s="48" t="str">
        <f>IFERROR(AVERAGEIF(Routes!$O$2:$O$54,TOPSIS!I31,Routes!$U$2:$U$54),"")</f>
        <v/>
      </c>
      <c r="P31" s="21" t="str">
        <f>IFERROR(IF((P30+1)&gt;(MAX(Routes!$O:$O)+1),"",P30+1),"")</f>
        <v/>
      </c>
      <c r="Q31" s="13"/>
      <c r="R31" s="13"/>
      <c r="S31" s="13"/>
      <c r="T31" s="13"/>
      <c r="U31" s="13"/>
      <c r="W31" s="35" t="str">
        <f>IFERROR(IF((W30+1)&gt;(MAX(Routes!$O:$O)+1),"",W30+1),"")</f>
        <v/>
      </c>
      <c r="X31" s="3"/>
      <c r="Y31" s="3"/>
      <c r="Z31" s="3"/>
      <c r="AA31" s="3"/>
      <c r="AB31" s="3"/>
      <c r="AD31" s="21" t="str">
        <f>IFERROR(IF((AD30+1)&gt;(MAX(Routes!$O:$O)+1),"",AD30+1),"")</f>
        <v/>
      </c>
      <c r="AJ31" t="str">
        <f t="shared" si="27"/>
        <v/>
      </c>
      <c r="AL31" s="21" t="str">
        <f>IFERROR(IF((AL30+1)&gt;(MAX(Routes!$O:$O)+1),"",AL30+1),"")</f>
        <v/>
      </c>
      <c r="AR31" t="str">
        <f t="shared" si="33"/>
        <v/>
      </c>
      <c r="AT31" s="21" t="str">
        <f>IFERROR(IF((AT30+1)&gt;(MAX(Routes!$O:$O)+1),"",AT30+1),"")</f>
        <v/>
      </c>
    </row>
    <row r="32" spans="2:48" x14ac:dyDescent="0.2">
      <c r="B32" s="21" t="str">
        <f>IFERROR(IF((B31+1)&gt;(MAX(Routes!$O:$O)+1),"",B31+1),"")</f>
        <v/>
      </c>
      <c r="C32" s="21" t="str">
        <f>IF(ISNUMBER($B32),SUMIF(Routes!$O:$O,$B32,Routes!Q:Q),"")</f>
        <v/>
      </c>
      <c r="D32" s="22" t="str">
        <f>IF(ISNUMBER($B32),SUMIF(Routes!$O:$O,$B32,Routes!R:R),"")</f>
        <v/>
      </c>
      <c r="E32" s="49" t="str">
        <f>IFERROR(AVERAGEIFS(Routes!$S$2:$S$54,Routes!$O$2:$O$54,TOPSIS!B32),"")</f>
        <v/>
      </c>
      <c r="F32" s="21" t="str">
        <f>IF(ISNUMBER($B32),SUMIF(Routes!$O:$O,$B32,Routes!T:T),"")</f>
        <v/>
      </c>
      <c r="G32" s="48" t="str">
        <f>IFERROR(AVERAGEIF(Routes!$O$2:$O$54,TOPSIS!B32,Routes!$U$2:$U$54),"")</f>
        <v/>
      </c>
      <c r="H32" s="48"/>
      <c r="I32" s="21" t="str">
        <f>IFERROR(IF((I31+1)&gt;(MAX(Routes!$O:$O)+1),"",I31+1),"")</f>
        <v/>
      </c>
      <c r="J32" s="21" t="str">
        <f>IF(ISNUMBER($B32),SUMIF(Routes!$O:$O,$B32,Routes!W:W),"")</f>
        <v/>
      </c>
      <c r="K32" s="22" t="str">
        <f>IF(ISNUMBER($B32),SUMIF(Routes!$O:$O,$B32,Routes!X:X),"")</f>
        <v/>
      </c>
      <c r="L32" s="49" t="str">
        <f>IFERROR(AVERAGEIFS(Routes!$S$2:$S$54,Routes!$O$2:$O$54,TOPSIS!I32),"")</f>
        <v/>
      </c>
      <c r="M32" s="21" t="str">
        <f>IF(ISNUMBER($B32),SUMIF(Routes!$O:$O,$B32,Routes!Z:Z),"")</f>
        <v/>
      </c>
      <c r="N32" s="48" t="str">
        <f>IFERROR(AVERAGEIF(Routes!$O$2:$O$54,TOPSIS!I32,Routes!$U$2:$U$54),"")</f>
        <v/>
      </c>
      <c r="P32" s="21" t="str">
        <f>IFERROR(IF((P31+1)&gt;(MAX(Routes!$O:$O)+1),"",P31+1),"")</f>
        <v/>
      </c>
      <c r="Q32" s="13"/>
      <c r="R32" s="13"/>
      <c r="S32" s="13"/>
      <c r="T32" s="13"/>
      <c r="U32" s="13"/>
      <c r="W32" s="35" t="str">
        <f>IFERROR(IF((W31+1)&gt;(MAX(Routes!$O:$O)+1),"",W31+1),"")</f>
        <v/>
      </c>
      <c r="X32" s="3"/>
      <c r="Y32" s="3"/>
      <c r="Z32" s="3"/>
      <c r="AA32" s="3"/>
      <c r="AB32" s="3"/>
      <c r="AD32" s="21" t="str">
        <f>IFERROR(IF((AD31+1)&gt;(MAX(Routes!$O:$O)+1),"",AD31+1),"")</f>
        <v/>
      </c>
      <c r="AJ32" t="str">
        <f t="shared" si="27"/>
        <v/>
      </c>
      <c r="AL32" s="21" t="str">
        <f>IFERROR(IF((AL31+1)&gt;(MAX(Routes!$O:$O)+1),"",AL31+1),"")</f>
        <v/>
      </c>
      <c r="AR32" t="str">
        <f t="shared" si="33"/>
        <v/>
      </c>
      <c r="AT32" s="21" t="str">
        <f>IFERROR(IF((AT31+1)&gt;(MAX(Routes!$O:$O)+1),"",AT31+1),"")</f>
        <v/>
      </c>
    </row>
    <row r="33" spans="2:46" x14ac:dyDescent="0.2">
      <c r="B33" s="21" t="str">
        <f>IFERROR(IF((B32+1)&gt;(MAX(Routes!$O:$O)+1),"",B32+1),"")</f>
        <v/>
      </c>
      <c r="C33" s="21" t="str">
        <f>IF(ISNUMBER($B33),SUMIF(Routes!$O:$O,$B33,Routes!Q:Q),"")</f>
        <v/>
      </c>
      <c r="D33" s="22" t="str">
        <f>IF(ISNUMBER($B33),SUMIF(Routes!$O:$O,$B33,Routes!R:R),"")</f>
        <v/>
      </c>
      <c r="E33" s="49" t="str">
        <f>IFERROR(AVERAGEIFS(Routes!$S$2:$S$54,Routes!$O$2:$O$54,TOPSIS!B33),"")</f>
        <v/>
      </c>
      <c r="F33" s="21" t="str">
        <f>IF(ISNUMBER($B33),SUMIF(Routes!$O:$O,$B33,Routes!T:T),"")</f>
        <v/>
      </c>
      <c r="G33" s="48" t="str">
        <f>IFERROR(AVERAGEIF(Routes!$O$2:$O$54,TOPSIS!B33,Routes!$U$2:$U$54),"")</f>
        <v/>
      </c>
      <c r="H33" s="48"/>
      <c r="I33" s="21" t="str">
        <f>IFERROR(IF((I32+1)&gt;(MAX(Routes!$O:$O)+1),"",I32+1),"")</f>
        <v/>
      </c>
      <c r="J33" s="21" t="str">
        <f>IF(ISNUMBER($B33),SUMIF(Routes!$O:$O,$B33,Routes!W:W),"")</f>
        <v/>
      </c>
      <c r="K33" s="22" t="str">
        <f>IF(ISNUMBER($B33),SUMIF(Routes!$O:$O,$B33,Routes!X:X),"")</f>
        <v/>
      </c>
      <c r="L33" s="49" t="str">
        <f>IFERROR(AVERAGEIFS(Routes!$S$2:$S$54,Routes!$O$2:$O$54,TOPSIS!I33),"")</f>
        <v/>
      </c>
      <c r="M33" s="21" t="str">
        <f>IF(ISNUMBER($B33),SUMIF(Routes!$O:$O,$B33,Routes!Z:Z),"")</f>
        <v/>
      </c>
      <c r="N33" s="48" t="str">
        <f>IFERROR(AVERAGEIF(Routes!$O$2:$O$54,TOPSIS!I33,Routes!$U$2:$U$54),"")</f>
        <v/>
      </c>
      <c r="P33" s="21" t="str">
        <f>IFERROR(IF((P32+1)&gt;(MAX(Routes!$O:$O)+1),"",P32+1),"")</f>
        <v/>
      </c>
      <c r="Q33" s="13"/>
      <c r="R33" s="13"/>
      <c r="S33" s="13"/>
      <c r="T33" s="13"/>
      <c r="U33" s="13"/>
      <c r="W33" s="35" t="str">
        <f>IFERROR(IF((W32+1)&gt;(MAX(Routes!$O:$O)+1),"",W32+1),"")</f>
        <v/>
      </c>
      <c r="X33" s="3"/>
      <c r="Y33" s="3"/>
      <c r="Z33" s="3"/>
      <c r="AA33" s="3"/>
      <c r="AB33" s="3"/>
      <c r="AD33" s="21" t="str">
        <f>IFERROR(IF((AD32+1)&gt;(MAX(Routes!$O:$O)+1),"",AD32+1),"")</f>
        <v/>
      </c>
      <c r="AJ33" t="str">
        <f t="shared" si="27"/>
        <v/>
      </c>
      <c r="AL33" s="21" t="str">
        <f>IFERROR(IF((AL32+1)&gt;(MAX(Routes!$O:$O)+1),"",AL32+1),"")</f>
        <v/>
      </c>
      <c r="AR33" t="str">
        <f t="shared" si="33"/>
        <v/>
      </c>
      <c r="AT33" s="21" t="str">
        <f>IFERROR(IF((AT32+1)&gt;(MAX(Routes!$O:$O)+1),"",AT32+1),"")</f>
        <v/>
      </c>
    </row>
    <row r="34" spans="2:46" x14ac:dyDescent="0.2">
      <c r="B34" s="21" t="str">
        <f>IFERROR(IF((B33+1)&gt;(MAX(Routes!$O:$O)+1),"",B33+1),"")</f>
        <v/>
      </c>
      <c r="C34" s="21" t="str">
        <f>IF(ISNUMBER($B34),SUMIF(Routes!$O:$O,$B34,Routes!Q:Q),"")</f>
        <v/>
      </c>
      <c r="D34" s="22" t="str">
        <f>IF(ISNUMBER($B34),SUMIF(Routes!$O:$O,$B34,Routes!R:R),"")</f>
        <v/>
      </c>
      <c r="E34" s="49" t="str">
        <f>IFERROR(AVERAGEIFS(Routes!$S$2:$S$54,Routes!$O$2:$O$54,TOPSIS!B34),"")</f>
        <v/>
      </c>
      <c r="F34" s="21" t="str">
        <f>IF(ISNUMBER($B34),SUMIF(Routes!$O:$O,$B34,Routes!T:T),"")</f>
        <v/>
      </c>
      <c r="G34" s="48" t="str">
        <f>IFERROR(AVERAGEIF(Routes!$O$2:$O$54,TOPSIS!B34,Routes!$U$2:$U$54),"")</f>
        <v/>
      </c>
      <c r="H34" s="48"/>
      <c r="I34" s="21" t="str">
        <f>IFERROR(IF((I33+1)&gt;(MAX(Routes!$O:$O)+1),"",I33+1),"")</f>
        <v/>
      </c>
      <c r="J34" s="21" t="str">
        <f>IF(ISNUMBER($B34),SUMIF(Routes!$O:$O,$B34,Routes!W:W),"")</f>
        <v/>
      </c>
      <c r="K34" s="22" t="str">
        <f>IF(ISNUMBER($B34),SUMIF(Routes!$O:$O,$B34,Routes!X:X),"")</f>
        <v/>
      </c>
      <c r="L34" s="49" t="str">
        <f>IFERROR(AVERAGEIFS(Routes!$S$2:$S$54,Routes!$O$2:$O$54,TOPSIS!I34),"")</f>
        <v/>
      </c>
      <c r="M34" s="21" t="str">
        <f>IF(ISNUMBER($B34),SUMIF(Routes!$O:$O,$B34,Routes!Z:Z),"")</f>
        <v/>
      </c>
      <c r="N34" s="48" t="str">
        <f>IFERROR(AVERAGEIF(Routes!$O$2:$O$54,TOPSIS!I34,Routes!$U$2:$U$54),"")</f>
        <v/>
      </c>
      <c r="P34" s="21" t="str">
        <f>IFERROR(IF((P33+1)&gt;(MAX(Routes!$O:$O)+1),"",P33+1),"")</f>
        <v/>
      </c>
      <c r="Q34" s="13"/>
      <c r="R34" s="13"/>
      <c r="S34" s="13"/>
      <c r="T34" s="13"/>
      <c r="U34" s="13"/>
      <c r="W34" s="35" t="str">
        <f>IFERROR(IF((W33+1)&gt;(MAX(Routes!$O:$O)+1),"",W33+1),"")</f>
        <v/>
      </c>
      <c r="X34" s="3"/>
      <c r="Y34" s="3"/>
      <c r="Z34" s="3"/>
      <c r="AA34" s="3"/>
      <c r="AB34" s="3"/>
      <c r="AD34" s="21" t="str">
        <f>IFERROR(IF((AD33+1)&gt;(MAX(Routes!$O:$O)+1),"",AD33+1),"")</f>
        <v/>
      </c>
      <c r="AJ34" t="str">
        <f t="shared" si="27"/>
        <v/>
      </c>
      <c r="AL34" s="21" t="str">
        <f>IFERROR(IF((AL33+1)&gt;(MAX(Routes!$O:$O)+1),"",AL33+1),"")</f>
        <v/>
      </c>
      <c r="AR34" t="str">
        <f t="shared" si="33"/>
        <v/>
      </c>
      <c r="AT34" s="21" t="str">
        <f>IFERROR(IF((AT33+1)&gt;(MAX(Routes!$O:$O)+1),"",AT33+1),"")</f>
        <v/>
      </c>
    </row>
    <row r="35" spans="2:46" x14ac:dyDescent="0.2">
      <c r="B35" s="21" t="str">
        <f>IFERROR(IF((B34+1)&gt;(MAX(Routes!$O:$O)+1),"",B34+1),"")</f>
        <v/>
      </c>
      <c r="C35" s="21" t="str">
        <f>IF(ISNUMBER($B35),SUMIF(Routes!$O:$O,$B35,Routes!Q:Q),"")</f>
        <v/>
      </c>
      <c r="D35" s="22" t="str">
        <f>IF(ISNUMBER($B35),SUMIF(Routes!$O:$O,$B35,Routes!R:R),"")</f>
        <v/>
      </c>
      <c r="E35" s="49" t="str">
        <f>IFERROR(AVERAGEIFS(Routes!$S$2:$S$54,Routes!$O$2:$O$54,TOPSIS!B35),"")</f>
        <v/>
      </c>
      <c r="F35" s="21" t="str">
        <f>IF(ISNUMBER($B35),SUMIF(Routes!$O:$O,$B35,Routes!T:T),"")</f>
        <v/>
      </c>
      <c r="G35" s="48" t="str">
        <f>IFERROR(AVERAGEIF(Routes!$O$2:$O$54,TOPSIS!B35,Routes!$U$2:$U$54),"")</f>
        <v/>
      </c>
      <c r="H35" s="48"/>
      <c r="I35" s="21" t="str">
        <f>IFERROR(IF((I34+1)&gt;(MAX(Routes!$O:$O)+1),"",I34+1),"")</f>
        <v/>
      </c>
      <c r="J35" s="21" t="str">
        <f>IF(ISNUMBER($B35),SUMIF(Routes!$O:$O,$B35,Routes!W:W),"")</f>
        <v/>
      </c>
      <c r="K35" s="22" t="str">
        <f>IF(ISNUMBER($B35),SUMIF(Routes!$O:$O,$B35,Routes!X:X),"")</f>
        <v/>
      </c>
      <c r="L35" s="49" t="str">
        <f>IFERROR(AVERAGEIFS(Routes!$S$2:$S$54,Routes!$O$2:$O$54,TOPSIS!I35),"")</f>
        <v/>
      </c>
      <c r="M35" s="21" t="str">
        <f>IF(ISNUMBER($B35),SUMIF(Routes!$O:$O,$B35,Routes!Z:Z),"")</f>
        <v/>
      </c>
      <c r="N35" s="48" t="str">
        <f>IFERROR(AVERAGEIF(Routes!$O$2:$O$54,TOPSIS!I35,Routes!$U$2:$U$54),"")</f>
        <v/>
      </c>
      <c r="P35" s="21" t="str">
        <f>IFERROR(IF((P34+1)&gt;(MAX(Routes!$O:$O)+1),"",P34+1),"")</f>
        <v/>
      </c>
      <c r="Q35" s="13"/>
      <c r="R35" s="13"/>
      <c r="S35" s="13"/>
      <c r="T35" s="13"/>
      <c r="U35" s="13"/>
      <c r="W35" s="35" t="str">
        <f>IFERROR(IF((W34+1)&gt;(MAX(Routes!$O:$O)+1),"",W34+1),"")</f>
        <v/>
      </c>
      <c r="X35" s="3"/>
      <c r="Y35" s="3"/>
      <c r="Z35" s="3"/>
      <c r="AA35" s="3"/>
      <c r="AB35" s="3"/>
      <c r="AD35" s="21" t="str">
        <f>IFERROR(IF((AD34+1)&gt;(MAX(Routes!$O:$O)+1),"",AD34+1),"")</f>
        <v/>
      </c>
      <c r="AJ35" t="str">
        <f t="shared" si="27"/>
        <v/>
      </c>
      <c r="AL35" s="21" t="str">
        <f>IFERROR(IF((AL34+1)&gt;(MAX(Routes!$O:$O)+1),"",AL34+1),"")</f>
        <v/>
      </c>
      <c r="AR35" t="str">
        <f t="shared" si="33"/>
        <v/>
      </c>
      <c r="AT35" s="21" t="str">
        <f>IFERROR(IF((AT34+1)&gt;(MAX(Routes!$O:$O)+1),"",AT34+1),"")</f>
        <v/>
      </c>
    </row>
    <row r="36" spans="2:46" x14ac:dyDescent="0.2">
      <c r="B36" s="21" t="str">
        <f>IFERROR(IF((B35+1)&gt;(MAX(Routes!$O:$O)+1),"",B35+1),"")</f>
        <v/>
      </c>
      <c r="C36" s="21" t="str">
        <f>IF(ISNUMBER($B36),SUMIF(Routes!$O:$O,$B36,Routes!Q:Q),"")</f>
        <v/>
      </c>
      <c r="D36" s="22" t="str">
        <f>IF(ISNUMBER($B36),SUMIF(Routes!$O:$O,$B36,Routes!R:R),"")</f>
        <v/>
      </c>
      <c r="E36" s="49" t="str">
        <f>IFERROR(AVERAGEIFS(Routes!$S$2:$S$54,Routes!$O$2:$O$54,TOPSIS!B36),"")</f>
        <v/>
      </c>
      <c r="F36" s="21" t="str">
        <f>IF(ISNUMBER($B36),SUMIF(Routes!$O:$O,$B36,Routes!T:T),"")</f>
        <v/>
      </c>
      <c r="G36" s="48" t="str">
        <f>IFERROR(AVERAGEIF(Routes!$O$2:$O$54,TOPSIS!B36,Routes!$U$2:$U$54),"")</f>
        <v/>
      </c>
      <c r="H36" s="48"/>
      <c r="I36" s="21" t="str">
        <f>IFERROR(IF((I35+1)&gt;(MAX(Routes!$O:$O)+1),"",I35+1),"")</f>
        <v/>
      </c>
      <c r="J36" s="21" t="str">
        <f>IF(ISNUMBER($B36),SUMIF(Routes!$O:$O,$B36,Routes!W:W),"")</f>
        <v/>
      </c>
      <c r="K36" s="22" t="str">
        <f>IF(ISNUMBER($B36),SUMIF(Routes!$O:$O,$B36,Routes!X:X),"")</f>
        <v/>
      </c>
      <c r="L36" s="49" t="str">
        <f>IFERROR(AVERAGEIFS(Routes!$S$2:$S$54,Routes!$O$2:$O$54,TOPSIS!I36),"")</f>
        <v/>
      </c>
      <c r="M36" s="21" t="str">
        <f>IF(ISNUMBER($B36),SUMIF(Routes!$O:$O,$B36,Routes!Z:Z),"")</f>
        <v/>
      </c>
      <c r="N36" s="48" t="str">
        <f>IFERROR(AVERAGEIF(Routes!$O$2:$O$54,TOPSIS!I36,Routes!$U$2:$U$54),"")</f>
        <v/>
      </c>
      <c r="O36" s="29"/>
      <c r="P36" s="21" t="str">
        <f>IFERROR(IF((P35+1)&gt;(MAX(Routes!$O:$O)+1),"",P35+1),"")</f>
        <v/>
      </c>
      <c r="Q36" s="13"/>
      <c r="R36" s="13"/>
      <c r="S36" s="13"/>
      <c r="T36" s="13"/>
      <c r="U36" s="13"/>
      <c r="W36" s="35" t="str">
        <f>IFERROR(IF((W35+1)&gt;(MAX(Routes!$O:$O)+1),"",W35+1),"")</f>
        <v/>
      </c>
      <c r="X36" s="3"/>
      <c r="Y36" s="3"/>
      <c r="Z36" s="3"/>
      <c r="AA36" s="3"/>
      <c r="AB36" s="3"/>
      <c r="AD36" s="21" t="str">
        <f>IFERROR(IF((AD35+1)&gt;(MAX(Routes!$O:$O)+1),"",AD35+1),"")</f>
        <v/>
      </c>
      <c r="AJ36" t="str">
        <f t="shared" si="27"/>
        <v/>
      </c>
      <c r="AL36" s="21" t="str">
        <f>IFERROR(IF((AL35+1)&gt;(MAX(Routes!$O:$O)+1),"",AL35+1),"")</f>
        <v/>
      </c>
      <c r="AR36" t="str">
        <f t="shared" si="33"/>
        <v/>
      </c>
      <c r="AT36" s="21" t="str">
        <f>IFERROR(IF((AT35+1)&gt;(MAX(Routes!$O:$O)+1),"",AT35+1),"")</f>
        <v/>
      </c>
    </row>
  </sheetData>
  <conditionalFormatting sqref="B20:H36 B3:G19">
    <cfRule type="expression" dxfId="16" priority="18">
      <formula>NOT(ISNUMBER($B4))</formula>
    </cfRule>
  </conditionalFormatting>
  <conditionalFormatting sqref="P3:P36">
    <cfRule type="expression" dxfId="15" priority="17">
      <formula>NOT(ISNUMBER(P4))</formula>
    </cfRule>
  </conditionalFormatting>
  <conditionalFormatting sqref="W18:W36">
    <cfRule type="expression" dxfId="14" priority="16">
      <formula>NOT(ISNUMBER(W19))</formula>
    </cfRule>
  </conditionalFormatting>
  <conditionalFormatting sqref="W3:W17">
    <cfRule type="expression" dxfId="13" priority="15">
      <formula>NOT(ISNUMBER(W4))</formula>
    </cfRule>
  </conditionalFormatting>
  <conditionalFormatting sqref="X4:AB17">
    <cfRule type="expression" dxfId="12" priority="8">
      <formula>X$1=X4</formula>
    </cfRule>
    <cfRule type="expression" dxfId="11" priority="13">
      <formula>X4=X$2</formula>
    </cfRule>
  </conditionalFormatting>
  <conditionalFormatting sqref="AD18:AD36">
    <cfRule type="expression" dxfId="10" priority="11">
      <formula>NOT(ISNUMBER(AD19))</formula>
    </cfRule>
  </conditionalFormatting>
  <conditionalFormatting sqref="AD3:AD17">
    <cfRule type="expression" dxfId="9" priority="10">
      <formula>NOT(ISNUMBER(AD4))</formula>
    </cfRule>
  </conditionalFormatting>
  <conditionalFormatting sqref="AL18:AL36">
    <cfRule type="expression" dxfId="8" priority="7">
      <formula>NOT(ISNUMBER(AL19))</formula>
    </cfRule>
  </conditionalFormatting>
  <conditionalFormatting sqref="AT18:AT36">
    <cfRule type="expression" dxfId="7" priority="4">
      <formula>NOT(ISNUMBER(AT19))</formula>
    </cfRule>
  </conditionalFormatting>
  <conditionalFormatting sqref="AL3:AL17">
    <cfRule type="expression" dxfId="6" priority="6">
      <formula>NOT(ISNUMBER(AL4))</formula>
    </cfRule>
  </conditionalFormatting>
  <conditionalFormatting sqref="AT3:AT17">
    <cfRule type="expression" dxfId="5" priority="3">
      <formula>NOT(ISNUMBER(AT4))</formula>
    </cfRule>
  </conditionalFormatting>
  <conditionalFormatting sqref="I3:N36">
    <cfRule type="expression" dxfId="4" priority="2">
      <formula>NOT(ISNUMBER($B4))</formula>
    </cfRule>
  </conditionalFormatting>
  <conditionalFormatting sqref="H1:H19">
    <cfRule type="expression" dxfId="3" priority="1">
      <formula>NOT(ISNUMBER($B2))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</vt:lpstr>
      <vt:lpstr>User Input</vt:lpstr>
      <vt:lpstr>Routes</vt:lpstr>
      <vt:lpstr>Coefficients</vt:lpstr>
      <vt:lpstr>TOPSIS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2017-02-13T17:46:57Z</dcterms:created>
  <dcterms:modified xsi:type="dcterms:W3CDTF">2017-03-29T18:50:47Z</dcterms:modified>
</cp:coreProperties>
</file>