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" i="1" l="1"/>
  <c r="AI10" i="1"/>
  <c r="AI11" i="1"/>
  <c r="AI12" i="1"/>
  <c r="AI13" i="1"/>
  <c r="AI14" i="1"/>
  <c r="AI9" i="1"/>
  <c r="AH15" i="1"/>
  <c r="AG15" i="1"/>
  <c r="AG10" i="1"/>
  <c r="AH10" i="1"/>
  <c r="AG11" i="1"/>
  <c r="AH11" i="1"/>
  <c r="AG12" i="1"/>
  <c r="AH12" i="1"/>
  <c r="AG13" i="1"/>
  <c r="AH13" i="1"/>
  <c r="AG14" i="1"/>
  <c r="AH14" i="1"/>
  <c r="AH9" i="1"/>
  <c r="AG9" i="1"/>
  <c r="AG8" i="1" a="1"/>
  <c r="AG8" i="1"/>
  <c r="AH8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9" i="1"/>
  <c r="V10" i="1" a="1"/>
  <c r="V10" i="1"/>
  <c r="W10" i="1" s="1"/>
  <c r="V11" i="1" a="1"/>
  <c r="V11" i="1" s="1"/>
  <c r="W11" i="1" s="1"/>
  <c r="V12" i="1" a="1"/>
  <c r="V12" i="1" s="1"/>
  <c r="W12" i="1" s="1"/>
  <c r="V13" i="1" a="1"/>
  <c r="V13" i="1" s="1"/>
  <c r="W13" i="1" s="1"/>
  <c r="V14" i="1" a="1"/>
  <c r="V14" i="1"/>
  <c r="W14" i="1" s="1"/>
  <c r="V15" i="1" a="1"/>
  <c r="V15" i="1" s="1"/>
  <c r="W15" i="1" s="1"/>
  <c r="V16" i="1" a="1"/>
  <c r="V16" i="1"/>
  <c r="W16" i="1" s="1"/>
  <c r="V17" i="1" a="1"/>
  <c r="V17" i="1" s="1"/>
  <c r="W17" i="1" s="1"/>
  <c r="V18" i="1" a="1"/>
  <c r="V18" i="1"/>
  <c r="W18" i="1" s="1"/>
  <c r="V19" i="1" a="1"/>
  <c r="V19" i="1" s="1"/>
  <c r="W19" i="1" s="1"/>
  <c r="V20" i="1" a="1"/>
  <c r="V20" i="1" s="1"/>
  <c r="W20" i="1" s="1"/>
  <c r="V21" i="1" a="1"/>
  <c r="V21" i="1" s="1"/>
  <c r="W21" i="1" s="1"/>
  <c r="V22" i="1" a="1"/>
  <c r="V22" i="1"/>
  <c r="W22" i="1" s="1"/>
  <c r="V23" i="1" a="1"/>
  <c r="V23" i="1" s="1"/>
  <c r="W23" i="1" s="1"/>
  <c r="V24" i="1" a="1"/>
  <c r="V24" i="1" s="1"/>
  <c r="W24" i="1" s="1"/>
  <c r="V25" i="1" a="1"/>
  <c r="V25" i="1" s="1"/>
  <c r="W25" i="1" s="1"/>
  <c r="V26" i="1" a="1"/>
  <c r="V26" i="1"/>
  <c r="W26" i="1" s="1"/>
  <c r="V27" i="1" a="1"/>
  <c r="V27" i="1" s="1"/>
  <c r="W27" i="1" s="1"/>
  <c r="V28" i="1" a="1"/>
  <c r="V28" i="1" s="1"/>
  <c r="W28" i="1" s="1"/>
  <c r="V29" i="1" a="1"/>
  <c r="V29" i="1" s="1"/>
  <c r="W29" i="1" s="1"/>
  <c r="V30" i="1" a="1"/>
  <c r="V30" i="1"/>
  <c r="W30" i="1" s="1"/>
  <c r="V31" i="1" a="1"/>
  <c r="V31" i="1" s="1"/>
  <c r="W31" i="1" s="1"/>
  <c r="W9" i="1"/>
  <c r="V9" i="1" a="1"/>
  <c r="V9" i="1" s="1"/>
  <c r="Z17" i="1"/>
  <c r="Y17" i="1"/>
  <c r="Y13" i="1" a="1"/>
  <c r="Z13" i="1" s="1"/>
  <c r="P21" i="1" a="1"/>
  <c r="AB8" i="1" a="1"/>
  <c r="Y9" i="1" a="1"/>
  <c r="S37" i="1" a="1"/>
  <c r="S33" i="1" a="1"/>
  <c r="S29" i="1" a="1"/>
  <c r="S25" i="1" a="1"/>
  <c r="S21" i="1" a="1"/>
  <c r="S17" i="1" a="1"/>
  <c r="S13" i="1" a="1"/>
  <c r="S9" i="1" a="1"/>
  <c r="P25" i="1" a="1"/>
  <c r="AC9" i="1" l="1"/>
  <c r="AC11" i="1"/>
  <c r="AB8" i="1"/>
  <c r="AB10" i="1"/>
  <c r="AB12" i="1"/>
  <c r="AC8" i="1"/>
  <c r="AC10" i="1"/>
  <c r="AC12" i="1"/>
  <c r="AB11" i="1"/>
  <c r="AB9" i="1"/>
  <c r="Y13" i="1"/>
  <c r="Z14" i="1"/>
  <c r="Y14" i="1"/>
  <c r="Z10" i="1"/>
  <c r="Y9" i="1"/>
  <c r="Z9" i="1"/>
  <c r="Y10" i="1"/>
  <c r="T38" i="1"/>
  <c r="S37" i="1"/>
  <c r="T37" i="1"/>
  <c r="S38" i="1"/>
  <c r="T34" i="1"/>
  <c r="S33" i="1"/>
  <c r="T33" i="1"/>
  <c r="S34" i="1"/>
  <c r="T30" i="1"/>
  <c r="S29" i="1"/>
  <c r="T29" i="1"/>
  <c r="S30" i="1"/>
  <c r="T26" i="1"/>
  <c r="S25" i="1"/>
  <c r="T25" i="1"/>
  <c r="S26" i="1"/>
  <c r="T22" i="1"/>
  <c r="S21" i="1"/>
  <c r="T21" i="1"/>
  <c r="S22" i="1"/>
  <c r="T18" i="1"/>
  <c r="S17" i="1"/>
  <c r="T17" i="1"/>
  <c r="S18" i="1"/>
  <c r="T14" i="1"/>
  <c r="S13" i="1"/>
  <c r="T13" i="1"/>
  <c r="S14" i="1"/>
  <c r="T10" i="1"/>
  <c r="S9" i="1"/>
  <c r="S10" i="1"/>
  <c r="T9" i="1"/>
  <c r="Q26" i="1"/>
  <c r="Q25" i="1"/>
  <c r="Q21" i="1" s="1"/>
  <c r="P26" i="1"/>
  <c r="P25" i="1"/>
  <c r="P21" i="1" s="1"/>
  <c r="P22" i="1"/>
  <c r="Q22" i="1"/>
  <c r="P17" i="1" a="1"/>
  <c r="P13" i="1" a="1"/>
  <c r="P9" i="1" a="1"/>
  <c r="I24" i="1"/>
  <c r="I23" i="1" a="1"/>
  <c r="I22" i="1" a="1"/>
  <c r="I21" i="1" a="1"/>
  <c r="I18" i="1"/>
  <c r="I17" i="1" a="1"/>
  <c r="I16" i="1" a="1"/>
  <c r="I15" i="1" a="1"/>
  <c r="I12" i="1"/>
  <c r="I11" i="1" a="1"/>
  <c r="I10" i="1" a="1"/>
  <c r="I9" i="1" a="1"/>
  <c r="P18" i="1" l="1"/>
  <c r="Q18" i="1"/>
  <c r="P17" i="1"/>
  <c r="Q17" i="1"/>
  <c r="P14" i="1"/>
  <c r="Q14" i="1"/>
  <c r="P13" i="1"/>
  <c r="Q13" i="1"/>
  <c r="P10" i="1"/>
  <c r="Q10" i="1"/>
  <c r="P9" i="1"/>
  <c r="Q9" i="1"/>
  <c r="K23" i="1"/>
  <c r="L23" i="1"/>
  <c r="I23" i="1"/>
  <c r="M23" i="1"/>
  <c r="J23" i="1"/>
  <c r="N23" i="1"/>
  <c r="K22" i="1"/>
  <c r="L22" i="1"/>
  <c r="I22" i="1"/>
  <c r="M22" i="1"/>
  <c r="J22" i="1"/>
  <c r="N22" i="1"/>
  <c r="K21" i="1"/>
  <c r="L21" i="1"/>
  <c r="I21" i="1"/>
  <c r="M21" i="1"/>
  <c r="J21" i="1"/>
  <c r="N21" i="1"/>
  <c r="K17" i="1"/>
  <c r="L17" i="1"/>
  <c r="I17" i="1"/>
  <c r="M17" i="1"/>
  <c r="J17" i="1"/>
  <c r="N17" i="1"/>
  <c r="K16" i="1"/>
  <c r="L16" i="1"/>
  <c r="I16" i="1"/>
  <c r="M16" i="1"/>
  <c r="J16" i="1"/>
  <c r="N16" i="1"/>
  <c r="K15" i="1"/>
  <c r="L15" i="1"/>
  <c r="I15" i="1"/>
  <c r="M15" i="1"/>
  <c r="J15" i="1"/>
  <c r="N15" i="1"/>
  <c r="J11" i="1"/>
  <c r="N11" i="1"/>
  <c r="K11" i="1"/>
  <c r="L11" i="1"/>
  <c r="I11" i="1"/>
  <c r="M11" i="1"/>
  <c r="K10" i="1"/>
  <c r="L10" i="1"/>
  <c r="I10" i="1"/>
  <c r="M10" i="1"/>
  <c r="J10" i="1"/>
  <c r="N10" i="1"/>
  <c r="I9" i="1"/>
  <c r="M9" i="1"/>
  <c r="N9" i="1"/>
  <c r="L9" i="1"/>
  <c r="J9" i="1"/>
  <c r="K9" i="1"/>
</calcChain>
</file>

<file path=xl/sharedStrings.xml><?xml version="1.0" encoding="utf-8"?>
<sst xmlns="http://schemas.openxmlformats.org/spreadsheetml/2006/main" count="133" uniqueCount="41">
  <si>
    <t>GENDER</t>
  </si>
  <si>
    <t xml:space="preserve">ECONOMIC </t>
  </si>
  <si>
    <t>KINDNESS</t>
  </si>
  <si>
    <t>OPTIMISM</t>
  </si>
  <si>
    <t>male</t>
  </si>
  <si>
    <t>female</t>
  </si>
  <si>
    <t>wealthy</t>
  </si>
  <si>
    <t>middle</t>
  </si>
  <si>
    <t>poor</t>
  </si>
  <si>
    <t>Two-Way MANOVA</t>
  </si>
  <si>
    <t>fact A</t>
  </si>
  <si>
    <t>stat</t>
  </si>
  <si>
    <t>df1</t>
  </si>
  <si>
    <t>df2</t>
  </si>
  <si>
    <t>F</t>
  </si>
  <si>
    <t>p-value</t>
  </si>
  <si>
    <t>part eta-sq</t>
  </si>
  <si>
    <t>Pillai Trace</t>
  </si>
  <si>
    <t>Wilk's Lambda</t>
  </si>
  <si>
    <t>Hotelling Trace</t>
  </si>
  <si>
    <t>Roy's Lg Root</t>
  </si>
  <si>
    <t>fact B</t>
  </si>
  <si>
    <t>fact AB</t>
  </si>
  <si>
    <t>SSCP Matrices</t>
  </si>
  <si>
    <t>Tot</t>
  </si>
  <si>
    <t>Row (A)</t>
  </si>
  <si>
    <t>Column (B)</t>
  </si>
  <si>
    <t>Interaction (AB)</t>
  </si>
  <si>
    <t>Res</t>
  </si>
  <si>
    <t>Group Covariance Matrices</t>
  </si>
  <si>
    <t>Pooled covariance matrix</t>
  </si>
  <si>
    <t>Correlation matrix</t>
  </si>
  <si>
    <t>Outliers via Mahalanobis D-squared</t>
  </si>
  <si>
    <t>D-sq</t>
  </si>
  <si>
    <t>Covariance Matrix</t>
  </si>
  <si>
    <t>Inverse of Covariance Matrix</t>
  </si>
  <si>
    <t>Mean vector</t>
  </si>
  <si>
    <t>Box's Test</t>
  </si>
  <si>
    <t>Group Means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</si>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</sst>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Local/Packages/Microsoft.MicrosoftEdge_8wekyb3d8bbwe/TempState/Downloads/XRealStats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CORR"/>
      <definedName name="COV"/>
      <definedName name="COV2Pooled"/>
      <definedName name="Extract2Cov"/>
      <definedName name="MANOVA2_BOX"/>
      <definedName name="MANOVA2_Col"/>
      <definedName name="MANOVA2_HotelCol"/>
      <definedName name="MANOVA2_HotelInt"/>
      <definedName name="MANOVA2_HotelRow"/>
      <definedName name="MANOVA2_PillaiCol"/>
      <definedName name="MANOVA2_PillaiInt"/>
      <definedName name="MANOVA2_PillaiRow"/>
      <definedName name="MANOVA2_Res"/>
      <definedName name="MANOVA2_Row"/>
      <definedName name="MANOVA2_RoyCol"/>
      <definedName name="MANOVA2_RoyInt"/>
      <definedName name="MANOVA2_RoyRow"/>
      <definedName name="MANOVA2_Tot"/>
      <definedName name="MANOVA2_WilksCol"/>
      <definedName name="MANOVA2_WilksInt"/>
      <definedName name="MANOVA2_WilksRow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25" workbookViewId="0">
      <selection activeCell="M2" sqref="M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</row>
    <row r="2" spans="1:35" x14ac:dyDescent="0.25">
      <c r="A2" t="s">
        <v>4</v>
      </c>
      <c r="B2" t="s">
        <v>6</v>
      </c>
      <c r="C2">
        <v>5</v>
      </c>
      <c r="D2">
        <v>3</v>
      </c>
    </row>
    <row r="3" spans="1:35" x14ac:dyDescent="0.25">
      <c r="A3" t="s">
        <v>4</v>
      </c>
      <c r="B3" t="s">
        <v>6</v>
      </c>
      <c r="C3">
        <v>4</v>
      </c>
      <c r="D3">
        <v>6</v>
      </c>
    </row>
    <row r="4" spans="1:35" x14ac:dyDescent="0.25">
      <c r="A4" t="s">
        <v>4</v>
      </c>
      <c r="B4" t="s">
        <v>6</v>
      </c>
      <c r="C4">
        <v>3</v>
      </c>
      <c r="D4">
        <v>4</v>
      </c>
    </row>
    <row r="5" spans="1:35" x14ac:dyDescent="0.25">
      <c r="A5" t="s">
        <v>4</v>
      </c>
      <c r="B5" t="s">
        <v>6</v>
      </c>
      <c r="C5">
        <v>5</v>
      </c>
      <c r="D5">
        <v>4</v>
      </c>
    </row>
    <row r="6" spans="1:35" x14ac:dyDescent="0.25">
      <c r="A6" t="s">
        <v>4</v>
      </c>
      <c r="B6" t="s">
        <v>6</v>
      </c>
      <c r="C6">
        <v>4</v>
      </c>
      <c r="D6">
        <v>6</v>
      </c>
      <c r="H6" t="s">
        <v>9</v>
      </c>
      <c r="P6" t="s">
        <v>23</v>
      </c>
      <c r="S6" t="s">
        <v>29</v>
      </c>
      <c r="V6" t="s">
        <v>32</v>
      </c>
      <c r="AB6" t="s">
        <v>37</v>
      </c>
      <c r="AF6" t="s">
        <v>38</v>
      </c>
    </row>
    <row r="7" spans="1:35" ht="15.75" thickBot="1" x14ac:dyDescent="0.3">
      <c r="A7" t="s">
        <v>4</v>
      </c>
      <c r="B7" t="s">
        <v>6</v>
      </c>
      <c r="C7">
        <v>3</v>
      </c>
      <c r="D7">
        <v>6</v>
      </c>
    </row>
    <row r="8" spans="1:35" ht="15.75" thickTop="1" x14ac:dyDescent="0.25">
      <c r="A8" t="s">
        <v>4</v>
      </c>
      <c r="B8" t="s">
        <v>7</v>
      </c>
      <c r="C8">
        <v>2</v>
      </c>
      <c r="D8">
        <v>4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P8" t="s">
        <v>24</v>
      </c>
      <c r="S8" t="s">
        <v>5</v>
      </c>
      <c r="T8" t="s">
        <v>7</v>
      </c>
      <c r="V8" s="7" t="s">
        <v>33</v>
      </c>
      <c r="W8" s="7" t="s">
        <v>15</v>
      </c>
      <c r="Y8" t="s">
        <v>34</v>
      </c>
      <c r="AB8" t="e">
        <f t="array" ref="AB8:AC12">[1]!MANOVA2_BOX(A3:D25,TRUE)</f>
        <v>#VALUE!</v>
      </c>
      <c r="AC8" s="13" t="e">
        <v>#VALUE!</v>
      </c>
      <c r="AG8" s="7">
        <f t="array" ref="AG8:AH8">$C$2:$D$2</f>
        <v>5</v>
      </c>
      <c r="AH8" s="7">
        <v>3</v>
      </c>
      <c r="AI8" s="7" t="s">
        <v>39</v>
      </c>
    </row>
    <row r="9" spans="1:35" x14ac:dyDescent="0.25">
      <c r="A9" t="s">
        <v>4</v>
      </c>
      <c r="B9" t="s">
        <v>7</v>
      </c>
      <c r="C9">
        <v>4</v>
      </c>
      <c r="D9">
        <v>5</v>
      </c>
      <c r="H9" t="s">
        <v>17</v>
      </c>
      <c r="I9">
        <f t="array" ref="I9:N9">TRANSPOSE([1]!MANOVA2_PillaiRow(A3:D25))</f>
        <v>0.31461857750905181</v>
      </c>
      <c r="J9">
        <v>2</v>
      </c>
      <c r="K9">
        <v>16</v>
      </c>
      <c r="L9">
        <v>3.6723327150082707</v>
      </c>
      <c r="M9">
        <v>4.8692113801801495E-2</v>
      </c>
      <c r="N9">
        <v>0.31461857750905181</v>
      </c>
      <c r="P9" s="3">
        <f t="array" ref="P9:Q10">[1]!MANOVA2_Tot(A3:D25)</f>
        <v>106</v>
      </c>
      <c r="Q9" s="4">
        <v>51</v>
      </c>
      <c r="S9" s="3">
        <f t="array" ref="S9:T10">[1]!Extract2Cov(A3:D25,S8,T8)</f>
        <v>1.6666666666666665</v>
      </c>
      <c r="T9" s="4">
        <v>-1.6666666666666665</v>
      </c>
      <c r="V9" s="3">
        <f t="array" ref="V9">MMULT(C3:D3-$Y$17:$Z$17,MMULT($Y$13:$Z$14,TRANSPOSE(C3:D3-$Y$17:$Z$17)))</f>
        <v>0.67386507755457958</v>
      </c>
      <c r="W9" s="4">
        <f>_xlfn.CHISQ.DIST.RT(V9,COUNT($C$3:$D$3))</f>
        <v>0.71395700269050555</v>
      </c>
      <c r="X9" s="12" t="str">
        <f>IF(W9&lt;0.001,"*","")</f>
        <v/>
      </c>
      <c r="Y9" s="3">
        <f t="array" ref="Y9:Z10">[1]!COV(C3:D25)</f>
        <v>4.8181818181818183</v>
      </c>
      <c r="Z9" s="4">
        <v>2.3181818181818183</v>
      </c>
      <c r="AB9" t="e">
        <v>#VALUE!</v>
      </c>
      <c r="AC9" s="14" t="e">
        <v>#VALUE!</v>
      </c>
      <c r="AE9" t="s">
        <v>5</v>
      </c>
      <c r="AF9" t="s">
        <v>7</v>
      </c>
      <c r="AG9" s="3">
        <f>AVERAGEIFS(C$3:C$25,$A$3:$A$25,$AE9,$B$3:$B$25,$AF9)</f>
        <v>7.5</v>
      </c>
      <c r="AH9" s="4">
        <f>AVERAGEIFS(D$3:D$25,$A$3:$A$25,$AE9,$B$3:$B$25,$AF9)</f>
        <v>8</v>
      </c>
      <c r="AI9" s="13">
        <f>COUNTIFS($A$3:$A$25,AE9,$B$3:$B$25,AF9)</f>
        <v>4</v>
      </c>
    </row>
    <row r="10" spans="1:35" x14ac:dyDescent="0.25">
      <c r="A10" t="s">
        <v>4</v>
      </c>
      <c r="B10" t="s">
        <v>7</v>
      </c>
      <c r="C10">
        <v>3</v>
      </c>
      <c r="D10">
        <v>5</v>
      </c>
      <c r="H10" t="s">
        <v>18</v>
      </c>
      <c r="I10">
        <f t="array" ref="I10:N10">TRANSPOSE([1]!MANOVA2_WilksRow(A3:D25))</f>
        <v>0.68538142249094836</v>
      </c>
      <c r="J10">
        <v>2</v>
      </c>
      <c r="K10">
        <v>16</v>
      </c>
      <c r="L10">
        <v>3.6723327150082681</v>
      </c>
      <c r="M10">
        <v>4.8692113801801606E-2</v>
      </c>
      <c r="N10">
        <v>0.31461857750905164</v>
      </c>
      <c r="P10" s="5">
        <v>51</v>
      </c>
      <c r="Q10" s="6">
        <v>110.60869565217386</v>
      </c>
      <c r="S10" s="5">
        <v>-1.6666666666666665</v>
      </c>
      <c r="T10" s="6">
        <v>2</v>
      </c>
      <c r="V10" s="10">
        <f t="array" ref="V10">MMULT(C4:D4-$Y$17:$Z$17,MMULT($Y$13:$Z$14,TRANSPOSE(C4:D4-$Y$17:$Z$17)))</f>
        <v>0.83741748151757966</v>
      </c>
      <c r="W10" s="11">
        <f t="shared" ref="W10:W31" si="0">_xlfn.CHISQ.DIST.RT(V10,COUNT($C$3:$D$3))</f>
        <v>0.65789578559254325</v>
      </c>
      <c r="X10" s="12" t="str">
        <f t="shared" ref="X10:X31" si="1">IF(W10&lt;0.001,"*","")</f>
        <v/>
      </c>
      <c r="Y10" s="5">
        <v>2.3181818181818183</v>
      </c>
      <c r="Z10" s="6">
        <v>5.0276679841897218</v>
      </c>
      <c r="AB10" t="e">
        <v>#VALUE!</v>
      </c>
      <c r="AC10" s="14" t="e">
        <v>#VALUE!</v>
      </c>
      <c r="AE10" t="s">
        <v>5</v>
      </c>
      <c r="AF10" t="s">
        <v>8</v>
      </c>
      <c r="AG10" s="10">
        <f t="shared" ref="AG10:AG14" si="2">AVERAGEIFS(C$3:C$25,$A$3:$A$25,$AE10,$B$3:$B$25,$AF10)</f>
        <v>8.5</v>
      </c>
      <c r="AH10" s="11">
        <f t="shared" ref="AH10:AH14" si="3">AVERAGEIFS(D$3:D$25,$A$3:$A$25,$AE10,$B$3:$B$25,$AF10)</f>
        <v>7</v>
      </c>
      <c r="AI10" s="14">
        <f t="shared" ref="AI10:AI14" si="4">COUNTIFS($A$3:$A$25,AE10,$B$3:$B$25,AF10)</f>
        <v>2</v>
      </c>
    </row>
    <row r="11" spans="1:35" x14ac:dyDescent="0.25">
      <c r="A11" t="s">
        <v>4</v>
      </c>
      <c r="B11" t="s">
        <v>7</v>
      </c>
      <c r="C11">
        <v>5</v>
      </c>
      <c r="D11">
        <v>3</v>
      </c>
      <c r="H11" t="s">
        <v>19</v>
      </c>
      <c r="I11">
        <f t="array" ref="I11:N11">TRANSPOSE([1]!MANOVA2_HotelRow(A3:D25))</f>
        <v>0.45904158937603362</v>
      </c>
      <c r="J11">
        <v>2</v>
      </c>
      <c r="K11">
        <v>16</v>
      </c>
      <c r="L11">
        <v>3.672332715008269</v>
      </c>
      <c r="M11">
        <v>4.8692113801801495E-2</v>
      </c>
      <c r="N11">
        <v>0.3146185775090517</v>
      </c>
      <c r="V11" s="10">
        <f t="array" ref="V11">MMULT(C5:D5-$Y$17:$Z$17,MMULT($Y$13:$Z$14,TRANSPOSE(C5:D5-$Y$17:$Z$17)))</f>
        <v>0.32663074298697792</v>
      </c>
      <c r="W11" s="11">
        <f t="shared" si="0"/>
        <v>0.84932329381802474</v>
      </c>
      <c r="X11" s="12" t="str">
        <f t="shared" si="1"/>
        <v/>
      </c>
      <c r="AB11" t="e">
        <v>#VALUE!</v>
      </c>
      <c r="AC11" s="14" t="e">
        <v>#VALUE!</v>
      </c>
      <c r="AE11" t="s">
        <v>5</v>
      </c>
      <c r="AF11" t="s">
        <v>6</v>
      </c>
      <c r="AG11" s="10">
        <f t="shared" si="2"/>
        <v>3.5</v>
      </c>
      <c r="AH11" s="11">
        <f t="shared" si="3"/>
        <v>4.5</v>
      </c>
      <c r="AI11" s="14">
        <f t="shared" si="4"/>
        <v>4</v>
      </c>
    </row>
    <row r="12" spans="1:35" x14ac:dyDescent="0.25">
      <c r="A12" t="s">
        <v>4</v>
      </c>
      <c r="B12" t="s">
        <v>8</v>
      </c>
      <c r="C12">
        <v>7</v>
      </c>
      <c r="D12">
        <v>1</v>
      </c>
      <c r="H12" s="2" t="s">
        <v>20</v>
      </c>
      <c r="I12" s="2">
        <f>[1]!MANOVA2_RoyRow(A3:D25)</f>
        <v>0.45904158937603362</v>
      </c>
      <c r="J12" s="2"/>
      <c r="K12" s="2"/>
      <c r="L12" s="2"/>
      <c r="M12" s="2"/>
      <c r="N12" s="2"/>
      <c r="P12" t="s">
        <v>25</v>
      </c>
      <c r="S12" t="s">
        <v>5</v>
      </c>
      <c r="T12" t="s">
        <v>8</v>
      </c>
      <c r="V12" s="10">
        <f t="array" ref="V12">MMULT(C6:D6-$Y$17:$Z$17,MMULT($Y$13:$Z$14,TRANSPOSE(C6:D6-$Y$17:$Z$17)))</f>
        <v>0.67386507755457958</v>
      </c>
      <c r="W12" s="11">
        <f t="shared" si="0"/>
        <v>0.71395700269050555</v>
      </c>
      <c r="X12" s="12" t="str">
        <f t="shared" si="1"/>
        <v/>
      </c>
      <c r="Y12" t="s">
        <v>35</v>
      </c>
      <c r="AB12" t="e">
        <v>#VALUE!</v>
      </c>
      <c r="AC12" s="15" t="e">
        <v>#VALUE!</v>
      </c>
      <c r="AE12" t="s">
        <v>4</v>
      </c>
      <c r="AF12" t="s">
        <v>7</v>
      </c>
      <c r="AG12" s="10">
        <f t="shared" si="2"/>
        <v>3.5</v>
      </c>
      <c r="AH12" s="11">
        <f t="shared" si="3"/>
        <v>4.25</v>
      </c>
      <c r="AI12" s="14">
        <f t="shared" si="4"/>
        <v>4</v>
      </c>
    </row>
    <row r="13" spans="1:35" ht="15.75" thickBot="1" x14ac:dyDescent="0.3">
      <c r="A13" t="s">
        <v>4</v>
      </c>
      <c r="B13" t="s">
        <v>8</v>
      </c>
      <c r="C13">
        <v>4</v>
      </c>
      <c r="D13">
        <v>2</v>
      </c>
      <c r="P13" s="3">
        <f t="array" ref="P13:Q14">[1]!MANOVA2_Row(A3:D25)</f>
        <v>21.407692307692294</v>
      </c>
      <c r="Q13" s="4">
        <v>24.707692307692298</v>
      </c>
      <c r="S13" s="3">
        <f t="array" ref="S13:T14">[1]!Extract2Cov(A3:D25,S12,T12)</f>
        <v>0.5</v>
      </c>
      <c r="T13" s="4">
        <v>0</v>
      </c>
      <c r="V13" s="10">
        <f t="array" ref="V13">MMULT(C7:D7-$Y$17:$Z$17,MMULT($Y$13:$Z$14,TRANSPOSE(C7:D7-$Y$17:$Z$17)))</f>
        <v>1.6878899821251832</v>
      </c>
      <c r="W13" s="11">
        <f t="shared" si="0"/>
        <v>0.4300107842049623</v>
      </c>
      <c r="X13" s="12" t="str">
        <f t="shared" si="1"/>
        <v/>
      </c>
      <c r="Y13" s="3">
        <f t="array" ref="Y13:Z14">MINVERSE(Y9:Z10)</f>
        <v>0.26671622800120093</v>
      </c>
      <c r="Z13" s="4">
        <v>-0.1229788268260255</v>
      </c>
      <c r="AE13" t="s">
        <v>4</v>
      </c>
      <c r="AF13" t="s">
        <v>8</v>
      </c>
      <c r="AG13" s="10">
        <f t="shared" si="2"/>
        <v>5.25</v>
      </c>
      <c r="AH13" s="11">
        <f t="shared" si="3"/>
        <v>2.75</v>
      </c>
      <c r="AI13" s="14">
        <f t="shared" si="4"/>
        <v>4</v>
      </c>
    </row>
    <row r="14" spans="1:35" ht="15.75" thickTop="1" x14ac:dyDescent="0.25">
      <c r="A14" t="s">
        <v>4</v>
      </c>
      <c r="B14" t="s">
        <v>8</v>
      </c>
      <c r="C14">
        <v>3</v>
      </c>
      <c r="D14">
        <v>3</v>
      </c>
      <c r="H14" s="1" t="s">
        <v>21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  <c r="P14" s="5">
        <v>24.707692307692298</v>
      </c>
      <c r="Q14" s="6">
        <v>28.516387959866222</v>
      </c>
      <c r="S14" s="5">
        <v>0</v>
      </c>
      <c r="T14" s="6">
        <v>0</v>
      </c>
      <c r="V14" s="10">
        <f t="array" ref="V14">MMULT(C8:D8-$Y$17:$Z$17,MMULT($Y$13:$Z$14,TRANSPOSE(C8:D8-$Y$17:$Z$17)))</f>
        <v>1.8929595347864829</v>
      </c>
      <c r="W14" s="11">
        <f t="shared" si="0"/>
        <v>0.3881048408845576</v>
      </c>
      <c r="X14" s="12" t="str">
        <f t="shared" si="1"/>
        <v/>
      </c>
      <c r="Y14" s="5">
        <v>-0.12297882682602547</v>
      </c>
      <c r="Z14" s="6">
        <v>0.25560305183448434</v>
      </c>
      <c r="AE14" t="s">
        <v>4</v>
      </c>
      <c r="AF14" t="s">
        <v>6</v>
      </c>
      <c r="AG14" s="5">
        <f t="shared" si="2"/>
        <v>3.8</v>
      </c>
      <c r="AH14" s="6">
        <f t="shared" si="3"/>
        <v>5.2</v>
      </c>
      <c r="AI14" s="15">
        <f t="shared" si="4"/>
        <v>5</v>
      </c>
    </row>
    <row r="15" spans="1:35" x14ac:dyDescent="0.25">
      <c r="A15" t="s">
        <v>4</v>
      </c>
      <c r="B15" t="s">
        <v>8</v>
      </c>
      <c r="C15">
        <v>7</v>
      </c>
      <c r="D15">
        <v>5</v>
      </c>
      <c r="H15" t="s">
        <v>17</v>
      </c>
      <c r="I15">
        <f t="array" ref="I15:N15">TRANSPOSE([1]!MANOVA2_PillaiCol(A3:D25))</f>
        <v>0.51964569470323829</v>
      </c>
      <c r="J15">
        <v>4</v>
      </c>
      <c r="K15">
        <v>34</v>
      </c>
      <c r="L15">
        <v>2.9837373317815739</v>
      </c>
      <c r="M15">
        <v>3.2543509693167438E-2</v>
      </c>
      <c r="N15">
        <v>0.25982284735161915</v>
      </c>
      <c r="V15" s="10">
        <f t="array" ref="V15">MMULT(C9:D9-$Y$17:$Z$17,MMULT($Y$13:$Z$14,TRANSPOSE(C9:D9-$Y$17:$Z$17)))</f>
        <v>0.23898342906834436</v>
      </c>
      <c r="W15" s="11">
        <f t="shared" si="0"/>
        <v>0.88737136007367257</v>
      </c>
      <c r="X15" s="12" t="str">
        <f t="shared" si="1"/>
        <v/>
      </c>
      <c r="AF15" t="s">
        <v>40</v>
      </c>
      <c r="AG15" s="8">
        <f>AVERAGE(C$3:C$25)</f>
        <v>5</v>
      </c>
      <c r="AH15" s="9">
        <f>AVERAGE(D$3:D$25)</f>
        <v>5.1304347826086953</v>
      </c>
      <c r="AI15" s="16">
        <f>SUM(AI9:AI14)</f>
        <v>23</v>
      </c>
    </row>
    <row r="16" spans="1:35" x14ac:dyDescent="0.25">
      <c r="A16" t="s">
        <v>5</v>
      </c>
      <c r="B16" t="s">
        <v>6</v>
      </c>
      <c r="C16">
        <v>2</v>
      </c>
      <c r="D16">
        <v>3</v>
      </c>
      <c r="H16" t="s">
        <v>18</v>
      </c>
      <c r="I16">
        <f t="array" ref="I16:N16">TRANSPOSE([1]!MANOVA2_WilksCol(A3:D25))</f>
        <v>0.72408777167948901</v>
      </c>
      <c r="J16">
        <v>4</v>
      </c>
      <c r="K16">
        <v>32</v>
      </c>
      <c r="L16">
        <v>3.0483843435780718</v>
      </c>
      <c r="M16">
        <v>3.0919000181253598E-2</v>
      </c>
      <c r="N16">
        <v>0.27591222832051099</v>
      </c>
      <c r="P16" t="s">
        <v>26</v>
      </c>
      <c r="S16" t="s">
        <v>5</v>
      </c>
      <c r="T16" t="s">
        <v>6</v>
      </c>
      <c r="V16" s="10">
        <f t="array" ref="V16">MMULT(C10:D10-$Y$17:$Z$17,MMULT($Y$13:$Z$14,TRANSPOSE(C10:D10-$Y$17:$Z$17)))</f>
        <v>1.007050679986897</v>
      </c>
      <c r="W16" s="11">
        <f t="shared" si="0"/>
        <v>0.60439619748382045</v>
      </c>
      <c r="X16" s="12" t="str">
        <f t="shared" si="1"/>
        <v/>
      </c>
      <c r="Y16" t="s">
        <v>36</v>
      </c>
    </row>
    <row r="17" spans="1:26" x14ac:dyDescent="0.25">
      <c r="A17" t="s">
        <v>5</v>
      </c>
      <c r="B17" t="s">
        <v>6</v>
      </c>
      <c r="C17">
        <v>3</v>
      </c>
      <c r="D17">
        <v>2</v>
      </c>
      <c r="H17" t="s">
        <v>19</v>
      </c>
      <c r="I17">
        <f t="array" ref="I17:N17">TRANSPOSE([1]!MANOVA2_HotelCol(A3:D25))</f>
        <v>0.82347043571341361</v>
      </c>
      <c r="J17">
        <v>4</v>
      </c>
      <c r="K17">
        <v>30</v>
      </c>
      <c r="L17">
        <v>3.0880141339253009</v>
      </c>
      <c r="M17">
        <v>3.0483287466019249E-2</v>
      </c>
      <c r="N17">
        <v>0.29165187115031549</v>
      </c>
      <c r="P17" s="3">
        <f t="array" ref="P17:Q18">[1]!MANOVA2_Col(A3:D25)</f>
        <v>28.666666666666664</v>
      </c>
      <c r="Q17" s="4">
        <v>-0.83333333333333348</v>
      </c>
      <c r="S17" s="3">
        <f t="array" ref="S17:T18">[1]!Extract2Cov(A3:D25,S16,T16)</f>
        <v>1.6666666666666665</v>
      </c>
      <c r="T17" s="4">
        <v>3</v>
      </c>
      <c r="V17" s="10">
        <f t="array" ref="V17">MMULT(C11:D11-$Y$17:$Z$17,MMULT($Y$13:$Z$14,TRANSPOSE(C11:D11-$Y$17:$Z$17)))</f>
        <v>1.1601189554907312</v>
      </c>
      <c r="W17" s="11">
        <f t="shared" si="0"/>
        <v>0.55986506606325404</v>
      </c>
      <c r="X17" s="12" t="str">
        <f t="shared" si="1"/>
        <v/>
      </c>
      <c r="Y17" s="8">
        <f>AVERAGE(C3:C25)</f>
        <v>5</v>
      </c>
      <c r="Z17" s="9">
        <f>AVERAGE(D3:D25)</f>
        <v>5.1304347826086953</v>
      </c>
    </row>
    <row r="18" spans="1:26" x14ac:dyDescent="0.25">
      <c r="A18" t="s">
        <v>5</v>
      </c>
      <c r="B18" t="s">
        <v>6</v>
      </c>
      <c r="C18">
        <v>5</v>
      </c>
      <c r="D18">
        <v>8</v>
      </c>
      <c r="H18" s="2" t="s">
        <v>20</v>
      </c>
      <c r="I18" s="2">
        <f>[1]!MANOVA2_RoyCol(A3:D25)</f>
        <v>0.70448533042452244</v>
      </c>
      <c r="J18" s="2"/>
      <c r="K18" s="2"/>
      <c r="L18" s="2"/>
      <c r="M18" s="2"/>
      <c r="N18" s="2"/>
      <c r="P18" s="5">
        <v>-0.83333333333333348</v>
      </c>
      <c r="Q18" s="6">
        <v>14.011473429951685</v>
      </c>
      <c r="S18" s="5">
        <v>3</v>
      </c>
      <c r="T18" s="6">
        <v>7</v>
      </c>
      <c r="V18" s="10">
        <f t="array" ref="V18">MMULT(C12:D12-$Y$17:$Z$17,MMULT($Y$13:$Z$14,TRANSPOSE(C12:D12-$Y$17:$Z$17)))</f>
        <v>7.4594026988964552</v>
      </c>
      <c r="W18" s="11">
        <f t="shared" si="0"/>
        <v>2.4000002380463251E-2</v>
      </c>
      <c r="X18" s="12" t="str">
        <f t="shared" si="1"/>
        <v/>
      </c>
    </row>
    <row r="19" spans="1:26" ht="15.75" thickBot="1" x14ac:dyDescent="0.3">
      <c r="A19" t="s">
        <v>5</v>
      </c>
      <c r="B19" t="s">
        <v>6</v>
      </c>
      <c r="C19">
        <v>4</v>
      </c>
      <c r="D19">
        <v>5</v>
      </c>
      <c r="V19" s="10">
        <f t="array" ref="V19">MMULT(C13:D13-$Y$17:$Z$17,MMULT($Y$13:$Z$14,TRANSPOSE(C13:D13-$Y$17:$Z$17)))</f>
        <v>2.0015751056234508</v>
      </c>
      <c r="W19" s="11">
        <f t="shared" si="0"/>
        <v>0.3675898307398956</v>
      </c>
      <c r="X19" s="12" t="str">
        <f t="shared" si="1"/>
        <v/>
      </c>
    </row>
    <row r="20" spans="1:26" ht="15.75" thickTop="1" x14ac:dyDescent="0.25">
      <c r="A20" t="s">
        <v>5</v>
      </c>
      <c r="B20" t="s">
        <v>7</v>
      </c>
      <c r="C20">
        <v>9</v>
      </c>
      <c r="D20">
        <v>6</v>
      </c>
      <c r="H20" s="1" t="s">
        <v>22</v>
      </c>
      <c r="I20" s="1" t="s">
        <v>11</v>
      </c>
      <c r="J20" s="1" t="s">
        <v>12</v>
      </c>
      <c r="K20" s="1" t="s">
        <v>13</v>
      </c>
      <c r="L20" s="1" t="s">
        <v>14</v>
      </c>
      <c r="M20" s="1" t="s">
        <v>15</v>
      </c>
      <c r="N20" s="1" t="s">
        <v>16</v>
      </c>
      <c r="P20" t="s">
        <v>27</v>
      </c>
      <c r="S20" t="s">
        <v>4</v>
      </c>
      <c r="T20" t="s">
        <v>7</v>
      </c>
      <c r="V20" s="10">
        <f t="array" ref="V20">MMULT(C14:D14-$Y$17:$Z$17,MMULT($Y$13:$Z$14,TRANSPOSE(C14:D14-$Y$17:$Z$17)))</f>
        <v>1.1789903867172309</v>
      </c>
      <c r="W20" s="11">
        <f t="shared" si="0"/>
        <v>0.55460718347076832</v>
      </c>
      <c r="X20" s="12" t="str">
        <f t="shared" si="1"/>
        <v/>
      </c>
    </row>
    <row r="21" spans="1:26" x14ac:dyDescent="0.25">
      <c r="A21" t="s">
        <v>5</v>
      </c>
      <c r="B21" t="s">
        <v>7</v>
      </c>
      <c r="C21">
        <v>6</v>
      </c>
      <c r="D21">
        <v>9</v>
      </c>
      <c r="H21" t="s">
        <v>17</v>
      </c>
      <c r="I21">
        <f t="array" ref="I21:N21">TRANSPOSE([1]!MANOVA2_PillaiInt(A3:D25))</f>
        <v>0.3192095484423958</v>
      </c>
      <c r="J21">
        <v>4</v>
      </c>
      <c r="K21">
        <v>34</v>
      </c>
      <c r="L21">
        <v>1.6142887765967144</v>
      </c>
      <c r="M21">
        <v>0.19318732794835136</v>
      </c>
      <c r="N21">
        <v>0.1596047742211979</v>
      </c>
      <c r="P21" s="3">
        <f t="array" ref="P21:Q22">P9:Q10-P13:Q14-P17:Q18-P25:Q26</f>
        <v>24.875641025641048</v>
      </c>
      <c r="Q21" s="4">
        <v>24.175641025641035</v>
      </c>
      <c r="S21" s="3">
        <f t="array" ref="S21:T22">[1]!Extract2Cov(A3:D25,S20,T20)</f>
        <v>1.6666666666666665</v>
      </c>
      <c r="T21" s="4">
        <v>-0.5</v>
      </c>
      <c r="V21" s="10">
        <f t="array" ref="V21">MMULT(C15:D15-$Y$17:$Z$17,MMULT($Y$13:$Z$14,TRANSPOSE(C15:D15-$Y$17:$Z$17)))</f>
        <v>1.1353764123270973</v>
      </c>
      <c r="W21" s="11">
        <f t="shared" si="0"/>
        <v>0.56683432928273536</v>
      </c>
      <c r="X21" s="12" t="str">
        <f t="shared" si="1"/>
        <v/>
      </c>
    </row>
    <row r="22" spans="1:26" x14ac:dyDescent="0.25">
      <c r="A22" t="s">
        <v>5</v>
      </c>
      <c r="B22" t="s">
        <v>7</v>
      </c>
      <c r="C22">
        <v>7</v>
      </c>
      <c r="D22">
        <v>9</v>
      </c>
      <c r="H22" t="s">
        <v>18</v>
      </c>
      <c r="I22">
        <f t="array" ref="I22:N22">TRANSPOSE([1]!MANOVA2_WilksInt(A3:D25))</f>
        <v>0.82722149690703595</v>
      </c>
      <c r="J22">
        <v>4</v>
      </c>
      <c r="K22">
        <v>32</v>
      </c>
      <c r="L22">
        <v>1.6709285601399799</v>
      </c>
      <c r="M22">
        <v>0.18098860004185713</v>
      </c>
      <c r="N22">
        <v>0.17277850309296405</v>
      </c>
      <c r="P22" s="5">
        <v>24.175641025641035</v>
      </c>
      <c r="Q22" s="6">
        <v>24.780834262355953</v>
      </c>
      <c r="S22" s="5">
        <v>-0.5</v>
      </c>
      <c r="T22" s="6">
        <v>0.91666666666666663</v>
      </c>
      <c r="V22" s="10">
        <f t="array" ref="V22">MMULT(C16:D16-$Y$17:$Z$17,MMULT($Y$13:$Z$14,TRANSPOSE(C16:D16-$Y$17:$Z$17)))</f>
        <v>1.9885747863340832</v>
      </c>
      <c r="W22" s="11">
        <f t="shared" si="0"/>
        <v>0.36998700589360206</v>
      </c>
      <c r="X22" s="12" t="str">
        <f t="shared" si="1"/>
        <v/>
      </c>
    </row>
    <row r="23" spans="1:26" x14ac:dyDescent="0.25">
      <c r="A23" t="s">
        <v>5</v>
      </c>
      <c r="B23" t="s">
        <v>7</v>
      </c>
      <c r="C23">
        <v>8</v>
      </c>
      <c r="D23">
        <v>8</v>
      </c>
      <c r="H23" t="s">
        <v>19</v>
      </c>
      <c r="I23">
        <f t="array" ref="I23:N23">TRANSPOSE([1]!MANOVA2_HotelInt(A3:D25))</f>
        <v>0.45623518645782646</v>
      </c>
      <c r="J23">
        <v>4</v>
      </c>
      <c r="K23">
        <v>30</v>
      </c>
      <c r="L23">
        <v>1.7108819492168492</v>
      </c>
      <c r="M23">
        <v>0.17362115423836622</v>
      </c>
      <c r="N23">
        <v>0.18574572539845829</v>
      </c>
      <c r="V23" s="10">
        <f t="array" ref="V23">MMULT(C17:D17-$Y$17:$Z$17,MMULT($Y$13:$Z$14,TRANSPOSE(C17:D17-$Y$17:$Z$17)))</f>
        <v>2.0317693955858509</v>
      </c>
      <c r="W23" s="11">
        <f t="shared" si="0"/>
        <v>0.36208195498526441</v>
      </c>
      <c r="X23" s="12" t="str">
        <f t="shared" si="1"/>
        <v/>
      </c>
    </row>
    <row r="24" spans="1:26" x14ac:dyDescent="0.25">
      <c r="A24" t="s">
        <v>5</v>
      </c>
      <c r="B24" t="s">
        <v>8</v>
      </c>
      <c r="C24">
        <v>8</v>
      </c>
      <c r="D24">
        <v>7</v>
      </c>
      <c r="H24" s="2" t="s">
        <v>20</v>
      </c>
      <c r="I24" s="2">
        <f>[1]!MANOVA2_RoyInt(A3:D25)</f>
        <v>0.44471779534984679</v>
      </c>
      <c r="J24" s="2"/>
      <c r="K24" s="2"/>
      <c r="L24" s="2"/>
      <c r="M24" s="2"/>
      <c r="N24" s="2"/>
      <c r="P24" t="s">
        <v>28</v>
      </c>
      <c r="S24" t="s">
        <v>4</v>
      </c>
      <c r="T24" t="s">
        <v>8</v>
      </c>
      <c r="V24" s="10">
        <f t="array" ref="V24">MMULT(C18:D18-$Y$17:$Z$17,MMULT($Y$13:$Z$14,TRANSPOSE(C18:D18-$Y$17:$Z$17)))</f>
        <v>2.1047389296616523</v>
      </c>
      <c r="W24" s="11">
        <f t="shared" si="0"/>
        <v>0.34910956548512262</v>
      </c>
      <c r="X24" s="12" t="str">
        <f t="shared" si="1"/>
        <v/>
      </c>
    </row>
    <row r="25" spans="1:26" x14ac:dyDescent="0.25">
      <c r="A25" t="s">
        <v>5</v>
      </c>
      <c r="B25" t="s">
        <v>8</v>
      </c>
      <c r="C25">
        <v>9</v>
      </c>
      <c r="D25">
        <v>7</v>
      </c>
      <c r="P25" s="3">
        <f t="array" ref="P25:Q26">[1]!MANOVA2_Res(A3:D25)</f>
        <v>31.05</v>
      </c>
      <c r="Q25" s="4">
        <v>2.95</v>
      </c>
      <c r="S25" s="3">
        <f t="array" ref="S25:T26">[1]!Extract2Cov(A3:D25,S24,T24)</f>
        <v>4.25</v>
      </c>
      <c r="T25" s="4">
        <v>0.41666666666666663</v>
      </c>
      <c r="V25" s="10">
        <f t="array" ref="V25">MMULT(C19:D19-$Y$17:$Z$17,MMULT($Y$13:$Z$14,TRANSPOSE(C19:D19-$Y$17:$Z$17)))</f>
        <v>0.23898342906834436</v>
      </c>
      <c r="W25" s="11">
        <f t="shared" si="0"/>
        <v>0.88737136007367257</v>
      </c>
      <c r="X25" s="12" t="str">
        <f t="shared" si="1"/>
        <v/>
      </c>
    </row>
    <row r="26" spans="1:26" x14ac:dyDescent="0.25">
      <c r="A26" t="s">
        <v>5</v>
      </c>
      <c r="B26" t="s">
        <v>8</v>
      </c>
      <c r="C26">
        <v>3</v>
      </c>
      <c r="D26">
        <v>3</v>
      </c>
      <c r="P26" s="5">
        <v>2.95</v>
      </c>
      <c r="Q26" s="6">
        <v>43.3</v>
      </c>
      <c r="S26" s="5">
        <v>0.41666666666666663</v>
      </c>
      <c r="T26" s="6">
        <v>2.9166666666666665</v>
      </c>
      <c r="V26" s="10">
        <f t="array" ref="V26">MMULT(C20:D20-$Y$17:$Z$17,MMULT($Y$13:$Z$14,TRANSPOSE(C20:D20-$Y$17:$Z$17)))</f>
        <v>3.6052273947375886</v>
      </c>
      <c r="W26" s="11">
        <f t="shared" si="0"/>
        <v>0.1648674110733539</v>
      </c>
      <c r="X26" s="12" t="str">
        <f t="shared" si="1"/>
        <v/>
      </c>
    </row>
    <row r="27" spans="1:26" x14ac:dyDescent="0.25">
      <c r="A27" t="s">
        <v>5</v>
      </c>
      <c r="B27" t="s">
        <v>8</v>
      </c>
      <c r="C27">
        <v>5</v>
      </c>
      <c r="D27">
        <v>2</v>
      </c>
      <c r="V27" s="10">
        <f t="array" ref="V27">MMULT(C21:D21-$Y$17:$Z$17,MMULT($Y$13:$Z$14,TRANSPOSE(C21:D21-$Y$17:$Z$17)))</f>
        <v>3.1422482819807898</v>
      </c>
      <c r="W27" s="11">
        <f t="shared" si="0"/>
        <v>0.20781144164305232</v>
      </c>
      <c r="X27" s="12" t="str">
        <f t="shared" si="1"/>
        <v/>
      </c>
    </row>
    <row r="28" spans="1:26" x14ac:dyDescent="0.25">
      <c r="S28" t="s">
        <v>4</v>
      </c>
      <c r="T28" t="s">
        <v>6</v>
      </c>
      <c r="V28" s="10">
        <f t="array" ref="V28">MMULT(C22:D22-$Y$17:$Z$17,MMULT($Y$13:$Z$14,TRANSPOSE(C22:D22-$Y$17:$Z$17)))</f>
        <v>2.9906477844612382</v>
      </c>
      <c r="W28" s="11">
        <f t="shared" si="0"/>
        <v>0.22417598411099801</v>
      </c>
      <c r="X28" s="12" t="str">
        <f t="shared" si="1"/>
        <v/>
      </c>
    </row>
    <row r="29" spans="1:26" x14ac:dyDescent="0.25">
      <c r="S29" s="3">
        <f t="array" ref="S29:T30">[1]!Extract2Cov(A3:D25,S28,T28)</f>
        <v>0.7</v>
      </c>
      <c r="T29" s="4">
        <v>-0.19999999999999996</v>
      </c>
      <c r="V29" s="10">
        <f t="array" ref="V29">MMULT(C23:D23-$Y$17:$Z$17,MMULT($Y$13:$Z$14,TRANSPOSE(C23:D23-$Y$17:$Z$17)))</f>
        <v>2.3878103980591519</v>
      </c>
      <c r="W29" s="11">
        <f t="shared" si="0"/>
        <v>0.3030355362399928</v>
      </c>
      <c r="X29" s="12" t="str">
        <f t="shared" si="1"/>
        <v/>
      </c>
    </row>
    <row r="30" spans="1:26" x14ac:dyDescent="0.25">
      <c r="S30" s="5">
        <v>-0.19999999999999996</v>
      </c>
      <c r="T30" s="6">
        <v>1.2</v>
      </c>
      <c r="V30" s="10">
        <f t="array" ref="V30">MMULT(C24:D24-$Y$17:$Z$17,MMULT($Y$13:$Z$14,TRANSPOSE(C24:D24-$Y$17:$Z$17)))</f>
        <v>1.9143471568431831</v>
      </c>
      <c r="W30" s="11">
        <f t="shared" si="0"/>
        <v>0.38397663353251804</v>
      </c>
      <c r="X30" s="12" t="str">
        <f t="shared" si="1"/>
        <v/>
      </c>
    </row>
    <row r="31" spans="1:26" x14ac:dyDescent="0.25">
      <c r="V31" s="5">
        <f t="array" ref="V31">MMULT(C25:D25-$Y$17:$Z$17,MMULT($Y$13:$Z$14,TRANSPOSE(C25:D25-$Y$17:$Z$17)))</f>
        <v>3.3215268786325378</v>
      </c>
      <c r="W31" s="6">
        <f t="shared" si="0"/>
        <v>0.18999387592472022</v>
      </c>
      <c r="X31" s="12" t="str">
        <f t="shared" si="1"/>
        <v/>
      </c>
    </row>
    <row r="32" spans="1:26" x14ac:dyDescent="0.25">
      <c r="S32" t="s">
        <v>30</v>
      </c>
    </row>
    <row r="33" spans="19:20" x14ac:dyDescent="0.25">
      <c r="S33" s="3">
        <f t="array" ref="S33:T34">[1]!COV2Pooled(A3:D25)</f>
        <v>1.8264705882352941</v>
      </c>
      <c r="T33" s="4">
        <v>0.1735294117647059</v>
      </c>
    </row>
    <row r="34" spans="19:20" x14ac:dyDescent="0.25">
      <c r="S34" s="5">
        <v>0.1735294117647059</v>
      </c>
      <c r="T34" s="6">
        <v>2.5470588235294116</v>
      </c>
    </row>
    <row r="36" spans="19:20" x14ac:dyDescent="0.25">
      <c r="S36" t="s">
        <v>31</v>
      </c>
    </row>
    <row r="37" spans="19:20" x14ac:dyDescent="0.25">
      <c r="S37" s="3">
        <f t="array" ref="S37:T38">[1]!CORR(C3:D25)</f>
        <v>0.99999999999999978</v>
      </c>
      <c r="T37" s="4">
        <v>0.47100184461321326</v>
      </c>
    </row>
    <row r="38" spans="19:20" x14ac:dyDescent="0.25">
      <c r="S38" s="5">
        <v>0.47100184461321326</v>
      </c>
      <c r="T3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2020-01-19T06:21:41Z</dcterms:created>
  <dcterms:modified xsi:type="dcterms:W3CDTF">2020-01-19T06:33:45Z</dcterms:modified>
</cp:coreProperties>
</file>