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azmatmun_msu_edu/Documents/CMSE/Midi_Lab/CardioVasc/Virtual_Trial_QFFR/Analytical Model/"/>
    </mc:Choice>
  </mc:AlternateContent>
  <xr:revisionPtr revIDLastSave="132" documentId="13_ncr:1_{85A3939B-B0E0-4C49-8123-0F71E03F8673}" xr6:coauthVersionLast="47" xr6:coauthVersionMax="47" xr10:uidLastSave="{0093D315-191B-4522-8999-A2D87A827486}"/>
  <bookViews>
    <workbookView xWindow="-110" yWindow="-110" windowWidth="19420" windowHeight="10420" activeTab="1" xr2:uid="{00000000-000D-0000-FFFF-FFFF00000000}"/>
  </bookViews>
  <sheets>
    <sheet name="DOE" sheetId="1" r:id="rId1"/>
    <sheet name="G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J26" i="1"/>
  <c r="H59" i="3"/>
  <c r="H57" i="3"/>
  <c r="E59" i="3"/>
  <c r="E57" i="3"/>
  <c r="B59" i="3"/>
  <c r="B57" i="3"/>
  <c r="H49" i="3"/>
  <c r="H47" i="3"/>
  <c r="E49" i="3"/>
  <c r="E47" i="3"/>
  <c r="B49" i="3"/>
  <c r="B47" i="3"/>
  <c r="H39" i="3"/>
  <c r="H37" i="3"/>
  <c r="E39" i="3"/>
  <c r="E37" i="3"/>
  <c r="B39" i="3"/>
  <c r="B37" i="3"/>
  <c r="M3" i="1" l="1"/>
  <c r="H4" i="2"/>
  <c r="D61" i="2" l="1"/>
  <c r="E28" i="3" l="1"/>
  <c r="E23" i="3"/>
  <c r="E18" i="3"/>
  <c r="H28" i="3"/>
  <c r="H23" i="3"/>
  <c r="H18" i="3"/>
  <c r="B28" i="3"/>
  <c r="B23" i="3"/>
  <c r="B18" i="3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O24" i="2"/>
  <c r="O23" i="2"/>
  <c r="O22" i="2"/>
  <c r="O21" i="2"/>
  <c r="O20" i="2"/>
  <c r="O19" i="2"/>
  <c r="H63" i="2" l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8" i="2"/>
  <c r="H29" i="2"/>
  <c r="H26" i="2"/>
  <c r="H27" i="2"/>
  <c r="H25" i="2"/>
  <c r="H23" i="2"/>
  <c r="H24" i="2"/>
  <c r="H22" i="2"/>
  <c r="H20" i="2"/>
  <c r="H21" i="2"/>
  <c r="H19" i="2"/>
  <c r="H17" i="2"/>
  <c r="H18" i="2"/>
  <c r="H16" i="2"/>
  <c r="H14" i="2"/>
  <c r="H15" i="2"/>
  <c r="H13" i="2"/>
  <c r="H11" i="2"/>
  <c r="H12" i="2"/>
  <c r="H10" i="2"/>
  <c r="H8" i="2"/>
  <c r="H9" i="2"/>
  <c r="H7" i="2"/>
  <c r="H5" i="2"/>
  <c r="H6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O30" i="2"/>
  <c r="O29" i="2"/>
  <c r="O28" i="2"/>
  <c r="O36" i="2"/>
  <c r="O35" i="2"/>
  <c r="O34" i="2"/>
  <c r="O57" i="2"/>
  <c r="O56" i="2"/>
  <c r="O55" i="2"/>
  <c r="O54" i="2"/>
  <c r="O53" i="2"/>
  <c r="O52" i="2"/>
  <c r="I29" i="1"/>
  <c r="I26" i="1"/>
  <c r="D62" i="2"/>
  <c r="D63" i="2"/>
  <c r="O60" i="2"/>
  <c r="O59" i="2"/>
  <c r="O58" i="2"/>
  <c r="O39" i="2"/>
  <c r="O38" i="2"/>
  <c r="O37" i="2"/>
  <c r="O48" i="2"/>
  <c r="O47" i="2"/>
  <c r="O46" i="2"/>
  <c r="O51" i="2"/>
  <c r="O50" i="2"/>
  <c r="O49" i="2"/>
  <c r="O45" i="2"/>
  <c r="O44" i="2"/>
  <c r="O43" i="2"/>
  <c r="O31" i="2"/>
  <c r="O32" i="2"/>
  <c r="O33" i="2"/>
  <c r="I22" i="1"/>
  <c r="J22" i="1" s="1"/>
  <c r="I21" i="1"/>
  <c r="I20" i="1"/>
  <c r="J20" i="1" s="1"/>
  <c r="I19" i="1"/>
  <c r="J19" i="1" s="1"/>
  <c r="E20" i="1"/>
  <c r="F20" i="1" s="1"/>
  <c r="H20" i="1" s="1"/>
  <c r="G20" i="1" s="1"/>
  <c r="E21" i="1"/>
  <c r="F21" i="1" s="1"/>
  <c r="H21" i="1" s="1"/>
  <c r="G21" i="1" s="1"/>
  <c r="E22" i="1"/>
  <c r="F22" i="1" s="1"/>
  <c r="H22" i="1" s="1"/>
  <c r="G22" i="1" s="1"/>
  <c r="E19" i="1"/>
  <c r="F19" i="1" s="1"/>
  <c r="H19" i="1" s="1"/>
  <c r="G19" i="1" s="1"/>
  <c r="E53" i="2" s="1"/>
  <c r="E40" i="1"/>
  <c r="I63" i="2"/>
  <c r="I62" i="2"/>
  <c r="F62" i="2"/>
  <c r="I61" i="2"/>
  <c r="F61" i="2"/>
  <c r="I60" i="2"/>
  <c r="D60" i="2"/>
  <c r="I59" i="2"/>
  <c r="F59" i="2"/>
  <c r="D59" i="2"/>
  <c r="I58" i="2"/>
  <c r="F58" i="2"/>
  <c r="D58" i="2"/>
  <c r="I57" i="2"/>
  <c r="D57" i="2"/>
  <c r="I56" i="2"/>
  <c r="F56" i="2"/>
  <c r="D56" i="2"/>
  <c r="I55" i="2"/>
  <c r="F55" i="2"/>
  <c r="D55" i="2"/>
  <c r="I54" i="2"/>
  <c r="D54" i="2"/>
  <c r="I53" i="2"/>
  <c r="F53" i="2"/>
  <c r="D53" i="2"/>
  <c r="I52" i="2"/>
  <c r="F52" i="2"/>
  <c r="D52" i="2"/>
  <c r="J21" i="1"/>
  <c r="O42" i="2"/>
  <c r="O41" i="2"/>
  <c r="O40" i="2"/>
  <c r="O18" i="2"/>
  <c r="O17" i="2"/>
  <c r="O16" i="2"/>
  <c r="O27" i="2"/>
  <c r="O26" i="2"/>
  <c r="O25" i="2"/>
  <c r="E52" i="2" l="1"/>
  <c r="E60" i="2"/>
  <c r="E63" i="2"/>
  <c r="E62" i="2"/>
  <c r="E61" i="2"/>
  <c r="E59" i="2"/>
  <c r="E58" i="2"/>
  <c r="E57" i="2"/>
  <c r="E56" i="2"/>
  <c r="E55" i="2"/>
  <c r="E54" i="2"/>
  <c r="L26" i="1"/>
  <c r="O15" i="2"/>
  <c r="O14" i="2"/>
  <c r="O13" i="2"/>
  <c r="O12" i="2"/>
  <c r="O11" i="2"/>
  <c r="O10" i="2"/>
  <c r="I4" i="2"/>
  <c r="I5" i="2"/>
  <c r="I6" i="2"/>
  <c r="O7" i="2"/>
  <c r="O9" i="2"/>
  <c r="O8" i="2"/>
  <c r="O6" i="2"/>
  <c r="O5" i="2"/>
  <c r="O4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65" i="2"/>
  <c r="K65" i="2" s="1"/>
  <c r="M62" i="2" l="1"/>
  <c r="N62" i="2" s="1"/>
  <c r="M60" i="2"/>
  <c r="N60" i="2" s="1"/>
  <c r="M58" i="2"/>
  <c r="N58" i="2" s="1"/>
  <c r="M56" i="2"/>
  <c r="N56" i="2" s="1"/>
  <c r="M54" i="2"/>
  <c r="N54" i="2" s="1"/>
  <c r="M52" i="2"/>
  <c r="N52" i="2" s="1"/>
  <c r="M53" i="2"/>
  <c r="N53" i="2" s="1"/>
  <c r="M63" i="2"/>
  <c r="N63" i="2" s="1"/>
  <c r="M61" i="2"/>
  <c r="N61" i="2" s="1"/>
  <c r="M59" i="2"/>
  <c r="N59" i="2" s="1"/>
  <c r="M57" i="2"/>
  <c r="N57" i="2" s="1"/>
  <c r="M55" i="2"/>
  <c r="N55" i="2" s="1"/>
  <c r="M14" i="2"/>
  <c r="N14" i="2" s="1"/>
  <c r="M26" i="2"/>
  <c r="N26" i="2" s="1"/>
  <c r="M38" i="2"/>
  <c r="N38" i="2" s="1"/>
  <c r="M50" i="2"/>
  <c r="N50" i="2" s="1"/>
  <c r="M34" i="2"/>
  <c r="N34" i="2" s="1"/>
  <c r="M24" i="2"/>
  <c r="N24" i="2" s="1"/>
  <c r="M15" i="2"/>
  <c r="N15" i="2" s="1"/>
  <c r="M27" i="2"/>
  <c r="N27" i="2" s="1"/>
  <c r="M39" i="2"/>
  <c r="N39" i="2" s="1"/>
  <c r="M51" i="2"/>
  <c r="N51" i="2" s="1"/>
  <c r="M23" i="2"/>
  <c r="N23" i="2" s="1"/>
  <c r="M48" i="2"/>
  <c r="N48" i="2" s="1"/>
  <c r="M16" i="2"/>
  <c r="N16" i="2" s="1"/>
  <c r="M28" i="2"/>
  <c r="N28" i="2" s="1"/>
  <c r="M40" i="2"/>
  <c r="N40" i="2" s="1"/>
  <c r="M4" i="2"/>
  <c r="N4" i="2" s="1"/>
  <c r="M35" i="2"/>
  <c r="N35" i="2" s="1"/>
  <c r="M5" i="2"/>
  <c r="N5" i="2" s="1"/>
  <c r="M17" i="2"/>
  <c r="N17" i="2" s="1"/>
  <c r="M29" i="2"/>
  <c r="N29" i="2" s="1"/>
  <c r="M41" i="2"/>
  <c r="N41" i="2" s="1"/>
  <c r="M47" i="2"/>
  <c r="N47" i="2" s="1"/>
  <c r="M6" i="2"/>
  <c r="N6" i="2" s="1"/>
  <c r="M18" i="2"/>
  <c r="N18" i="2" s="1"/>
  <c r="M30" i="2"/>
  <c r="N30" i="2" s="1"/>
  <c r="M42" i="2"/>
  <c r="N42" i="2" s="1"/>
  <c r="M7" i="2"/>
  <c r="N7" i="2" s="1"/>
  <c r="M19" i="2"/>
  <c r="N19" i="2" s="1"/>
  <c r="M31" i="2"/>
  <c r="N31" i="2" s="1"/>
  <c r="M43" i="2"/>
  <c r="N43" i="2" s="1"/>
  <c r="M36" i="2"/>
  <c r="N36" i="2" s="1"/>
  <c r="M8" i="2"/>
  <c r="N8" i="2" s="1"/>
  <c r="M20" i="2"/>
  <c r="N20" i="2" s="1"/>
  <c r="M32" i="2"/>
  <c r="N32" i="2" s="1"/>
  <c r="M44" i="2"/>
  <c r="N44" i="2" s="1"/>
  <c r="M12" i="2"/>
  <c r="N12" i="2" s="1"/>
  <c r="M9" i="2"/>
  <c r="N9" i="2" s="1"/>
  <c r="M21" i="2"/>
  <c r="N21" i="2" s="1"/>
  <c r="M33" i="2"/>
  <c r="N33" i="2" s="1"/>
  <c r="M45" i="2"/>
  <c r="N45" i="2" s="1"/>
  <c r="M10" i="2"/>
  <c r="N10" i="2" s="1"/>
  <c r="M22" i="2"/>
  <c r="N22" i="2" s="1"/>
  <c r="M46" i="2"/>
  <c r="N46" i="2" s="1"/>
  <c r="M11" i="2"/>
  <c r="N11" i="2" s="1"/>
  <c r="M13" i="2"/>
  <c r="N13" i="2" s="1"/>
  <c r="M25" i="2"/>
  <c r="N25" i="2" s="1"/>
  <c r="M37" i="2"/>
  <c r="N37" i="2" s="1"/>
  <c r="M49" i="2"/>
  <c r="N49" i="2" s="1"/>
  <c r="G29" i="1"/>
  <c r="K29" i="1" s="1"/>
  <c r="G28" i="1"/>
  <c r="I28" i="1" s="1"/>
  <c r="K28" i="1" s="1"/>
  <c r="G27" i="1"/>
  <c r="I27" i="1" s="1"/>
  <c r="K27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I5" i="1"/>
  <c r="I4" i="1"/>
  <c r="I3" i="1"/>
  <c r="C29" i="1"/>
  <c r="F18" i="1"/>
  <c r="H18" i="1" s="1"/>
  <c r="G18" i="1" s="1"/>
  <c r="F17" i="1"/>
  <c r="H17" i="1" s="1"/>
  <c r="G17" i="1" s="1"/>
  <c r="F16" i="1"/>
  <c r="H16" i="1" s="1"/>
  <c r="G16" i="1" s="1"/>
  <c r="F15" i="1"/>
  <c r="H15" i="1" s="1"/>
  <c r="G15" i="1" s="1"/>
  <c r="F14" i="1"/>
  <c r="H14" i="1" s="1"/>
  <c r="G14" i="1" s="1"/>
  <c r="F13" i="1"/>
  <c r="H13" i="1" s="1"/>
  <c r="G13" i="1" s="1"/>
  <c r="F12" i="1"/>
  <c r="H12" i="1" s="1"/>
  <c r="G12" i="1" s="1"/>
  <c r="F11" i="1"/>
  <c r="H11" i="1" s="1"/>
  <c r="G11" i="1" s="1"/>
  <c r="F10" i="1"/>
  <c r="H10" i="1" s="1"/>
  <c r="G10" i="1" s="1"/>
  <c r="F9" i="1"/>
  <c r="H9" i="1" s="1"/>
  <c r="G9" i="1" s="1"/>
  <c r="F8" i="1"/>
  <c r="H8" i="1" s="1"/>
  <c r="G8" i="1" s="1"/>
  <c r="F7" i="1"/>
  <c r="H7" i="1" s="1"/>
  <c r="G7" i="1" s="1"/>
  <c r="F6" i="1"/>
  <c r="H6" i="1" s="1"/>
  <c r="G6" i="1" s="1"/>
  <c r="F5" i="1"/>
  <c r="H5" i="1" s="1"/>
  <c r="G5" i="1" s="1"/>
  <c r="F4" i="1"/>
  <c r="H4" i="1" s="1"/>
  <c r="G4" i="1" s="1"/>
  <c r="F3" i="1"/>
  <c r="H3" i="1" s="1"/>
  <c r="G3" i="1" s="1"/>
  <c r="F60" i="2" l="1"/>
  <c r="F54" i="2"/>
  <c r="F63" i="2"/>
  <c r="F57" i="2"/>
  <c r="J4" i="1"/>
  <c r="D20" i="2"/>
  <c r="D19" i="2"/>
  <c r="D8" i="2"/>
  <c r="D7" i="2"/>
  <c r="D9" i="2"/>
  <c r="D45" i="2"/>
  <c r="D44" i="2"/>
  <c r="D21" i="2"/>
  <c r="D43" i="2"/>
  <c r="D33" i="2"/>
  <c r="D31" i="2"/>
  <c r="D32" i="2"/>
  <c r="J3" i="1"/>
  <c r="D17" i="2"/>
  <c r="D16" i="2"/>
  <c r="D5" i="2"/>
  <c r="D6" i="2"/>
  <c r="D4" i="2"/>
  <c r="D42" i="2"/>
  <c r="D41" i="2"/>
  <c r="D30" i="2"/>
  <c r="D18" i="2"/>
  <c r="D29" i="2"/>
  <c r="D28" i="2"/>
  <c r="J5" i="1"/>
  <c r="D23" i="2"/>
  <c r="D22" i="2"/>
  <c r="D11" i="2"/>
  <c r="D12" i="2"/>
  <c r="D10" i="2"/>
  <c r="D48" i="2"/>
  <c r="D47" i="2"/>
  <c r="D46" i="2"/>
  <c r="D36" i="2"/>
  <c r="D35" i="2"/>
  <c r="D34" i="2"/>
  <c r="D24" i="2"/>
  <c r="E12" i="2"/>
  <c r="E14" i="2"/>
  <c r="E4" i="2"/>
  <c r="E11" i="2"/>
  <c r="E13" i="2"/>
  <c r="E15" i="2"/>
  <c r="E5" i="2"/>
  <c r="E6" i="2"/>
  <c r="E7" i="2"/>
  <c r="E8" i="2"/>
  <c r="E9" i="2"/>
  <c r="E10" i="2"/>
  <c r="E36" i="2"/>
  <c r="E37" i="2"/>
  <c r="E38" i="2"/>
  <c r="E39" i="2"/>
  <c r="E28" i="2"/>
  <c r="E35" i="2"/>
  <c r="E29" i="2"/>
  <c r="E30" i="2"/>
  <c r="E31" i="2"/>
  <c r="E34" i="2"/>
  <c r="E32" i="2"/>
  <c r="E33" i="2"/>
  <c r="J6" i="1"/>
  <c r="D26" i="2"/>
  <c r="D25" i="2"/>
  <c r="D14" i="2"/>
  <c r="D15" i="2"/>
  <c r="D13" i="2"/>
  <c r="D51" i="2"/>
  <c r="D50" i="2"/>
  <c r="D37" i="2"/>
  <c r="D49" i="2"/>
  <c r="D39" i="2"/>
  <c r="D38" i="2"/>
  <c r="D27" i="2"/>
  <c r="E24" i="2"/>
  <c r="E26" i="2"/>
  <c r="E27" i="2"/>
  <c r="E16" i="2"/>
  <c r="E17" i="2"/>
  <c r="E18" i="2"/>
  <c r="E19" i="2"/>
  <c r="E23" i="2"/>
  <c r="E25" i="2"/>
  <c r="E20" i="2"/>
  <c r="E21" i="2"/>
  <c r="E22" i="2"/>
  <c r="L27" i="1"/>
  <c r="F43" i="2"/>
  <c r="F31" i="2"/>
  <c r="F19" i="2"/>
  <c r="F7" i="2"/>
  <c r="F40" i="2"/>
  <c r="F4" i="2"/>
  <c r="F28" i="2"/>
  <c r="F16" i="2"/>
  <c r="F49" i="2"/>
  <c r="F37" i="2"/>
  <c r="F25" i="2"/>
  <c r="F13" i="2"/>
  <c r="F34" i="2"/>
  <c r="F10" i="2"/>
  <c r="F46" i="2"/>
  <c r="F22" i="2"/>
  <c r="L28" i="1"/>
  <c r="F44" i="2"/>
  <c r="F32" i="2"/>
  <c r="F20" i="2"/>
  <c r="F8" i="2"/>
  <c r="F41" i="2"/>
  <c r="F29" i="2"/>
  <c r="F17" i="2"/>
  <c r="F5" i="2"/>
  <c r="F50" i="2"/>
  <c r="F38" i="2"/>
  <c r="F26" i="2"/>
  <c r="F14" i="2"/>
  <c r="F47" i="2"/>
  <c r="F35" i="2"/>
  <c r="F23" i="2"/>
  <c r="F11" i="2"/>
  <c r="L29" i="1"/>
  <c r="F42" i="2"/>
  <c r="F30" i="2"/>
  <c r="F18" i="2"/>
  <c r="F6" i="2"/>
  <c r="F51" i="2"/>
  <c r="F39" i="2"/>
  <c r="F27" i="2"/>
  <c r="F15" i="2"/>
  <c r="F48" i="2"/>
  <c r="F36" i="2"/>
  <c r="F24" i="2"/>
  <c r="F12" i="2"/>
  <c r="F45" i="2"/>
  <c r="F33" i="2"/>
  <c r="F21" i="2"/>
  <c r="F9" i="2"/>
  <c r="E48" i="2"/>
  <c r="E49" i="2"/>
  <c r="E50" i="2"/>
  <c r="E40" i="2"/>
  <c r="E51" i="2"/>
  <c r="E41" i="2"/>
  <c r="E42" i="2"/>
  <c r="E46" i="2"/>
  <c r="E43" i="2"/>
  <c r="E44" i="2"/>
  <c r="E45" i="2"/>
  <c r="E47" i="2"/>
  <c r="J27" i="1"/>
  <c r="J28" i="1"/>
  <c r="J29" i="1"/>
</calcChain>
</file>

<file path=xl/sharedStrings.xml><?xml version="1.0" encoding="utf-8"?>
<sst xmlns="http://schemas.openxmlformats.org/spreadsheetml/2006/main" count="340" uniqueCount="154">
  <si>
    <t>L0</t>
  </si>
  <si>
    <t>L1/D0</t>
  </si>
  <si>
    <t>A0/A1</t>
  </si>
  <si>
    <t>A1</t>
  </si>
  <si>
    <t>D1</t>
  </si>
  <si>
    <t>D0</t>
  </si>
  <si>
    <t>A0</t>
  </si>
  <si>
    <t>Vessel Geometry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</si>
  <si>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</si>
  <si>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</si>
  <si>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</si>
  <si>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</si>
  <si>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</si>
  <si>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</si>
  <si>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</si>
  <si>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</si>
  <si>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</si>
  <si>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</si>
  <si>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</si>
  <si>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</si>
  <si>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</si>
  <si>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</si>
  <si>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</si>
  <si>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</si>
  <si>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mm</t>
  </si>
  <si>
    <t>mm^2</t>
  </si>
  <si>
    <t>R1</t>
  </si>
  <si>
    <t xml:space="preserve">R0 </t>
  </si>
  <si>
    <t>L1</t>
  </si>
  <si>
    <t>L1/2</t>
  </si>
  <si>
    <t>Q1</t>
  </si>
  <si>
    <t>Q2</t>
  </si>
  <si>
    <t>Q3</t>
  </si>
  <si>
    <t>Mass. Flow</t>
  </si>
  <si>
    <t>V_avg</t>
  </si>
  <si>
    <t>V_max</t>
  </si>
  <si>
    <t>https://academic.oup.com/bjaed/article/5/2/61/422091</t>
  </si>
  <si>
    <t>Qrest</t>
  </si>
  <si>
    <t>CFR</t>
  </si>
  <si>
    <t>m3/s</t>
  </si>
  <si>
    <t>Vol. Flow</t>
  </si>
  <si>
    <t xml:space="preserve">rho </t>
  </si>
  <si>
    <t>m/s</t>
  </si>
  <si>
    <t>kg/s</t>
  </si>
  <si>
    <t>mL/min</t>
  </si>
  <si>
    <t>Q/Qrest</t>
  </si>
  <si>
    <t>Q LAD = Q/3</t>
  </si>
  <si>
    <t xml:space="preserve">mesh element size </t>
  </si>
  <si>
    <t>1mm</t>
  </si>
  <si>
    <r>
      <t xml:space="preserve">Stenosis Geometry   </t>
    </r>
    <r>
      <rPr>
        <sz val="14"/>
        <color theme="1"/>
        <rFont val="Calibri"/>
        <family val="2"/>
        <scheme val="minor"/>
      </rPr>
      <t>(mm)</t>
    </r>
  </si>
  <si>
    <t>Pd location</t>
  </si>
  <si>
    <t>Pa location</t>
  </si>
  <si>
    <t>6cm</t>
  </si>
  <si>
    <t>8cm</t>
  </si>
  <si>
    <t>concave fil rad</t>
  </si>
  <si>
    <t>convex fill rad</t>
  </si>
  <si>
    <t>4cm</t>
  </si>
  <si>
    <t>10cm</t>
  </si>
  <si>
    <t>P_in</t>
  </si>
  <si>
    <t>Pa</t>
  </si>
  <si>
    <t>Pd</t>
  </si>
  <si>
    <t>FFR</t>
  </si>
  <si>
    <t>Dp_in</t>
  </si>
  <si>
    <t>Mdot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</si>
  <si>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</si>
  <si>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</si>
  <si>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</si>
  <si>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</si>
  <si>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</si>
  <si>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</si>
  <si>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</si>
  <si>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</si>
  <si>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</si>
  <si>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</si>
  <si>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</si>
  <si>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</si>
  <si>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</si>
  <si>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</si>
  <si>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</si>
  <si>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</si>
  <si>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</si>
  <si>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</si>
  <si>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</si>
  <si>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</si>
  <si>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</si>
  <si>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</si>
  <si>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</si>
  <si>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</si>
  <si>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</si>
  <si>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</si>
  <si>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</si>
  <si>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</si>
  <si>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</si>
  <si>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</si>
  <si>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</si>
  <si>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</si>
  <si>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</si>
  <si>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</si>
  <si>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</si>
  <si>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</si>
  <si>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</si>
  <si>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</si>
  <si>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</si>
  <si>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</si>
  <si>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</si>
  <si>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</si>
  <si>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</si>
  <si>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</si>
  <si>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</si>
  <si>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</si>
  <si>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</si>
  <si>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</si>
  <si>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 xml:space="preserve">Ground Truth  </t>
  </si>
  <si>
    <t>Pa to mmhg</t>
  </si>
  <si>
    <t>g/s</t>
  </si>
  <si>
    <t>P_in true</t>
  </si>
  <si>
    <t>M17</t>
  </si>
  <si>
    <t>M18</t>
  </si>
  <si>
    <t>M19</t>
  </si>
  <si>
    <t>M20</t>
  </si>
  <si>
    <t>P49</t>
  </si>
  <si>
    <t>P50</t>
  </si>
  <si>
    <t>P51</t>
  </si>
  <si>
    <t>P52</t>
  </si>
  <si>
    <t>P53</t>
  </si>
  <si>
    <t>P54</t>
  </si>
  <si>
    <t>P56</t>
  </si>
  <si>
    <t>P57</t>
  </si>
  <si>
    <t>P58</t>
  </si>
  <si>
    <t>P59</t>
  </si>
  <si>
    <t>P60</t>
  </si>
  <si>
    <t>P55</t>
  </si>
  <si>
    <t xml:space="preserve">6cm </t>
  </si>
  <si>
    <t xml:space="preserve">%Dstn </t>
  </si>
  <si>
    <t xml:space="preserve">%Astn </t>
  </si>
  <si>
    <t>*</t>
  </si>
  <si>
    <t>* inlet outlet swapped therefore swap Pd and Pd</t>
  </si>
  <si>
    <t>% D Stn</t>
  </si>
  <si>
    <t>Acc_Qp =</t>
  </si>
  <si>
    <t>Acc_Qn =</t>
  </si>
  <si>
    <t>Acc_D =</t>
  </si>
  <si>
    <t>RMS_Qp =</t>
  </si>
  <si>
    <t>RMS_Qn =</t>
  </si>
  <si>
    <t>RMS_D =</t>
  </si>
  <si>
    <t>Conf_Qp =</t>
  </si>
  <si>
    <t>Conf_Qn =</t>
  </si>
  <si>
    <t>Conf_D =</t>
  </si>
  <si>
    <t>n</t>
  </si>
  <si>
    <t>Sens_D=</t>
  </si>
  <si>
    <t>Spec_D=</t>
  </si>
  <si>
    <t>Sens_Qn =</t>
  </si>
  <si>
    <t>Spec_Qn=</t>
  </si>
  <si>
    <t>Sens_Qp =</t>
  </si>
  <si>
    <t>Spec_Qp=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</si>
</sst>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B3E0E9"/>
        <bgColor indexed="64"/>
      </patternFill>
    </fill>
    <fill>
      <patternFill patternType="solid">
        <fgColor rgb="FFFFC7CE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11" borderId="0" applyNumberFormat="0" applyBorder="0" applyAlignment="0" applyProtection="0"/>
  </cellStyleXfs>
  <cellXfs count="3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4" borderId="17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4" borderId="22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23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3" fillId="0" borderId="0" xfId="1" applyAlignment="1"/>
    <xf numFmtId="165" fontId="0" fillId="7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164" fontId="0" fillId="4" borderId="27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5" borderId="29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164" fontId="0" fillId="5" borderId="31" xfId="0" applyNumberFormat="1" applyFill="1" applyBorder="1" applyAlignment="1">
      <alignment horizontal="center" vertical="center"/>
    </xf>
    <xf numFmtId="164" fontId="0" fillId="5" borderId="3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35" xfId="0" applyNumberFormat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2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2" fontId="0" fillId="2" borderId="42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3" borderId="42" xfId="0" applyNumberForma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164" fontId="0" fillId="3" borderId="44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5" xfId="0" applyNumberFormat="1" applyFill="1" applyBorder="1" applyAlignment="1">
      <alignment horizontal="center" vertical="center"/>
    </xf>
    <xf numFmtId="164" fontId="0" fillId="3" borderId="45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64" fontId="0" fillId="3" borderId="31" xfId="0" applyNumberForma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164" fontId="0" fillId="3" borderId="32" xfId="0" applyNumberFormat="1" applyFill="1" applyBorder="1" applyAlignment="1">
      <alignment horizontal="center" vertical="center"/>
    </xf>
    <xf numFmtId="164" fontId="0" fillId="4" borderId="42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164" fontId="0" fillId="4" borderId="44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164" fontId="0" fillId="4" borderId="45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164" fontId="0" fillId="5" borderId="42" xfId="0" applyNumberForma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164" fontId="0" fillId="5" borderId="44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0" fillId="5" borderId="45" xfId="0" applyNumberFormat="1" applyFill="1" applyBorder="1" applyAlignment="1">
      <alignment horizontal="center" vertical="center"/>
    </xf>
    <xf numFmtId="164" fontId="0" fillId="5" borderId="45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14" xfId="0" applyNumberFormat="1" applyFill="1" applyBorder="1" applyAlignment="1">
      <alignment horizontal="center" vertical="center"/>
    </xf>
    <xf numFmtId="166" fontId="0" fillId="3" borderId="15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4" borderId="14" xfId="0" applyNumberFormat="1" applyFill="1" applyBorder="1" applyAlignment="1">
      <alignment horizontal="center" vertical="center"/>
    </xf>
    <xf numFmtId="166" fontId="0" fillId="4" borderId="15" xfId="0" applyNumberFormat="1" applyFill="1" applyBorder="1" applyAlignment="1">
      <alignment horizontal="center" vertical="center"/>
    </xf>
    <xf numFmtId="166" fontId="0" fillId="5" borderId="13" xfId="0" applyNumberFormat="1" applyFill="1" applyBorder="1" applyAlignment="1">
      <alignment horizontal="center" vertical="center"/>
    </xf>
    <xf numFmtId="166" fontId="0" fillId="5" borderId="14" xfId="0" applyNumberFormat="1" applyFill="1" applyBorder="1" applyAlignment="1">
      <alignment horizontal="center" vertical="center"/>
    </xf>
    <xf numFmtId="166" fontId="0" fillId="5" borderId="15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6" fontId="0" fillId="0" borderId="0" xfId="0" applyNumberFormat="1"/>
    <xf numFmtId="0" fontId="0" fillId="10" borderId="19" xfId="0" applyFill="1" applyBorder="1" applyAlignment="1">
      <alignment horizontal="center" vertical="center"/>
    </xf>
    <xf numFmtId="164" fontId="0" fillId="10" borderId="16" xfId="0" applyNumberFormat="1" applyFill="1" applyBorder="1" applyAlignment="1">
      <alignment horizontal="center" vertical="center"/>
    </xf>
    <xf numFmtId="166" fontId="0" fillId="10" borderId="13" xfId="0" applyNumberFormat="1" applyFill="1" applyBorder="1" applyAlignment="1">
      <alignment horizontal="center" vertical="center"/>
    </xf>
    <xf numFmtId="164" fontId="0" fillId="10" borderId="13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164" fontId="0" fillId="10" borderId="17" xfId="0" applyNumberFormat="1" applyFill="1" applyBorder="1" applyAlignment="1">
      <alignment horizontal="center" vertical="center"/>
    </xf>
    <xf numFmtId="166" fontId="0" fillId="10" borderId="14" xfId="0" applyNumberForma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horizontal="center" vertical="center"/>
    </xf>
    <xf numFmtId="164" fontId="0" fillId="10" borderId="23" xfId="0" applyNumberFormat="1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166" fontId="0" fillId="10" borderId="15" xfId="0" applyNumberFormat="1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10" borderId="24" xfId="0" applyNumberFormat="1" applyFill="1" applyBorder="1" applyAlignment="1">
      <alignment horizontal="center" vertical="center"/>
    </xf>
    <xf numFmtId="164" fontId="0" fillId="10" borderId="47" xfId="0" applyNumberFormat="1" applyFill="1" applyBorder="1" applyAlignment="1">
      <alignment horizontal="center" vertical="center"/>
    </xf>
    <xf numFmtId="164" fontId="0" fillId="10" borderId="48" xfId="0" applyNumberFormat="1" applyFill="1" applyBorder="1" applyAlignment="1">
      <alignment horizontal="center" vertical="center"/>
    </xf>
    <xf numFmtId="164" fontId="0" fillId="10" borderId="44" xfId="0" applyNumberFormat="1" applyFill="1" applyBorder="1" applyAlignment="1">
      <alignment horizontal="center" vertical="center"/>
    </xf>
    <xf numFmtId="164" fontId="0" fillId="10" borderId="49" xfId="0" applyNumberFormat="1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center" vertical="center"/>
    </xf>
    <xf numFmtId="164" fontId="0" fillId="10" borderId="50" xfId="0" applyNumberFormat="1" applyFill="1" applyBorder="1" applyAlignment="1">
      <alignment horizontal="center" vertical="center"/>
    </xf>
    <xf numFmtId="164" fontId="0" fillId="10" borderId="51" xfId="0" applyNumberForma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horizontal="center" vertical="center"/>
    </xf>
    <xf numFmtId="2" fontId="0" fillId="5" borderId="43" xfId="0" applyNumberForma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64" fontId="0" fillId="10" borderId="52" xfId="0" applyNumberFormat="1" applyFill="1" applyBorder="1" applyAlignment="1">
      <alignment horizontal="center" vertical="center"/>
    </xf>
    <xf numFmtId="164" fontId="0" fillId="10" borderId="53" xfId="0" applyNumberFormat="1" applyFill="1" applyBorder="1" applyAlignment="1">
      <alignment horizontal="center" vertical="center"/>
    </xf>
    <xf numFmtId="164" fontId="0" fillId="10" borderId="54" xfId="0" applyNumberFormat="1" applyFill="1" applyBorder="1" applyAlignment="1">
      <alignment horizontal="center" vertical="center"/>
    </xf>
    <xf numFmtId="164" fontId="0" fillId="2" borderId="55" xfId="0" applyNumberFormat="1" applyFill="1" applyBorder="1" applyAlignment="1">
      <alignment horizontal="center" vertical="center"/>
    </xf>
    <xf numFmtId="164" fontId="0" fillId="2" borderId="56" xfId="0" applyNumberFormat="1" applyFill="1" applyBorder="1" applyAlignment="1">
      <alignment horizontal="center" vertical="center"/>
    </xf>
    <xf numFmtId="164" fontId="0" fillId="2" borderId="57" xfId="0" applyNumberFormat="1" applyFill="1" applyBorder="1" applyAlignment="1">
      <alignment horizontal="center" vertical="center"/>
    </xf>
    <xf numFmtId="164" fontId="0" fillId="3" borderId="55" xfId="0" applyNumberFormat="1" applyFill="1" applyBorder="1" applyAlignment="1">
      <alignment horizontal="center" vertical="center"/>
    </xf>
    <xf numFmtId="164" fontId="0" fillId="3" borderId="56" xfId="0" applyNumberFormat="1" applyFill="1" applyBorder="1" applyAlignment="1">
      <alignment horizontal="center" vertical="center"/>
    </xf>
    <xf numFmtId="164" fontId="0" fillId="3" borderId="57" xfId="0" applyNumberFormat="1" applyFill="1" applyBorder="1" applyAlignment="1">
      <alignment horizontal="center" vertical="center"/>
    </xf>
    <xf numFmtId="164" fontId="0" fillId="4" borderId="55" xfId="0" applyNumberFormat="1" applyFill="1" applyBorder="1" applyAlignment="1">
      <alignment horizontal="center" vertical="center"/>
    </xf>
    <xf numFmtId="164" fontId="0" fillId="4" borderId="56" xfId="0" applyNumberFormat="1" applyFill="1" applyBorder="1" applyAlignment="1">
      <alignment horizontal="center" vertical="center"/>
    </xf>
    <xf numFmtId="164" fontId="0" fillId="4" borderId="57" xfId="0" applyNumberFormat="1" applyFill="1" applyBorder="1" applyAlignment="1">
      <alignment horizontal="center" vertical="center"/>
    </xf>
    <xf numFmtId="164" fontId="0" fillId="5" borderId="55" xfId="0" applyNumberFormat="1" applyFill="1" applyBorder="1" applyAlignment="1">
      <alignment horizontal="center" vertical="center"/>
    </xf>
    <xf numFmtId="164" fontId="0" fillId="5" borderId="56" xfId="0" applyNumberFormat="1" applyFill="1" applyBorder="1" applyAlignment="1">
      <alignment horizontal="center" vertical="center"/>
    </xf>
    <xf numFmtId="164" fontId="0" fillId="5" borderId="57" xfId="0" applyNumberFormat="1" applyFill="1" applyBorder="1" applyAlignment="1">
      <alignment horizontal="center" vertical="center"/>
    </xf>
    <xf numFmtId="164" fontId="0" fillId="10" borderId="55" xfId="0" applyNumberFormat="1" applyFill="1" applyBorder="1" applyAlignment="1">
      <alignment horizontal="center" vertical="center"/>
    </xf>
    <xf numFmtId="164" fontId="0" fillId="10" borderId="56" xfId="0" applyNumberFormat="1" applyFill="1" applyBorder="1" applyAlignment="1">
      <alignment horizontal="center" vertical="center"/>
    </xf>
    <xf numFmtId="164" fontId="0" fillId="10" borderId="57" xfId="0" applyNumberForma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2" borderId="48" xfId="0" applyNumberFormat="1" applyFill="1" applyBorder="1" applyAlignment="1">
      <alignment horizontal="center" vertical="center"/>
    </xf>
    <xf numFmtId="164" fontId="0" fillId="2" borderId="51" xfId="0" applyNumberFormat="1" applyFill="1" applyBorder="1" applyAlignment="1">
      <alignment horizontal="center" vertical="center"/>
    </xf>
    <xf numFmtId="164" fontId="0" fillId="2" borderId="46" xfId="0" applyNumberFormat="1" applyFill="1" applyBorder="1" applyAlignment="1">
      <alignment horizontal="center" vertical="center"/>
    </xf>
    <xf numFmtId="164" fontId="0" fillId="2" borderId="58" xfId="0" applyNumberFormat="1" applyFill="1" applyBorder="1" applyAlignment="1">
      <alignment horizontal="center" vertical="center"/>
    </xf>
    <xf numFmtId="164" fontId="0" fillId="3" borderId="48" xfId="0" applyNumberFormat="1" applyFill="1" applyBorder="1" applyAlignment="1">
      <alignment horizontal="center" vertical="center"/>
    </xf>
    <xf numFmtId="164" fontId="0" fillId="3" borderId="51" xfId="0" applyNumberFormat="1" applyFill="1" applyBorder="1" applyAlignment="1">
      <alignment horizontal="center" vertical="center"/>
    </xf>
    <xf numFmtId="164" fontId="0" fillId="4" borderId="48" xfId="0" applyNumberFormat="1" applyFill="1" applyBorder="1" applyAlignment="1">
      <alignment horizontal="center" vertical="center"/>
    </xf>
    <xf numFmtId="164" fontId="0" fillId="4" borderId="51" xfId="0" applyNumberFormat="1" applyFill="1" applyBorder="1" applyAlignment="1">
      <alignment horizontal="center" vertical="center"/>
    </xf>
    <xf numFmtId="164" fontId="0" fillId="5" borderId="48" xfId="0" applyNumberFormat="1" applyFill="1" applyBorder="1" applyAlignment="1">
      <alignment horizontal="center" vertical="center"/>
    </xf>
    <xf numFmtId="164" fontId="0" fillId="5" borderId="51" xfId="0" applyNumberFormat="1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2" borderId="60" xfId="0" applyNumberFormat="1" applyFill="1" applyBorder="1" applyAlignment="1">
      <alignment horizontal="center" vertical="center"/>
    </xf>
    <xf numFmtId="164" fontId="0" fillId="2" borderId="61" xfId="0" applyNumberFormat="1" applyFill="1" applyBorder="1" applyAlignment="1">
      <alignment horizontal="center" vertical="center"/>
    </xf>
    <xf numFmtId="164" fontId="0" fillId="2" borderId="62" xfId="0" applyNumberFormat="1" applyFill="1" applyBorder="1" applyAlignment="1">
      <alignment horizontal="center" vertical="center"/>
    </xf>
    <xf numFmtId="164" fontId="0" fillId="3" borderId="60" xfId="0" applyNumberFormat="1" applyFill="1" applyBorder="1" applyAlignment="1">
      <alignment horizontal="center" vertical="center"/>
    </xf>
    <xf numFmtId="164" fontId="0" fillId="3" borderId="61" xfId="0" applyNumberFormat="1" applyFill="1" applyBorder="1" applyAlignment="1">
      <alignment horizontal="center" vertical="center"/>
    </xf>
    <xf numFmtId="164" fontId="0" fillId="3" borderId="62" xfId="0" applyNumberFormat="1" applyFill="1" applyBorder="1" applyAlignment="1">
      <alignment horizontal="center" vertical="center"/>
    </xf>
    <xf numFmtId="164" fontId="0" fillId="4" borderId="60" xfId="0" applyNumberFormat="1" applyFill="1" applyBorder="1" applyAlignment="1">
      <alignment horizontal="center" vertical="center"/>
    </xf>
    <xf numFmtId="164" fontId="0" fillId="4" borderId="61" xfId="0" applyNumberFormat="1" applyFill="1" applyBorder="1" applyAlignment="1">
      <alignment horizontal="center" vertical="center"/>
    </xf>
    <xf numFmtId="164" fontId="0" fillId="4" borderId="62" xfId="0" applyNumberFormat="1" applyFill="1" applyBorder="1" applyAlignment="1">
      <alignment horizontal="center" vertical="center"/>
    </xf>
    <xf numFmtId="164" fontId="0" fillId="5" borderId="60" xfId="0" applyNumberFormat="1" applyFill="1" applyBorder="1" applyAlignment="1">
      <alignment horizontal="center" vertical="center"/>
    </xf>
    <xf numFmtId="164" fontId="0" fillId="5" borderId="61" xfId="0" applyNumberFormat="1" applyFill="1" applyBorder="1" applyAlignment="1">
      <alignment horizontal="center" vertical="center"/>
    </xf>
    <xf numFmtId="164" fontId="0" fillId="5" borderId="62" xfId="0" applyNumberFormat="1" applyFill="1" applyBorder="1" applyAlignment="1">
      <alignment horizontal="center" vertical="center"/>
    </xf>
    <xf numFmtId="164" fontId="0" fillId="10" borderId="60" xfId="0" applyNumberFormat="1" applyFill="1" applyBorder="1" applyAlignment="1">
      <alignment horizontal="center" vertical="center"/>
    </xf>
    <xf numFmtId="164" fontId="0" fillId="10" borderId="61" xfId="0" applyNumberFormat="1" applyFill="1" applyBorder="1" applyAlignment="1">
      <alignment horizontal="center" vertical="center"/>
    </xf>
    <xf numFmtId="164" fontId="0" fillId="10" borderId="62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64" fontId="0" fillId="2" borderId="65" xfId="0" applyNumberFormat="1" applyFill="1" applyBorder="1" applyAlignment="1">
      <alignment horizontal="center" vertical="center"/>
    </xf>
    <xf numFmtId="164" fontId="0" fillId="2" borderId="66" xfId="0" applyNumberFormat="1" applyFill="1" applyBorder="1" applyAlignment="1">
      <alignment horizontal="center" vertical="center"/>
    </xf>
    <xf numFmtId="164" fontId="0" fillId="2" borderId="67" xfId="0" applyNumberFormat="1" applyFill="1" applyBorder="1" applyAlignment="1">
      <alignment horizontal="center" vertical="center"/>
    </xf>
    <xf numFmtId="164" fontId="0" fillId="2" borderId="68" xfId="0" applyNumberFormat="1" applyFill="1" applyBorder="1" applyAlignment="1">
      <alignment horizontal="center" vertical="center"/>
    </xf>
    <xf numFmtId="164" fontId="0" fillId="2" borderId="69" xfId="0" applyNumberFormat="1" applyFill="1" applyBorder="1" applyAlignment="1">
      <alignment horizontal="center" vertical="center"/>
    </xf>
    <xf numFmtId="164" fontId="0" fillId="3" borderId="65" xfId="0" applyNumberFormat="1" applyFill="1" applyBorder="1" applyAlignment="1">
      <alignment horizontal="center" vertical="center"/>
    </xf>
    <xf numFmtId="164" fontId="0" fillId="3" borderId="66" xfId="0" applyNumberFormat="1" applyFill="1" applyBorder="1" applyAlignment="1">
      <alignment horizontal="center" vertical="center"/>
    </xf>
    <xf numFmtId="164" fontId="0" fillId="3" borderId="67" xfId="0" applyNumberFormat="1" applyFill="1" applyBorder="1" applyAlignment="1">
      <alignment horizontal="center" vertical="center"/>
    </xf>
    <xf numFmtId="164" fontId="0" fillId="4" borderId="65" xfId="0" applyNumberFormat="1" applyFill="1" applyBorder="1" applyAlignment="1">
      <alignment horizontal="center" vertical="center"/>
    </xf>
    <xf numFmtId="164" fontId="0" fillId="4" borderId="66" xfId="0" applyNumberFormat="1" applyFill="1" applyBorder="1" applyAlignment="1">
      <alignment horizontal="center" vertical="center"/>
    </xf>
    <xf numFmtId="164" fontId="0" fillId="4" borderId="67" xfId="0" applyNumberFormat="1" applyFill="1" applyBorder="1" applyAlignment="1">
      <alignment horizontal="center" vertical="center"/>
    </xf>
    <xf numFmtId="164" fontId="0" fillId="5" borderId="65" xfId="0" applyNumberFormat="1" applyFill="1" applyBorder="1" applyAlignment="1">
      <alignment horizontal="center" vertical="center"/>
    </xf>
    <xf numFmtId="164" fontId="0" fillId="5" borderId="66" xfId="0" applyNumberFormat="1" applyFill="1" applyBorder="1" applyAlignment="1">
      <alignment horizontal="center" vertical="center"/>
    </xf>
    <xf numFmtId="164" fontId="0" fillId="5" borderId="67" xfId="0" applyNumberFormat="1" applyFill="1" applyBorder="1" applyAlignment="1">
      <alignment horizontal="center" vertical="center"/>
    </xf>
    <xf numFmtId="164" fontId="0" fillId="10" borderId="65" xfId="0" applyNumberFormat="1" applyFill="1" applyBorder="1" applyAlignment="1">
      <alignment horizontal="center" vertical="center"/>
    </xf>
    <xf numFmtId="164" fontId="0" fillId="10" borderId="66" xfId="0" applyNumberFormat="1" applyFill="1" applyBorder="1" applyAlignment="1">
      <alignment horizontal="center" vertical="center"/>
    </xf>
    <xf numFmtId="164" fontId="0" fillId="10" borderId="67" xfId="0" applyNumberFormat="1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164" fontId="0" fillId="2" borderId="43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3" borderId="43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4" borderId="43" xfId="0" applyNumberFormat="1" applyFill="1" applyBorder="1" applyAlignment="1">
      <alignment horizontal="center" vertical="center"/>
    </xf>
    <xf numFmtId="164" fontId="0" fillId="4" borderId="30" xfId="0" applyNumberFormat="1" applyFill="1" applyBorder="1" applyAlignment="1">
      <alignment horizontal="center" vertical="center"/>
    </xf>
    <xf numFmtId="164" fontId="0" fillId="5" borderId="43" xfId="0" applyNumberFormat="1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164" fontId="0" fillId="10" borderId="45" xfId="0" applyNumberFormat="1" applyFill="1" applyBorder="1" applyAlignment="1">
      <alignment horizontal="center" vertical="center"/>
    </xf>
    <xf numFmtId="164" fontId="0" fillId="10" borderId="32" xfId="0" applyNumberFormat="1" applyFill="1" applyBorder="1" applyAlignment="1">
      <alignment horizontal="center" vertical="center"/>
    </xf>
    <xf numFmtId="0" fontId="0" fillId="0" borderId="73" xfId="0" applyBorder="1"/>
    <xf numFmtId="0" fontId="0" fillId="0" borderId="74" xfId="0" applyBorder="1"/>
    <xf numFmtId="0" fontId="0" fillId="0" borderId="59" xfId="0" applyBorder="1"/>
    <xf numFmtId="0" fontId="0" fillId="0" borderId="33" xfId="0" applyBorder="1"/>
    <xf numFmtId="0" fontId="0" fillId="0" borderId="0" xfId="0" applyBorder="1"/>
    <xf numFmtId="0" fontId="0" fillId="0" borderId="34" xfId="0" applyBorder="1"/>
    <xf numFmtId="0" fontId="0" fillId="0" borderId="75" xfId="0" applyBorder="1"/>
    <xf numFmtId="0" fontId="0" fillId="0" borderId="71" xfId="0" applyBorder="1"/>
    <xf numFmtId="0" fontId="0" fillId="0" borderId="72" xfId="0" applyBorder="1"/>
    <xf numFmtId="0" fontId="5" fillId="11" borderId="71" xfId="2" applyBorder="1"/>
    <xf numFmtId="0" fontId="5" fillId="11" borderId="72" xfId="2" applyBorder="1"/>
    <xf numFmtId="2" fontId="0" fillId="0" borderId="0" xfId="0" applyNumberForma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E0E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oup.com/bjaed/article/5/2/61/4220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0"/>
  <sheetViews>
    <sheetView topLeftCell="A19" workbookViewId="0">
      <selection activeCell="G3" sqref="G3"/>
    </sheetView>
  </sheetViews>
  <sheetFormatPr defaultRowHeight="14.5" x14ac:dyDescent="0.35"/>
  <cols>
    <col min="1" max="1" width="4" customWidth="1"/>
    <col min="2" max="3" width="9.81640625" customWidth="1"/>
    <col min="4" max="4" width="9.81640625" style="175" customWidth="1"/>
    <col min="5" max="12" width="9.81640625" customWidth="1"/>
    <col min="13" max="16" width="10.81640625" customWidth="1"/>
    <col min="17" max="17" width="12.81640625" customWidth="1"/>
    <col min="18" max="21" width="10.81640625" customWidth="1"/>
  </cols>
  <sheetData>
    <row r="1" spans="2:20" ht="34.75" customHeight="1" x14ac:dyDescent="0.35">
      <c r="B1" s="291" t="s">
        <v>49</v>
      </c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1"/>
      <c r="N1" s="1"/>
      <c r="R1" s="43"/>
      <c r="S1" s="1"/>
    </row>
    <row r="2" spans="2:20" ht="39" customHeight="1" x14ac:dyDescent="0.35">
      <c r="B2" s="6"/>
      <c r="C2" s="6" t="s">
        <v>1</v>
      </c>
      <c r="D2" s="160" t="s">
        <v>134</v>
      </c>
      <c r="E2" s="6" t="s">
        <v>2</v>
      </c>
      <c r="F2" s="6" t="s">
        <v>3</v>
      </c>
      <c r="G2" s="6" t="s">
        <v>4</v>
      </c>
      <c r="H2" s="6" t="s">
        <v>26</v>
      </c>
      <c r="I2" s="6" t="s">
        <v>28</v>
      </c>
      <c r="J2" s="6" t="s">
        <v>29</v>
      </c>
      <c r="K2" s="66" t="s">
        <v>51</v>
      </c>
      <c r="L2" s="66" t="s">
        <v>50</v>
      </c>
      <c r="M2" s="160" t="s">
        <v>133</v>
      </c>
      <c r="S2" s="58"/>
    </row>
    <row r="3" spans="2:20" ht="21" customHeight="1" x14ac:dyDescent="0.35">
      <c r="B3" s="31" t="s">
        <v>8</v>
      </c>
      <c r="C3" s="19">
        <v>0.5</v>
      </c>
      <c r="D3" s="161">
        <v>60.9</v>
      </c>
      <c r="E3" s="7">
        <v>2.56</v>
      </c>
      <c r="F3" s="7">
        <f>C28/E3</f>
        <v>6.4890234374999993</v>
      </c>
      <c r="G3" s="7">
        <f t="shared" ref="G3:G18" si="0">H3*2</f>
        <v>2.8743836291174323</v>
      </c>
      <c r="H3" s="7">
        <f t="shared" ref="H3:H18" si="1">SQRT(F3/PI())</f>
        <v>1.4371918145587161</v>
      </c>
      <c r="I3" s="7">
        <f>C3*C27</f>
        <v>2.2999999999999998</v>
      </c>
      <c r="J3" s="7">
        <f>I3/2</f>
        <v>1.1499999999999999</v>
      </c>
      <c r="K3" s="46" t="s">
        <v>52</v>
      </c>
      <c r="L3" s="205" t="s">
        <v>53</v>
      </c>
      <c r="M3" s="161">
        <f>(1-(G3/$C$27))*100</f>
        <v>37.513399367012333</v>
      </c>
      <c r="N3">
        <f>G3/$C$27</f>
        <v>0.62486600632987666</v>
      </c>
      <c r="S3" s="1"/>
    </row>
    <row r="4" spans="2:20" ht="21" customHeight="1" x14ac:dyDescent="0.35">
      <c r="B4" s="32" t="s">
        <v>9</v>
      </c>
      <c r="C4" s="20">
        <v>1</v>
      </c>
      <c r="D4" s="162">
        <v>60.9</v>
      </c>
      <c r="E4" s="8">
        <v>2.56</v>
      </c>
      <c r="F4" s="8">
        <f>C28/E4</f>
        <v>6.4890234374999993</v>
      </c>
      <c r="G4" s="8">
        <f t="shared" si="0"/>
        <v>2.8743836291174323</v>
      </c>
      <c r="H4" s="8">
        <f t="shared" si="1"/>
        <v>1.4371918145587161</v>
      </c>
      <c r="I4" s="8">
        <f>C4*C27</f>
        <v>4.5999999999999996</v>
      </c>
      <c r="J4" s="8">
        <f t="shared" ref="J4:J18" si="2">I4/2</f>
        <v>2.2999999999999998</v>
      </c>
      <c r="K4" s="47" t="s">
        <v>52</v>
      </c>
      <c r="L4" s="206" t="s">
        <v>53</v>
      </c>
      <c r="M4" s="162">
        <f t="shared" ref="M4:M22" si="3">(1-(G4/$C$27))*100</f>
        <v>37.513399367012333</v>
      </c>
      <c r="N4">
        <f t="shared" ref="N4:N22" si="4">G4/$C$27</f>
        <v>0.62486600632987666</v>
      </c>
      <c r="S4" s="1"/>
    </row>
    <row r="5" spans="2:20" ht="21" customHeight="1" x14ac:dyDescent="0.35">
      <c r="B5" s="32" t="s">
        <v>10</v>
      </c>
      <c r="C5" s="20">
        <v>2</v>
      </c>
      <c r="D5" s="162">
        <v>60.9</v>
      </c>
      <c r="E5" s="8">
        <v>2.56</v>
      </c>
      <c r="F5" s="8">
        <f>C28/E5</f>
        <v>6.4890234374999993</v>
      </c>
      <c r="G5" s="8">
        <f t="shared" si="0"/>
        <v>2.8743836291174323</v>
      </c>
      <c r="H5" s="8">
        <f t="shared" si="1"/>
        <v>1.4371918145587161</v>
      </c>
      <c r="I5" s="8">
        <f>C5*C27</f>
        <v>9.1999999999999993</v>
      </c>
      <c r="J5" s="8">
        <f t="shared" si="2"/>
        <v>4.5999999999999996</v>
      </c>
      <c r="K5" s="47" t="s">
        <v>56</v>
      </c>
      <c r="L5" s="206" t="s">
        <v>57</v>
      </c>
      <c r="M5" s="162">
        <f t="shared" si="3"/>
        <v>37.513399367012333</v>
      </c>
      <c r="N5">
        <f t="shared" si="4"/>
        <v>0.62486600632987666</v>
      </c>
      <c r="S5" s="1"/>
    </row>
    <row r="6" spans="2:20" ht="21" customHeight="1" x14ac:dyDescent="0.35">
      <c r="B6" s="33" t="s">
        <v>11</v>
      </c>
      <c r="C6" s="21">
        <v>7.8</v>
      </c>
      <c r="D6" s="163">
        <v>60.9</v>
      </c>
      <c r="E6" s="9">
        <v>2.56</v>
      </c>
      <c r="F6" s="9">
        <f>C28/E6</f>
        <v>6.4890234374999993</v>
      </c>
      <c r="G6" s="9">
        <f t="shared" si="0"/>
        <v>2.8743836291174323</v>
      </c>
      <c r="H6" s="9">
        <f t="shared" si="1"/>
        <v>1.4371918145587161</v>
      </c>
      <c r="I6" s="9">
        <f>C6*C27</f>
        <v>35.879999999999995</v>
      </c>
      <c r="J6" s="9">
        <f t="shared" si="2"/>
        <v>17.939999999999998</v>
      </c>
      <c r="K6" s="48" t="s">
        <v>56</v>
      </c>
      <c r="L6" s="207" t="s">
        <v>57</v>
      </c>
      <c r="M6" s="163">
        <f t="shared" si="3"/>
        <v>37.513399367012333</v>
      </c>
      <c r="N6">
        <f t="shared" si="4"/>
        <v>0.62486600632987666</v>
      </c>
      <c r="O6" s="1"/>
      <c r="P6" s="1"/>
      <c r="Q6" s="1"/>
      <c r="R6" s="1"/>
      <c r="S6" s="1"/>
    </row>
    <row r="7" spans="2:20" ht="21" customHeight="1" x14ac:dyDescent="0.35">
      <c r="B7" s="34" t="s">
        <v>12</v>
      </c>
      <c r="C7" s="22">
        <v>0.5</v>
      </c>
      <c r="D7" s="164">
        <v>75</v>
      </c>
      <c r="E7" s="16">
        <v>4</v>
      </c>
      <c r="F7" s="16">
        <f>C28/E7</f>
        <v>4.1529749999999996</v>
      </c>
      <c r="G7" s="16">
        <f t="shared" si="0"/>
        <v>2.2995069032939459</v>
      </c>
      <c r="H7" s="16">
        <f t="shared" si="1"/>
        <v>1.149753451646973</v>
      </c>
      <c r="I7" s="16">
        <f>C7*C27</f>
        <v>2.2999999999999998</v>
      </c>
      <c r="J7" s="16">
        <f t="shared" si="2"/>
        <v>1.1499999999999999</v>
      </c>
      <c r="K7" s="49" t="s">
        <v>52</v>
      </c>
      <c r="L7" s="208" t="s">
        <v>53</v>
      </c>
      <c r="M7" s="164">
        <f t="shared" si="3"/>
        <v>50.010719493609869</v>
      </c>
      <c r="N7">
        <f t="shared" si="4"/>
        <v>0.49989280506390132</v>
      </c>
      <c r="O7" s="1"/>
      <c r="P7" s="1"/>
      <c r="Q7" s="1"/>
      <c r="R7" s="1"/>
      <c r="S7" s="1"/>
    </row>
    <row r="8" spans="2:20" ht="21" customHeight="1" x14ac:dyDescent="0.35">
      <c r="B8" s="35" t="s">
        <v>13</v>
      </c>
      <c r="C8" s="23">
        <v>1</v>
      </c>
      <c r="D8" s="165">
        <v>75</v>
      </c>
      <c r="E8" s="17">
        <v>4</v>
      </c>
      <c r="F8" s="17">
        <f>C28/E8</f>
        <v>4.1529749999999996</v>
      </c>
      <c r="G8" s="17">
        <f t="shared" si="0"/>
        <v>2.2995069032939459</v>
      </c>
      <c r="H8" s="17">
        <f t="shared" si="1"/>
        <v>1.149753451646973</v>
      </c>
      <c r="I8" s="17">
        <f>C8*C27</f>
        <v>4.5999999999999996</v>
      </c>
      <c r="J8" s="17">
        <f t="shared" si="2"/>
        <v>2.2999999999999998</v>
      </c>
      <c r="K8" s="50" t="s">
        <v>52</v>
      </c>
      <c r="L8" s="209" t="s">
        <v>53</v>
      </c>
      <c r="M8" s="165">
        <f t="shared" si="3"/>
        <v>50.010719493609869</v>
      </c>
      <c r="N8">
        <f t="shared" si="4"/>
        <v>0.49989280506390132</v>
      </c>
    </row>
    <row r="9" spans="2:20" ht="21" customHeight="1" x14ac:dyDescent="0.35">
      <c r="B9" s="35" t="s">
        <v>14</v>
      </c>
      <c r="C9" s="23">
        <v>2</v>
      </c>
      <c r="D9" s="165">
        <v>75</v>
      </c>
      <c r="E9" s="17">
        <v>4</v>
      </c>
      <c r="F9" s="17">
        <f>C28/E9</f>
        <v>4.1529749999999996</v>
      </c>
      <c r="G9" s="17">
        <f t="shared" si="0"/>
        <v>2.2995069032939459</v>
      </c>
      <c r="H9" s="17">
        <f t="shared" si="1"/>
        <v>1.149753451646973</v>
      </c>
      <c r="I9" s="17">
        <f>C9*C27</f>
        <v>9.1999999999999993</v>
      </c>
      <c r="J9" s="17">
        <f t="shared" si="2"/>
        <v>4.5999999999999996</v>
      </c>
      <c r="K9" s="50" t="s">
        <v>56</v>
      </c>
      <c r="L9" s="209" t="s">
        <v>57</v>
      </c>
      <c r="M9" s="165">
        <f t="shared" si="3"/>
        <v>50.010719493609869</v>
      </c>
      <c r="N9">
        <f t="shared" si="4"/>
        <v>0.49989280506390132</v>
      </c>
    </row>
    <row r="10" spans="2:20" ht="21" customHeight="1" x14ac:dyDescent="0.35">
      <c r="B10" s="36" t="s">
        <v>15</v>
      </c>
      <c r="C10" s="24">
        <v>7.8</v>
      </c>
      <c r="D10" s="166">
        <v>75</v>
      </c>
      <c r="E10" s="18">
        <v>4</v>
      </c>
      <c r="F10" s="18">
        <f>C28/E10</f>
        <v>4.1529749999999996</v>
      </c>
      <c r="G10" s="18">
        <f t="shared" si="0"/>
        <v>2.2995069032939459</v>
      </c>
      <c r="H10" s="18">
        <f t="shared" si="1"/>
        <v>1.149753451646973</v>
      </c>
      <c r="I10" s="18">
        <f>C10*C27</f>
        <v>35.879999999999995</v>
      </c>
      <c r="J10" s="18">
        <f t="shared" si="2"/>
        <v>17.939999999999998</v>
      </c>
      <c r="K10" s="51" t="s">
        <v>56</v>
      </c>
      <c r="L10" s="210" t="s">
        <v>57</v>
      </c>
      <c r="M10" s="166">
        <f t="shared" si="3"/>
        <v>50.010719493609869</v>
      </c>
      <c r="N10">
        <f t="shared" si="4"/>
        <v>0.49989280506390132</v>
      </c>
    </row>
    <row r="11" spans="2:20" ht="21" customHeight="1" x14ac:dyDescent="0.35">
      <c r="B11" s="37" t="s">
        <v>16</v>
      </c>
      <c r="C11" s="25">
        <v>0.5</v>
      </c>
      <c r="D11" s="167">
        <v>85.9</v>
      </c>
      <c r="E11" s="10">
        <v>7.11</v>
      </c>
      <c r="F11" s="10">
        <f>C28/E11</f>
        <v>2.3364135021097043</v>
      </c>
      <c r="G11" s="10">
        <f t="shared" si="0"/>
        <v>1.7247649299945913</v>
      </c>
      <c r="H11" s="10">
        <f t="shared" si="1"/>
        <v>0.86238246499729565</v>
      </c>
      <c r="I11" s="10">
        <f>C11*C27</f>
        <v>2.2999999999999998</v>
      </c>
      <c r="J11" s="10">
        <f t="shared" si="2"/>
        <v>1.1499999999999999</v>
      </c>
      <c r="K11" s="52" t="s">
        <v>52</v>
      </c>
      <c r="L11" s="211" t="s">
        <v>53</v>
      </c>
      <c r="M11" s="167">
        <f t="shared" si="3"/>
        <v>62.505110217508886</v>
      </c>
      <c r="N11">
        <f t="shared" si="4"/>
        <v>0.3749488978249112</v>
      </c>
    </row>
    <row r="12" spans="2:20" ht="21" customHeight="1" x14ac:dyDescent="0.35">
      <c r="B12" s="38" t="s">
        <v>17</v>
      </c>
      <c r="C12" s="26">
        <v>1</v>
      </c>
      <c r="D12" s="168">
        <v>85.9</v>
      </c>
      <c r="E12" s="11">
        <v>7.11</v>
      </c>
      <c r="F12" s="11">
        <f>C28/E12</f>
        <v>2.3364135021097043</v>
      </c>
      <c r="G12" s="11">
        <f t="shared" si="0"/>
        <v>1.7247649299945913</v>
      </c>
      <c r="H12" s="11">
        <f t="shared" si="1"/>
        <v>0.86238246499729565</v>
      </c>
      <c r="I12" s="11">
        <f>C12*C27</f>
        <v>4.5999999999999996</v>
      </c>
      <c r="J12" s="11">
        <f t="shared" si="2"/>
        <v>2.2999999999999998</v>
      </c>
      <c r="K12" s="53" t="s">
        <v>52</v>
      </c>
      <c r="L12" s="212" t="s">
        <v>53</v>
      </c>
      <c r="M12" s="168">
        <f t="shared" si="3"/>
        <v>62.505110217508886</v>
      </c>
      <c r="N12">
        <f t="shared" si="4"/>
        <v>0.3749488978249112</v>
      </c>
    </row>
    <row r="13" spans="2:20" ht="21" customHeight="1" x14ac:dyDescent="0.35">
      <c r="B13" s="38" t="s">
        <v>18</v>
      </c>
      <c r="C13" s="26">
        <v>2</v>
      </c>
      <c r="D13" s="168">
        <v>85.9</v>
      </c>
      <c r="E13" s="11">
        <v>7.11</v>
      </c>
      <c r="F13" s="11">
        <f>C28/E13</f>
        <v>2.3364135021097043</v>
      </c>
      <c r="G13" s="11">
        <f t="shared" si="0"/>
        <v>1.7247649299945913</v>
      </c>
      <c r="H13" s="11">
        <f t="shared" si="1"/>
        <v>0.86238246499729565</v>
      </c>
      <c r="I13" s="11">
        <f>C13*C27</f>
        <v>9.1999999999999993</v>
      </c>
      <c r="J13" s="11">
        <f t="shared" si="2"/>
        <v>4.5999999999999996</v>
      </c>
      <c r="K13" s="53" t="s">
        <v>56</v>
      </c>
      <c r="L13" s="212" t="s">
        <v>57</v>
      </c>
      <c r="M13" s="168">
        <f t="shared" si="3"/>
        <v>62.505110217508886</v>
      </c>
      <c r="N13">
        <f t="shared" si="4"/>
        <v>0.3749488978249112</v>
      </c>
    </row>
    <row r="14" spans="2:20" ht="21" customHeight="1" x14ac:dyDescent="0.35">
      <c r="B14" s="39" t="s">
        <v>19</v>
      </c>
      <c r="C14" s="27">
        <v>7.8</v>
      </c>
      <c r="D14" s="169">
        <v>85.9</v>
      </c>
      <c r="E14" s="12">
        <v>7.11</v>
      </c>
      <c r="F14" s="12">
        <f>C28/E14</f>
        <v>2.3364135021097043</v>
      </c>
      <c r="G14" s="12">
        <f t="shared" si="0"/>
        <v>1.7247649299945913</v>
      </c>
      <c r="H14" s="12">
        <f t="shared" si="1"/>
        <v>0.86238246499729565</v>
      </c>
      <c r="I14" s="12">
        <f>C14*C27</f>
        <v>35.879999999999995</v>
      </c>
      <c r="J14" s="12">
        <f t="shared" si="2"/>
        <v>17.939999999999998</v>
      </c>
      <c r="K14" s="54" t="s">
        <v>56</v>
      </c>
      <c r="L14" s="213" t="s">
        <v>57</v>
      </c>
      <c r="M14" s="169">
        <f t="shared" si="3"/>
        <v>62.505110217508886</v>
      </c>
      <c r="N14">
        <f t="shared" si="4"/>
        <v>0.3749488978249112</v>
      </c>
      <c r="O14" s="3"/>
      <c r="P14" s="3"/>
      <c r="Q14" s="3"/>
      <c r="R14" s="3"/>
      <c r="S14" s="3"/>
      <c r="T14" s="65"/>
    </row>
    <row r="15" spans="2:20" ht="21" customHeight="1" x14ac:dyDescent="0.35">
      <c r="B15" s="40" t="s">
        <v>20</v>
      </c>
      <c r="C15" s="28">
        <v>0.5</v>
      </c>
      <c r="D15" s="170">
        <v>93.8</v>
      </c>
      <c r="E15" s="13">
        <v>16</v>
      </c>
      <c r="F15" s="13">
        <f>C28/E15</f>
        <v>1.0382437499999999</v>
      </c>
      <c r="G15" s="13">
        <f t="shared" si="0"/>
        <v>1.149753451646973</v>
      </c>
      <c r="H15" s="13">
        <f t="shared" si="1"/>
        <v>0.57487672582348648</v>
      </c>
      <c r="I15" s="13">
        <f>C15*C27</f>
        <v>2.2999999999999998</v>
      </c>
      <c r="J15" s="13">
        <f t="shared" si="2"/>
        <v>1.1499999999999999</v>
      </c>
      <c r="K15" s="55" t="s">
        <v>52</v>
      </c>
      <c r="L15" s="214" t="s">
        <v>53</v>
      </c>
      <c r="M15" s="170">
        <f t="shared" si="3"/>
        <v>75.005359746804928</v>
      </c>
      <c r="N15">
        <f t="shared" si="4"/>
        <v>0.24994640253195066</v>
      </c>
      <c r="O15" s="1"/>
      <c r="P15" s="1"/>
      <c r="Q15" s="1"/>
      <c r="R15" s="1"/>
      <c r="S15" s="1"/>
    </row>
    <row r="16" spans="2:20" ht="21" customHeight="1" x14ac:dyDescent="0.35">
      <c r="B16" s="41" t="s">
        <v>21</v>
      </c>
      <c r="C16" s="29">
        <v>1</v>
      </c>
      <c r="D16" s="171">
        <v>93.8</v>
      </c>
      <c r="E16" s="14">
        <v>16</v>
      </c>
      <c r="F16" s="14">
        <f>C28/E16</f>
        <v>1.0382437499999999</v>
      </c>
      <c r="G16" s="14">
        <f t="shared" si="0"/>
        <v>1.149753451646973</v>
      </c>
      <c r="H16" s="14">
        <f t="shared" si="1"/>
        <v>0.57487672582348648</v>
      </c>
      <c r="I16" s="14">
        <f>C16*C27</f>
        <v>4.5999999999999996</v>
      </c>
      <c r="J16" s="14">
        <f t="shared" si="2"/>
        <v>2.2999999999999998</v>
      </c>
      <c r="K16" s="56" t="s">
        <v>132</v>
      </c>
      <c r="L16" s="215" t="s">
        <v>53</v>
      </c>
      <c r="M16" s="171">
        <f t="shared" si="3"/>
        <v>75.005359746804928</v>
      </c>
      <c r="N16">
        <f t="shared" si="4"/>
        <v>0.24994640253195066</v>
      </c>
      <c r="O16" s="1"/>
      <c r="P16" s="1"/>
      <c r="Q16" s="1"/>
      <c r="R16" s="1"/>
      <c r="S16" s="1"/>
    </row>
    <row r="17" spans="2:19" ht="21" customHeight="1" x14ac:dyDescent="0.35">
      <c r="B17" s="41" t="s">
        <v>22</v>
      </c>
      <c r="C17" s="29">
        <v>2</v>
      </c>
      <c r="D17" s="171">
        <v>93.8</v>
      </c>
      <c r="E17" s="14">
        <v>16</v>
      </c>
      <c r="F17" s="14">
        <f>C28/E17</f>
        <v>1.0382437499999999</v>
      </c>
      <c r="G17" s="14">
        <f t="shared" si="0"/>
        <v>1.149753451646973</v>
      </c>
      <c r="H17" s="14">
        <f t="shared" si="1"/>
        <v>0.57487672582348648</v>
      </c>
      <c r="I17" s="14">
        <f>C17*C27</f>
        <v>9.1999999999999993</v>
      </c>
      <c r="J17" s="14">
        <f t="shared" si="2"/>
        <v>4.5999999999999996</v>
      </c>
      <c r="K17" s="56" t="s">
        <v>56</v>
      </c>
      <c r="L17" s="215" t="s">
        <v>57</v>
      </c>
      <c r="M17" s="171">
        <f t="shared" si="3"/>
        <v>75.005359746804928</v>
      </c>
      <c r="N17">
        <f t="shared" si="4"/>
        <v>0.24994640253195066</v>
      </c>
      <c r="O17" s="1"/>
      <c r="P17" s="1"/>
      <c r="Q17" s="1"/>
      <c r="R17" s="1"/>
      <c r="S17" s="1"/>
    </row>
    <row r="18" spans="2:19" ht="21" customHeight="1" x14ac:dyDescent="0.35">
      <c r="B18" s="42" t="s">
        <v>23</v>
      </c>
      <c r="C18" s="30">
        <v>7.8</v>
      </c>
      <c r="D18" s="172">
        <v>93.8</v>
      </c>
      <c r="E18" s="15">
        <v>16</v>
      </c>
      <c r="F18" s="15">
        <f>C28/E18</f>
        <v>1.0382437499999999</v>
      </c>
      <c r="G18" s="15">
        <f t="shared" si="0"/>
        <v>1.149753451646973</v>
      </c>
      <c r="H18" s="15">
        <f t="shared" si="1"/>
        <v>0.57487672582348648</v>
      </c>
      <c r="I18" s="15">
        <f>C18*C27</f>
        <v>35.879999999999995</v>
      </c>
      <c r="J18" s="15">
        <f t="shared" si="2"/>
        <v>17.939999999999998</v>
      </c>
      <c r="K18" s="57" t="s">
        <v>56</v>
      </c>
      <c r="L18" s="216" t="s">
        <v>57</v>
      </c>
      <c r="M18" s="172">
        <f t="shared" si="3"/>
        <v>75.005359746804928</v>
      </c>
      <c r="N18">
        <f t="shared" si="4"/>
        <v>0.24994640253195066</v>
      </c>
      <c r="O18" s="1"/>
      <c r="P18" s="1"/>
      <c r="Q18" s="1"/>
      <c r="R18" s="1"/>
      <c r="S18" s="1"/>
    </row>
    <row r="19" spans="2:19" ht="21" customHeight="1" x14ac:dyDescent="0.35">
      <c r="B19" s="176" t="s">
        <v>116</v>
      </c>
      <c r="C19" s="177">
        <v>0.5</v>
      </c>
      <c r="D19" s="178">
        <v>95</v>
      </c>
      <c r="E19" s="179">
        <f>1/(1-(D19/100))</f>
        <v>19.999999999999982</v>
      </c>
      <c r="F19" s="179">
        <f>C28/E19</f>
        <v>0.83059500000000064</v>
      </c>
      <c r="G19" s="179">
        <f t="shared" ref="G19:G22" si="5">H19*2</f>
        <v>1.02837075009906</v>
      </c>
      <c r="H19" s="179">
        <f t="shared" ref="H19:H22" si="6">SQRT(F19/PI())</f>
        <v>0.51418537504952999</v>
      </c>
      <c r="I19" s="179">
        <f>C19*C27</f>
        <v>2.2999999999999998</v>
      </c>
      <c r="J19" s="179">
        <f t="shared" ref="J19:J22" si="7">I19/2</f>
        <v>1.1499999999999999</v>
      </c>
      <c r="K19" s="180" t="s">
        <v>52</v>
      </c>
      <c r="L19" s="217" t="s">
        <v>53</v>
      </c>
      <c r="M19" s="178">
        <f t="shared" si="3"/>
        <v>77.644114128281302</v>
      </c>
      <c r="N19">
        <f t="shared" si="4"/>
        <v>0.22355885871718698</v>
      </c>
      <c r="O19" s="1"/>
      <c r="P19" s="1"/>
      <c r="Q19" s="1"/>
      <c r="R19" s="1"/>
      <c r="S19" s="1"/>
    </row>
    <row r="20" spans="2:19" ht="21" customHeight="1" x14ac:dyDescent="0.35">
      <c r="B20" s="181" t="s">
        <v>117</v>
      </c>
      <c r="C20" s="182">
        <v>1</v>
      </c>
      <c r="D20" s="183">
        <v>95</v>
      </c>
      <c r="E20" s="184">
        <f t="shared" ref="E20:E22" si="8">1/(1-(D20/100))</f>
        <v>19.999999999999982</v>
      </c>
      <c r="F20" s="184">
        <f>C28/E20</f>
        <v>0.83059500000000064</v>
      </c>
      <c r="G20" s="184">
        <f t="shared" si="5"/>
        <v>1.02837075009906</v>
      </c>
      <c r="H20" s="184">
        <f t="shared" si="6"/>
        <v>0.51418537504952999</v>
      </c>
      <c r="I20" s="184">
        <f>C20*C27</f>
        <v>4.5999999999999996</v>
      </c>
      <c r="J20" s="184">
        <f t="shared" si="7"/>
        <v>2.2999999999999998</v>
      </c>
      <c r="K20" s="185" t="s">
        <v>52</v>
      </c>
      <c r="L20" s="218" t="s">
        <v>53</v>
      </c>
      <c r="M20" s="183">
        <f t="shared" si="3"/>
        <v>77.644114128281302</v>
      </c>
      <c r="N20">
        <f t="shared" si="4"/>
        <v>0.22355885871718698</v>
      </c>
      <c r="O20" s="1"/>
      <c r="P20" s="1"/>
      <c r="Q20" s="1"/>
      <c r="R20" s="1"/>
      <c r="S20" s="1"/>
    </row>
    <row r="21" spans="2:19" ht="21" customHeight="1" x14ac:dyDescent="0.35">
      <c r="B21" s="181" t="s">
        <v>118</v>
      </c>
      <c r="C21" s="182">
        <v>2</v>
      </c>
      <c r="D21" s="183">
        <v>95</v>
      </c>
      <c r="E21" s="184">
        <f t="shared" si="8"/>
        <v>19.999999999999982</v>
      </c>
      <c r="F21" s="184">
        <f>C28/E21</f>
        <v>0.83059500000000064</v>
      </c>
      <c r="G21" s="184">
        <f t="shared" si="5"/>
        <v>1.02837075009906</v>
      </c>
      <c r="H21" s="184">
        <f t="shared" si="6"/>
        <v>0.51418537504952999</v>
      </c>
      <c r="I21" s="184">
        <f>C21*C27</f>
        <v>9.1999999999999993</v>
      </c>
      <c r="J21" s="184">
        <f t="shared" si="7"/>
        <v>4.5999999999999996</v>
      </c>
      <c r="K21" s="185" t="s">
        <v>56</v>
      </c>
      <c r="L21" s="218" t="s">
        <v>57</v>
      </c>
      <c r="M21" s="183">
        <f t="shared" si="3"/>
        <v>77.644114128281302</v>
      </c>
      <c r="N21">
        <f t="shared" si="4"/>
        <v>0.22355885871718698</v>
      </c>
      <c r="O21" s="1"/>
      <c r="P21" s="1"/>
      <c r="Q21" s="1"/>
      <c r="R21" s="1"/>
      <c r="S21" s="1"/>
    </row>
    <row r="22" spans="2:19" ht="21" customHeight="1" x14ac:dyDescent="0.35">
      <c r="B22" s="186" t="s">
        <v>119</v>
      </c>
      <c r="C22" s="187">
        <v>5</v>
      </c>
      <c r="D22" s="188">
        <v>95</v>
      </c>
      <c r="E22" s="189">
        <f t="shared" si="8"/>
        <v>19.999999999999982</v>
      </c>
      <c r="F22" s="189">
        <f>C28/E22</f>
        <v>0.83059500000000064</v>
      </c>
      <c r="G22" s="189">
        <f t="shared" si="5"/>
        <v>1.02837075009906</v>
      </c>
      <c r="H22" s="189">
        <f t="shared" si="6"/>
        <v>0.51418537504952999</v>
      </c>
      <c r="I22" s="189">
        <f>C22*C27</f>
        <v>23</v>
      </c>
      <c r="J22" s="189">
        <f t="shared" si="7"/>
        <v>11.5</v>
      </c>
      <c r="K22" s="190" t="s">
        <v>56</v>
      </c>
      <c r="L22" s="219" t="s">
        <v>57</v>
      </c>
      <c r="M22" s="188">
        <f t="shared" si="3"/>
        <v>77.644114128281302</v>
      </c>
      <c r="N22">
        <f t="shared" si="4"/>
        <v>0.22355885871718698</v>
      </c>
      <c r="O22" s="1"/>
      <c r="P22" s="1"/>
      <c r="Q22" s="1"/>
      <c r="R22" s="1"/>
      <c r="S22" s="1"/>
    </row>
    <row r="23" spans="2:19" ht="21" customHeight="1" x14ac:dyDescent="0.35">
      <c r="B23" s="1"/>
      <c r="C23" s="1"/>
      <c r="D23" s="17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ht="31.75" customHeight="1" x14ac:dyDescent="0.35">
      <c r="B24" s="296" t="s">
        <v>7</v>
      </c>
      <c r="C24" s="297"/>
      <c r="D24" s="298"/>
      <c r="E24" s="1"/>
      <c r="F24" s="294"/>
      <c r="G24" s="76" t="s">
        <v>40</v>
      </c>
      <c r="H24" s="76" t="s">
        <v>38</v>
      </c>
      <c r="I24" s="99" t="s">
        <v>46</v>
      </c>
      <c r="J24" s="76" t="s">
        <v>33</v>
      </c>
      <c r="K24" s="76" t="s">
        <v>34</v>
      </c>
      <c r="L24" s="4" t="s">
        <v>35</v>
      </c>
      <c r="M24" s="1"/>
      <c r="N24" s="1"/>
      <c r="O24" s="1"/>
      <c r="P24" s="1"/>
      <c r="Q24" s="1"/>
      <c r="R24" s="1"/>
      <c r="S24" s="1"/>
    </row>
    <row r="25" spans="2:19" ht="21" customHeight="1" x14ac:dyDescent="0.35">
      <c r="B25" s="299"/>
      <c r="C25" s="300"/>
      <c r="D25" s="301"/>
      <c r="E25" s="1"/>
      <c r="F25" s="295"/>
      <c r="G25" s="77" t="s">
        <v>44</v>
      </c>
      <c r="H25" s="77" t="s">
        <v>45</v>
      </c>
      <c r="I25" s="77" t="s">
        <v>39</v>
      </c>
      <c r="J25" s="77" t="s">
        <v>43</v>
      </c>
      <c r="K25" s="77" t="s">
        <v>42</v>
      </c>
      <c r="L25" s="5" t="s">
        <v>42</v>
      </c>
      <c r="M25" s="1"/>
      <c r="N25" s="1"/>
      <c r="O25" s="1"/>
      <c r="P25" s="1"/>
      <c r="Q25" s="1"/>
      <c r="R25" s="1"/>
      <c r="S25" s="1"/>
    </row>
    <row r="26" spans="2:19" ht="30.65" customHeight="1" x14ac:dyDescent="0.35">
      <c r="B26" s="44" t="s">
        <v>0</v>
      </c>
      <c r="C26" s="45">
        <v>140</v>
      </c>
      <c r="D26" s="174" t="s">
        <v>24</v>
      </c>
      <c r="E26" s="1"/>
      <c r="F26" s="59" t="s">
        <v>37</v>
      </c>
      <c r="G26" s="73">
        <v>120</v>
      </c>
      <c r="H26" s="73">
        <v>1</v>
      </c>
      <c r="I26" s="74">
        <f>(G26/3)*0.0000000166667</f>
        <v>6.6666799999999997E-7</v>
      </c>
      <c r="J26" s="74">
        <f>I26*K32</f>
        <v>7.0666807999999993E-4</v>
      </c>
      <c r="K26" s="73">
        <f>I26*(1000)^2/C28</f>
        <v>4.013195359952805E-2</v>
      </c>
      <c r="L26" s="73">
        <f>K26*2</f>
        <v>8.02639071990561E-2</v>
      </c>
      <c r="M26" s="1"/>
      <c r="N26" s="1"/>
      <c r="O26" s="1"/>
      <c r="P26" s="1"/>
      <c r="Q26" s="1"/>
      <c r="R26" s="1"/>
      <c r="S26" s="1"/>
    </row>
    <row r="27" spans="2:19" ht="23.4" customHeight="1" x14ac:dyDescent="0.35">
      <c r="B27" s="44" t="s">
        <v>5</v>
      </c>
      <c r="C27" s="45">
        <v>4.5999999999999996</v>
      </c>
      <c r="D27" s="174" t="s">
        <v>24</v>
      </c>
      <c r="E27" s="1"/>
      <c r="F27" s="60" t="s">
        <v>30</v>
      </c>
      <c r="G27" s="63">
        <f>G26*2</f>
        <v>240</v>
      </c>
      <c r="H27" s="63">
        <v>2</v>
      </c>
      <c r="I27" s="68">
        <f>(G27/3)*0.0000000166667</f>
        <v>1.3333359999999999E-6</v>
      </c>
      <c r="J27" s="68">
        <f>I27*K32</f>
        <v>1.4133361599999999E-3</v>
      </c>
      <c r="K27" s="63">
        <f>I27*(1000)^2/C28</f>
        <v>8.02639071990561E-2</v>
      </c>
      <c r="L27" s="63">
        <f>K27*2</f>
        <v>0.1605278143981122</v>
      </c>
    </row>
    <row r="28" spans="2:19" ht="21" customHeight="1" x14ac:dyDescent="0.35">
      <c r="B28" s="44" t="s">
        <v>6</v>
      </c>
      <c r="C28" s="45">
        <v>16.611899999999999</v>
      </c>
      <c r="D28" s="174" t="s">
        <v>25</v>
      </c>
      <c r="E28" s="1"/>
      <c r="F28" s="44" t="s">
        <v>31</v>
      </c>
      <c r="G28" s="45">
        <f>G26*3</f>
        <v>360</v>
      </c>
      <c r="H28" s="45">
        <v>3</v>
      </c>
      <c r="I28" s="69">
        <f>(G28/3)*0.0000000166667</f>
        <v>2.000004E-6</v>
      </c>
      <c r="J28" s="69">
        <f>I28*K32</f>
        <v>2.1200042399999999E-3</v>
      </c>
      <c r="K28" s="45">
        <f>I28*(1000)^2/C28</f>
        <v>0.12039586079858416</v>
      </c>
      <c r="L28" s="45">
        <f>K28*2</f>
        <v>0.24079172159716833</v>
      </c>
    </row>
    <row r="29" spans="2:19" ht="25.75" customHeight="1" x14ac:dyDescent="0.35">
      <c r="B29" s="44" t="s">
        <v>27</v>
      </c>
      <c r="C29" s="45">
        <f>C27/2</f>
        <v>2.2999999999999998</v>
      </c>
      <c r="D29" s="174" t="s">
        <v>24</v>
      </c>
      <c r="E29" s="1"/>
      <c r="F29" s="61" t="s">
        <v>32</v>
      </c>
      <c r="G29" s="64">
        <f>G26*4</f>
        <v>480</v>
      </c>
      <c r="H29" s="64">
        <v>4</v>
      </c>
      <c r="I29" s="70">
        <f>(G29/3)*0.0000000166667</f>
        <v>2.6666719999999999E-6</v>
      </c>
      <c r="J29" s="70">
        <f>I29*K32</f>
        <v>2.8266723199999997E-3</v>
      </c>
      <c r="K29" s="64">
        <f>I29*(1000)^2/C28</f>
        <v>0.1605278143981122</v>
      </c>
      <c r="L29" s="64">
        <f>K29*2</f>
        <v>0.3210556287962244</v>
      </c>
    </row>
    <row r="30" spans="2:19" ht="33" customHeight="1" x14ac:dyDescent="0.35">
      <c r="B30" s="75" t="s">
        <v>54</v>
      </c>
      <c r="C30" s="45">
        <v>0.82</v>
      </c>
      <c r="D30" s="174" t="s">
        <v>24</v>
      </c>
      <c r="E30" s="1"/>
      <c r="I30" s="1"/>
      <c r="J30" s="1"/>
      <c r="K30" s="1"/>
      <c r="L30" s="1"/>
    </row>
    <row r="31" spans="2:19" ht="34.25" customHeight="1" x14ac:dyDescent="0.35">
      <c r="B31" s="75" t="s">
        <v>55</v>
      </c>
      <c r="C31" s="45">
        <v>1.7</v>
      </c>
      <c r="D31" s="174" t="s">
        <v>24</v>
      </c>
    </row>
    <row r="32" spans="2:19" ht="21" customHeight="1" x14ac:dyDescent="0.35">
      <c r="J32" s="62" t="s">
        <v>41</v>
      </c>
      <c r="K32" s="62">
        <v>1060</v>
      </c>
    </row>
    <row r="33" spans="5:12" ht="44.4" customHeight="1" x14ac:dyDescent="0.35">
      <c r="I33" s="71"/>
      <c r="J33" s="72" t="s">
        <v>47</v>
      </c>
      <c r="L33" s="1" t="s">
        <v>48</v>
      </c>
    </row>
    <row r="34" spans="5:12" ht="21" customHeight="1" x14ac:dyDescent="0.35"/>
    <row r="37" spans="5:12" x14ac:dyDescent="0.35">
      <c r="I37" s="67" t="s">
        <v>36</v>
      </c>
      <c r="J37" s="2"/>
      <c r="K37" s="2"/>
      <c r="L37" s="2"/>
    </row>
    <row r="40" spans="5:12" x14ac:dyDescent="0.35">
      <c r="E40">
        <f>1/(1-0.75)</f>
        <v>4</v>
      </c>
    </row>
  </sheetData>
  <mergeCells count="3">
    <mergeCell ref="B1:L1"/>
    <mergeCell ref="F24:F25"/>
    <mergeCell ref="B24:D25"/>
  </mergeCells>
  <phoneticPr fontId="1" type="noConversion"/>
  <hyperlinks>
    <hyperlink ref="I37" r:id="rId1" xr:uid="{66E254F6-6999-40FB-A44C-FDAB51B7DED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B9D0-4745-4F5B-8221-30930FBF870F}">
  <dimension ref="A1:P74"/>
  <sheetViews>
    <sheetView tabSelected="1" workbookViewId="0">
      <pane xSplit="14" ySplit="2" topLeftCell="O6" activePane="bottomRight" state="frozen"/>
      <selection pane="topRight" activeCell="O1" sqref="O1"/>
      <selection pane="bottomLeft" activeCell="A3" sqref="A3"/>
      <selection pane="bottomRight" activeCell="Q3" sqref="Q3"/>
    </sheetView>
  </sheetViews>
  <sheetFormatPr defaultRowHeight="14.5" x14ac:dyDescent="0.35"/>
  <cols>
    <col min="1" max="1" width="6.36328125" customWidth="1"/>
    <col min="2" max="3" width="4.81640625" customWidth="1"/>
    <col min="4" max="4" width="7.81640625" style="106" customWidth="1"/>
    <col min="5" max="5" width="5.81640625" style="106" customWidth="1"/>
    <col min="6" max="7" width="6.90625" style="65" customWidth="1"/>
    <col min="8" max="8" width="7.36328125" customWidth="1"/>
    <col min="9" max="9" width="8.08984375" style="65" customWidth="1"/>
    <col min="10" max="14" width="10.81640625" customWidth="1"/>
    <col min="15" max="15" width="10.08984375" style="65" customWidth="1"/>
  </cols>
  <sheetData>
    <row r="1" spans="1:15" ht="46.75" customHeight="1" thickBot="1" x14ac:dyDescent="0.4">
      <c r="A1" s="302" t="s">
        <v>112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4"/>
    </row>
    <row r="2" spans="1:15" ht="21" customHeight="1" x14ac:dyDescent="0.35">
      <c r="A2" s="305"/>
      <c r="B2" s="305"/>
      <c r="C2" s="306"/>
      <c r="D2" s="107" t="s">
        <v>28</v>
      </c>
      <c r="E2" s="100" t="s">
        <v>4</v>
      </c>
      <c r="F2" s="98" t="s">
        <v>34</v>
      </c>
      <c r="G2" s="98" t="s">
        <v>5</v>
      </c>
      <c r="H2" s="100" t="s">
        <v>137</v>
      </c>
      <c r="I2" s="267" t="s">
        <v>63</v>
      </c>
      <c r="J2" s="95" t="s">
        <v>58</v>
      </c>
      <c r="K2" s="94" t="s">
        <v>59</v>
      </c>
      <c r="L2" s="94" t="s">
        <v>60</v>
      </c>
      <c r="M2" s="220" t="s">
        <v>62</v>
      </c>
      <c r="N2" s="248" t="s">
        <v>61</v>
      </c>
      <c r="O2" s="231" t="s">
        <v>63</v>
      </c>
    </row>
    <row r="3" spans="1:15" ht="21" customHeight="1" thickBot="1" x14ac:dyDescent="0.4">
      <c r="A3" s="307"/>
      <c r="B3" s="307"/>
      <c r="C3" s="308"/>
      <c r="D3" s="113"/>
      <c r="E3" s="114"/>
      <c r="F3" s="115" t="s">
        <v>42</v>
      </c>
      <c r="G3" s="115" t="s">
        <v>24</v>
      </c>
      <c r="H3" s="114"/>
      <c r="I3" s="268" t="s">
        <v>114</v>
      </c>
      <c r="J3" s="123"/>
      <c r="K3" s="122"/>
      <c r="L3" s="122"/>
      <c r="M3" s="122"/>
      <c r="N3" s="249"/>
      <c r="O3" s="232" t="s">
        <v>114</v>
      </c>
    </row>
    <row r="4" spans="1:15" ht="21" customHeight="1" x14ac:dyDescent="0.35">
      <c r="A4" s="116" t="s">
        <v>64</v>
      </c>
      <c r="B4" s="117" t="s">
        <v>8</v>
      </c>
      <c r="C4" s="118" t="s">
        <v>30</v>
      </c>
      <c r="D4" s="119">
        <f>DOE!$I$3</f>
        <v>2.2999999999999998</v>
      </c>
      <c r="E4" s="120">
        <f>DOE!$G$3</f>
        <v>2.8743836291174323</v>
      </c>
      <c r="F4" s="221">
        <f>DOE!$K$27</f>
        <v>8.02639071990561E-2</v>
      </c>
      <c r="G4" s="221">
        <v>4.5999999999999996</v>
      </c>
      <c r="H4" s="120">
        <f>DOE!$M$3</f>
        <v>37.513399367012333</v>
      </c>
      <c r="I4" s="269">
        <f>0.00141333616*1000</f>
        <v>1.4133361600000001</v>
      </c>
      <c r="J4" s="116">
        <v>11863.915999999999</v>
      </c>
      <c r="K4" s="121">
        <v>11841.72</v>
      </c>
      <c r="L4" s="121">
        <v>11817.927</v>
      </c>
      <c r="M4" s="221">
        <f>($K$65-J4)</f>
        <v>4094.7274000000016</v>
      </c>
      <c r="N4" s="250">
        <f>(L4+M4)/(K4+M4)</f>
        <v>0.99850700727691666</v>
      </c>
      <c r="O4" s="233">
        <f>-0.0014207057*(-1000)</f>
        <v>1.4207057000000001</v>
      </c>
    </row>
    <row r="5" spans="1:15" ht="21" customHeight="1" x14ac:dyDescent="0.35">
      <c r="A5" s="82" t="s">
        <v>65</v>
      </c>
      <c r="B5" s="78" t="s">
        <v>8</v>
      </c>
      <c r="C5" s="83" t="s">
        <v>31</v>
      </c>
      <c r="D5" s="108">
        <f>DOE!$I$3</f>
        <v>2.2999999999999998</v>
      </c>
      <c r="E5" s="101">
        <f>DOE!$G$3</f>
        <v>2.8743836291174323</v>
      </c>
      <c r="F5" s="47">
        <f>DOE!$K$28</f>
        <v>0.12039586079858416</v>
      </c>
      <c r="G5" s="47">
        <v>4.5999999999999996</v>
      </c>
      <c r="H5" s="101">
        <f>DOE!$M$3</f>
        <v>37.513399367012333</v>
      </c>
      <c r="I5" s="20">
        <f>0.00212000424*1000</f>
        <v>2.1200042400000001</v>
      </c>
      <c r="J5" s="82">
        <v>13902.73</v>
      </c>
      <c r="K5" s="8">
        <v>13869.262000000001</v>
      </c>
      <c r="L5" s="8">
        <v>13822.666999999999</v>
      </c>
      <c r="M5" s="47">
        <f t="shared" ref="M5:M51" si="0">($K$65-J5)</f>
        <v>2055.9134000000013</v>
      </c>
      <c r="N5" s="251">
        <f t="shared" ref="N5:N51" si="1">(L5+M5)/(K5+M5)</f>
        <v>0.9970741295571538</v>
      </c>
      <c r="O5" s="234">
        <f>-0.0021268261*(-1000)</f>
        <v>2.1268261000000002</v>
      </c>
    </row>
    <row r="6" spans="1:15" ht="21" customHeight="1" thickBot="1" x14ac:dyDescent="0.4">
      <c r="A6" s="124" t="s">
        <v>66</v>
      </c>
      <c r="B6" s="125" t="s">
        <v>8</v>
      </c>
      <c r="C6" s="126" t="s">
        <v>32</v>
      </c>
      <c r="D6" s="127">
        <f>DOE!$I$3</f>
        <v>2.2999999999999998</v>
      </c>
      <c r="E6" s="128">
        <f>DOE!$G$3</f>
        <v>2.8743836291174323</v>
      </c>
      <c r="F6" s="222">
        <f>DOE!$K$29</f>
        <v>0.1605278143981122</v>
      </c>
      <c r="G6" s="222">
        <v>4.5999999999999996</v>
      </c>
      <c r="H6" s="128">
        <f>DOE!$M$3</f>
        <v>37.513399367012333</v>
      </c>
      <c r="I6" s="270">
        <f>0.00282667232*1000</f>
        <v>2.8266723200000001</v>
      </c>
      <c r="J6" s="124">
        <v>12084.868</v>
      </c>
      <c r="K6" s="129">
        <v>12040.16</v>
      </c>
      <c r="L6" s="129">
        <v>11962.763000000001</v>
      </c>
      <c r="M6" s="222">
        <f t="shared" si="0"/>
        <v>3873.7754000000004</v>
      </c>
      <c r="N6" s="252">
        <f t="shared" si="1"/>
        <v>0.99513652669471064</v>
      </c>
      <c r="O6" s="235">
        <f>-0.0028329639*(-1000)</f>
        <v>2.8329638999999998</v>
      </c>
    </row>
    <row r="7" spans="1:15" ht="21" customHeight="1" x14ac:dyDescent="0.35">
      <c r="A7" s="116" t="s">
        <v>67</v>
      </c>
      <c r="B7" s="121" t="s">
        <v>9</v>
      </c>
      <c r="C7" s="118" t="s">
        <v>30</v>
      </c>
      <c r="D7" s="119">
        <f>DOE!$I$4</f>
        <v>4.5999999999999996</v>
      </c>
      <c r="E7" s="120">
        <f>DOE!$G$3</f>
        <v>2.8743836291174323</v>
      </c>
      <c r="F7" s="221">
        <f>DOE!$K$27</f>
        <v>8.02639071990561E-2</v>
      </c>
      <c r="G7" s="221">
        <v>4.5999999999999996</v>
      </c>
      <c r="H7" s="120">
        <f>DOE!$M$4</f>
        <v>37.513399367012333</v>
      </c>
      <c r="I7" s="269">
        <f>0.00141333616*1000</f>
        <v>1.4133361600000001</v>
      </c>
      <c r="J7" s="116">
        <v>14531.13</v>
      </c>
      <c r="K7" s="121">
        <v>14510.118</v>
      </c>
      <c r="L7" s="121">
        <v>14476.96</v>
      </c>
      <c r="M7" s="221">
        <f t="shared" si="0"/>
        <v>1427.5134000000016</v>
      </c>
      <c r="N7" s="250">
        <f>(L7+M7)/(K7+M7)</f>
        <v>0.9979195151922009</v>
      </c>
      <c r="O7" s="233">
        <f>-0.0014283452*(-1000)</f>
        <v>1.4283452000000001</v>
      </c>
    </row>
    <row r="8" spans="1:15" ht="21" customHeight="1" x14ac:dyDescent="0.35">
      <c r="A8" s="82" t="s">
        <v>68</v>
      </c>
      <c r="B8" s="8" t="s">
        <v>9</v>
      </c>
      <c r="C8" s="83" t="s">
        <v>31</v>
      </c>
      <c r="D8" s="108">
        <f>DOE!$I$4</f>
        <v>4.5999999999999996</v>
      </c>
      <c r="E8" s="101">
        <f>DOE!$G$3</f>
        <v>2.8743836291174323</v>
      </c>
      <c r="F8" s="47">
        <f>DOE!$K$28</f>
        <v>0.12039586079858416</v>
      </c>
      <c r="G8" s="47">
        <v>4.5999999999999996</v>
      </c>
      <c r="H8" s="101">
        <f>DOE!$M$4</f>
        <v>37.513399367012333</v>
      </c>
      <c r="I8" s="20">
        <f>0.00212000424*1000</f>
        <v>2.1200042400000001</v>
      </c>
      <c r="J8" s="82">
        <v>10483.871999999999</v>
      </c>
      <c r="K8" s="8">
        <v>10452.469999999999</v>
      </c>
      <c r="L8" s="8">
        <v>10387.824000000001</v>
      </c>
      <c r="M8" s="223">
        <f t="shared" si="0"/>
        <v>5474.7714000000014</v>
      </c>
      <c r="N8" s="253">
        <f t="shared" si="1"/>
        <v>0.99594116781579023</v>
      </c>
      <c r="O8" s="234">
        <f>(-0.0021381747)*(-1000)</f>
        <v>2.1381747</v>
      </c>
    </row>
    <row r="9" spans="1:15" ht="21" customHeight="1" thickBot="1" x14ac:dyDescent="0.4">
      <c r="A9" s="124" t="s">
        <v>69</v>
      </c>
      <c r="B9" s="129" t="s">
        <v>9</v>
      </c>
      <c r="C9" s="126" t="s">
        <v>32</v>
      </c>
      <c r="D9" s="127">
        <f>DOE!$I$4</f>
        <v>4.5999999999999996</v>
      </c>
      <c r="E9" s="128">
        <f>DOE!$G$3</f>
        <v>2.8743836291174323</v>
      </c>
      <c r="F9" s="222">
        <f>DOE!$K$29</f>
        <v>0.1605278143981122</v>
      </c>
      <c r="G9" s="222">
        <v>4.5999999999999996</v>
      </c>
      <c r="H9" s="128">
        <f>DOE!$M$4</f>
        <v>37.513399367012333</v>
      </c>
      <c r="I9" s="270">
        <f>0.00282667232*1000</f>
        <v>2.8266723200000001</v>
      </c>
      <c r="J9" s="124">
        <v>14850.374</v>
      </c>
      <c r="K9" s="129">
        <v>14808.767</v>
      </c>
      <c r="L9" s="129">
        <v>14702.450999999999</v>
      </c>
      <c r="M9" s="224">
        <f t="shared" si="0"/>
        <v>1108.269400000001</v>
      </c>
      <c r="N9" s="254">
        <f t="shared" si="1"/>
        <v>0.99332061589053089</v>
      </c>
      <c r="O9" s="235">
        <f>(-0.0028478228)*(-1000)</f>
        <v>2.8478228000000003</v>
      </c>
    </row>
    <row r="10" spans="1:15" ht="21" customHeight="1" x14ac:dyDescent="0.35">
      <c r="A10" s="116" t="s">
        <v>70</v>
      </c>
      <c r="B10" s="121" t="s">
        <v>10</v>
      </c>
      <c r="C10" s="118" t="s">
        <v>30</v>
      </c>
      <c r="D10" s="119">
        <f>DOE!$I$5</f>
        <v>9.1999999999999993</v>
      </c>
      <c r="E10" s="120">
        <f>DOE!$G$3</f>
        <v>2.8743836291174323</v>
      </c>
      <c r="F10" s="221">
        <f>DOE!$K$27</f>
        <v>8.02639071990561E-2</v>
      </c>
      <c r="G10" s="221">
        <v>4.5999999999999996</v>
      </c>
      <c r="H10" s="120">
        <f>DOE!$M$5</f>
        <v>37.513399367012333</v>
      </c>
      <c r="I10" s="269">
        <f>0.00141333616*1000</f>
        <v>1.4133361600000001</v>
      </c>
      <c r="J10" s="116">
        <v>11272.375</v>
      </c>
      <c r="K10" s="121">
        <v>11258.415000000001</v>
      </c>
      <c r="L10" s="121">
        <v>11205.377</v>
      </c>
      <c r="M10" s="221">
        <f t="shared" si="0"/>
        <v>4686.2684000000008</v>
      </c>
      <c r="N10" s="250">
        <f t="shared" si="1"/>
        <v>0.99667362476447785</v>
      </c>
      <c r="O10" s="233">
        <f>(-0.0014218758)*(-1000)</f>
        <v>1.4218758</v>
      </c>
    </row>
    <row r="11" spans="1:15" ht="21" customHeight="1" x14ac:dyDescent="0.35">
      <c r="A11" s="82" t="s">
        <v>71</v>
      </c>
      <c r="B11" s="8" t="s">
        <v>10</v>
      </c>
      <c r="C11" s="83" t="s">
        <v>31</v>
      </c>
      <c r="D11" s="108">
        <f>DOE!$I$5</f>
        <v>9.1999999999999993</v>
      </c>
      <c r="E11" s="101">
        <f>DOE!$G$3</f>
        <v>2.8743836291174323</v>
      </c>
      <c r="F11" s="47">
        <f>DOE!$K$28</f>
        <v>0.12039586079858416</v>
      </c>
      <c r="G11" s="47">
        <v>4.5999999999999996</v>
      </c>
      <c r="H11" s="101">
        <f>DOE!$M$5</f>
        <v>37.513399367012333</v>
      </c>
      <c r="I11" s="20">
        <f>0.00212000424*1000</f>
        <v>2.1200042400000001</v>
      </c>
      <c r="J11" s="82">
        <v>10114.004999999999</v>
      </c>
      <c r="K11" s="8">
        <v>10093.198</v>
      </c>
      <c r="L11" s="8">
        <v>10002.025</v>
      </c>
      <c r="M11" s="47">
        <f t="shared" si="0"/>
        <v>5844.6384000000016</v>
      </c>
      <c r="N11" s="251">
        <f t="shared" si="1"/>
        <v>0.99427946192244765</v>
      </c>
      <c r="O11" s="234">
        <f>-0.0021283877*(-1000)</f>
        <v>2.1283877000000002</v>
      </c>
    </row>
    <row r="12" spans="1:15" ht="21" customHeight="1" thickBot="1" x14ac:dyDescent="0.4">
      <c r="A12" s="124" t="s">
        <v>72</v>
      </c>
      <c r="B12" s="129" t="s">
        <v>10</v>
      </c>
      <c r="C12" s="126" t="s">
        <v>32</v>
      </c>
      <c r="D12" s="127">
        <f>DOE!$I$5</f>
        <v>9.1999999999999993</v>
      </c>
      <c r="E12" s="128">
        <f>DOE!$G$3</f>
        <v>2.8743836291174323</v>
      </c>
      <c r="F12" s="222">
        <f>DOE!$K$29</f>
        <v>0.1605278143981122</v>
      </c>
      <c r="G12" s="222">
        <v>4.5999999999999996</v>
      </c>
      <c r="H12" s="128">
        <f>DOE!$M$5</f>
        <v>37.513399367012333</v>
      </c>
      <c r="I12" s="270">
        <f>0.00282667232*1000</f>
        <v>2.8266723200000001</v>
      </c>
      <c r="J12" s="124">
        <v>8946.5259999999998</v>
      </c>
      <c r="K12" s="129">
        <v>8919.0282999999999</v>
      </c>
      <c r="L12" s="129">
        <v>8781.3742000000002</v>
      </c>
      <c r="M12" s="222">
        <f t="shared" si="0"/>
        <v>7012.117400000001</v>
      </c>
      <c r="N12" s="252">
        <f t="shared" si="1"/>
        <v>0.99135943499656776</v>
      </c>
      <c r="O12" s="235">
        <f>-0.0028348989*(-1000)</f>
        <v>2.8348989000000002</v>
      </c>
    </row>
    <row r="13" spans="1:15" ht="21" customHeight="1" x14ac:dyDescent="0.35">
      <c r="A13" s="116" t="s">
        <v>73</v>
      </c>
      <c r="B13" s="121" t="s">
        <v>11</v>
      </c>
      <c r="C13" s="118" t="s">
        <v>30</v>
      </c>
      <c r="D13" s="119">
        <f>DOE!$I$6</f>
        <v>35.879999999999995</v>
      </c>
      <c r="E13" s="120">
        <f>DOE!$G$3</f>
        <v>2.8743836291174323</v>
      </c>
      <c r="F13" s="221">
        <f>DOE!$K$27</f>
        <v>8.02639071990561E-2</v>
      </c>
      <c r="G13" s="221">
        <v>4.5999999999999996</v>
      </c>
      <c r="H13" s="120">
        <f>DOE!$M$6</f>
        <v>37.513399367012333</v>
      </c>
      <c r="I13" s="269">
        <f>0.00141333616*1000</f>
        <v>1.4133361600000001</v>
      </c>
      <c r="J13" s="116">
        <v>14066.994000000001</v>
      </c>
      <c r="K13" s="121">
        <v>14053.081</v>
      </c>
      <c r="L13" s="121">
        <v>13940.501</v>
      </c>
      <c r="M13" s="221">
        <f t="shared" si="0"/>
        <v>1891.6494000000002</v>
      </c>
      <c r="N13" s="250">
        <f t="shared" si="1"/>
        <v>0.99293936007848715</v>
      </c>
      <c r="O13" s="233">
        <f>-0.0014223497*(-1000)</f>
        <v>1.4223497000000001</v>
      </c>
    </row>
    <row r="14" spans="1:15" ht="21" customHeight="1" x14ac:dyDescent="0.35">
      <c r="A14" s="82" t="s">
        <v>74</v>
      </c>
      <c r="B14" s="8" t="s">
        <v>11</v>
      </c>
      <c r="C14" s="83" t="s">
        <v>31</v>
      </c>
      <c r="D14" s="108">
        <f>DOE!$I$6</f>
        <v>35.879999999999995</v>
      </c>
      <c r="E14" s="101">
        <f>DOE!$G$3</f>
        <v>2.8743836291174323</v>
      </c>
      <c r="F14" s="47">
        <f>DOE!$K$28</f>
        <v>0.12039586079858416</v>
      </c>
      <c r="G14" s="47">
        <v>4.5999999999999996</v>
      </c>
      <c r="H14" s="101">
        <f>DOE!$M$6</f>
        <v>37.513399367012333</v>
      </c>
      <c r="I14" s="20">
        <f>0.00212000424*1000</f>
        <v>2.1200042400000001</v>
      </c>
      <c r="J14" s="82">
        <v>12593.797</v>
      </c>
      <c r="K14" s="8">
        <v>12573.094999999999</v>
      </c>
      <c r="L14" s="8">
        <v>12382.183000000001</v>
      </c>
      <c r="M14" s="47">
        <f t="shared" si="0"/>
        <v>3364.8464000000004</v>
      </c>
      <c r="N14" s="251">
        <f t="shared" si="1"/>
        <v>0.98802153959481875</v>
      </c>
      <c r="O14" s="234">
        <f>-0.002129335*(-1000)</f>
        <v>2.1293350000000002</v>
      </c>
    </row>
    <row r="15" spans="1:15" ht="21" customHeight="1" thickBot="1" x14ac:dyDescent="0.4">
      <c r="A15" s="124" t="s">
        <v>75</v>
      </c>
      <c r="B15" s="129" t="s">
        <v>11</v>
      </c>
      <c r="C15" s="126" t="s">
        <v>32</v>
      </c>
      <c r="D15" s="127">
        <f>DOE!$I$6</f>
        <v>35.879999999999995</v>
      </c>
      <c r="E15" s="128">
        <f>DOE!$G$3</f>
        <v>2.8743836291174323</v>
      </c>
      <c r="F15" s="222">
        <f>DOE!$K$29</f>
        <v>0.1605278143981122</v>
      </c>
      <c r="G15" s="222">
        <v>4.5999999999999996</v>
      </c>
      <c r="H15" s="128">
        <f>DOE!$M$6</f>
        <v>37.513399367012333</v>
      </c>
      <c r="I15" s="270">
        <f>0.00282667232*1000</f>
        <v>2.8266723200000001</v>
      </c>
      <c r="J15" s="124">
        <v>11096.457</v>
      </c>
      <c r="K15" s="129">
        <v>11069.117</v>
      </c>
      <c r="L15" s="129">
        <v>10784.374</v>
      </c>
      <c r="M15" s="222">
        <f t="shared" si="0"/>
        <v>4862.1864000000005</v>
      </c>
      <c r="N15" s="252">
        <f t="shared" si="1"/>
        <v>0.98212682334579104</v>
      </c>
      <c r="O15" s="235">
        <f>-0.0028363247*(-1000)</f>
        <v>2.8363247</v>
      </c>
    </row>
    <row r="16" spans="1:15" ht="21" customHeight="1" x14ac:dyDescent="0.35">
      <c r="A16" s="130" t="s">
        <v>76</v>
      </c>
      <c r="B16" s="131" t="s">
        <v>12</v>
      </c>
      <c r="C16" s="132" t="s">
        <v>30</v>
      </c>
      <c r="D16" s="133">
        <f>DOE!$I$3</f>
        <v>2.2999999999999998</v>
      </c>
      <c r="E16" s="134">
        <f>DOE!$G$7</f>
        <v>2.2995069032939459</v>
      </c>
      <c r="F16" s="225">
        <f>DOE!$K$27</f>
        <v>8.02639071990561E-2</v>
      </c>
      <c r="G16" s="225">
        <v>4.5999999999999996</v>
      </c>
      <c r="H16" s="134">
        <f>DOE!$M$7</f>
        <v>50.010719493609869</v>
      </c>
      <c r="I16" s="271">
        <f>0.00141333616*1000</f>
        <v>1.4133361600000001</v>
      </c>
      <c r="J16" s="130">
        <v>13593.105</v>
      </c>
      <c r="K16" s="135">
        <v>13572.098</v>
      </c>
      <c r="L16" s="135">
        <v>13502.844999999999</v>
      </c>
      <c r="M16" s="225">
        <f t="shared" si="0"/>
        <v>2365.5384000000013</v>
      </c>
      <c r="N16" s="255">
        <f t="shared" si="1"/>
        <v>0.99565475091400624</v>
      </c>
      <c r="O16" s="236">
        <f>-0.0014202571*(-1000)</f>
        <v>1.4202571000000002</v>
      </c>
    </row>
    <row r="17" spans="1:15" ht="21" customHeight="1" x14ac:dyDescent="0.35">
      <c r="A17" s="84" t="s">
        <v>77</v>
      </c>
      <c r="B17" s="79" t="s">
        <v>12</v>
      </c>
      <c r="C17" s="85" t="s">
        <v>31</v>
      </c>
      <c r="D17" s="109">
        <f>DOE!$I$3</f>
        <v>2.2999999999999998</v>
      </c>
      <c r="E17" s="102">
        <f>DOE!$G$7</f>
        <v>2.2995069032939459</v>
      </c>
      <c r="F17" s="50">
        <f>DOE!$K$28</f>
        <v>0.12039586079858416</v>
      </c>
      <c r="G17" s="50">
        <v>4.5999999999999996</v>
      </c>
      <c r="H17" s="102">
        <f>DOE!$M$7</f>
        <v>50.010719493609869</v>
      </c>
      <c r="I17" s="23">
        <f>0.00212000424*1000</f>
        <v>2.1200042400000001</v>
      </c>
      <c r="J17" s="84">
        <v>11207.525</v>
      </c>
      <c r="K17" s="17">
        <v>11176.148999999999</v>
      </c>
      <c r="L17" s="17">
        <v>11030.204</v>
      </c>
      <c r="M17" s="50">
        <f t="shared" si="0"/>
        <v>4751.1184000000012</v>
      </c>
      <c r="N17" s="256">
        <f t="shared" si="1"/>
        <v>0.99083678346481463</v>
      </c>
      <c r="O17" s="237">
        <f>-0.0021265096*(-1000)</f>
        <v>2.1265096000000003</v>
      </c>
    </row>
    <row r="18" spans="1:15" ht="21" customHeight="1" thickBot="1" x14ac:dyDescent="0.4">
      <c r="A18" s="136" t="s">
        <v>78</v>
      </c>
      <c r="B18" s="137" t="s">
        <v>12</v>
      </c>
      <c r="C18" s="138" t="s">
        <v>32</v>
      </c>
      <c r="D18" s="139">
        <f>DOE!$I$3</f>
        <v>2.2999999999999998</v>
      </c>
      <c r="E18" s="140">
        <f>DOE!$G$7</f>
        <v>2.2995069032939459</v>
      </c>
      <c r="F18" s="226">
        <f>DOE!$K$29</f>
        <v>0.1605278143981122</v>
      </c>
      <c r="G18" s="226">
        <v>4.5999999999999996</v>
      </c>
      <c r="H18" s="140">
        <f>DOE!$M$7</f>
        <v>50.010719493609869</v>
      </c>
      <c r="I18" s="272">
        <f>0.00282667232*1000</f>
        <v>2.8266723200000001</v>
      </c>
      <c r="J18" s="136">
        <v>9051.2461999999996</v>
      </c>
      <c r="K18" s="141">
        <v>9009.6766000000007</v>
      </c>
      <c r="L18" s="141">
        <v>8758.8363000000008</v>
      </c>
      <c r="M18" s="226">
        <f t="shared" si="0"/>
        <v>6907.3972000000012</v>
      </c>
      <c r="N18" s="257">
        <f t="shared" si="1"/>
        <v>0.98424080310540496</v>
      </c>
      <c r="O18" s="238">
        <f>-0.0028330219*(-1000)</f>
        <v>2.8330219000000003</v>
      </c>
    </row>
    <row r="19" spans="1:15" ht="21" customHeight="1" x14ac:dyDescent="0.35">
      <c r="A19" s="130" t="s">
        <v>79</v>
      </c>
      <c r="B19" s="131" t="s">
        <v>13</v>
      </c>
      <c r="C19" s="132" t="s">
        <v>30</v>
      </c>
      <c r="D19" s="133">
        <f>DOE!$I$4</f>
        <v>4.5999999999999996</v>
      </c>
      <c r="E19" s="134">
        <f>DOE!$G$7</f>
        <v>2.2995069032939459</v>
      </c>
      <c r="F19" s="225">
        <f>DOE!$K$27</f>
        <v>8.02639071990561E-2</v>
      </c>
      <c r="G19" s="225">
        <v>4.5999999999999996</v>
      </c>
      <c r="H19" s="134">
        <f>DOE!$M$8</f>
        <v>50.010719493609869</v>
      </c>
      <c r="I19" s="271">
        <f>0.00141333616*1000</f>
        <v>1.4133361600000001</v>
      </c>
      <c r="J19" s="130">
        <v>12970.425999999999</v>
      </c>
      <c r="K19" s="135">
        <v>12949.433000000001</v>
      </c>
      <c r="L19" s="135">
        <v>12853.861000000001</v>
      </c>
      <c r="M19" s="225">
        <f t="shared" si="0"/>
        <v>2988.2174000000014</v>
      </c>
      <c r="N19" s="255">
        <f t="shared" si="1"/>
        <v>0.99400338207945638</v>
      </c>
      <c r="O19" s="236">
        <f>-0.0014266744*(-1000)</f>
        <v>1.4266744</v>
      </c>
    </row>
    <row r="20" spans="1:15" ht="21" customHeight="1" x14ac:dyDescent="0.35">
      <c r="A20" s="84" t="s">
        <v>80</v>
      </c>
      <c r="B20" s="79" t="s">
        <v>13</v>
      </c>
      <c r="C20" s="85" t="s">
        <v>31</v>
      </c>
      <c r="D20" s="109">
        <f>DOE!$I$4</f>
        <v>4.5999999999999996</v>
      </c>
      <c r="E20" s="102">
        <f>DOE!$G$7</f>
        <v>2.2995069032939459</v>
      </c>
      <c r="F20" s="50">
        <f>DOE!$K$28</f>
        <v>0.12039586079858416</v>
      </c>
      <c r="G20" s="50">
        <v>4.5999999999999996</v>
      </c>
      <c r="H20" s="102">
        <f>DOE!$M$8</f>
        <v>50.010719493609869</v>
      </c>
      <c r="I20" s="23">
        <f>0.00212000424*1000</f>
        <v>2.1200042400000001</v>
      </c>
      <c r="J20" s="84">
        <v>12942.215</v>
      </c>
      <c r="K20" s="17">
        <v>12910.853999999999</v>
      </c>
      <c r="L20" s="17">
        <v>12716.227999999999</v>
      </c>
      <c r="M20" s="50">
        <f t="shared" si="0"/>
        <v>3016.4284000000007</v>
      </c>
      <c r="N20" s="256">
        <f t="shared" si="1"/>
        <v>0.98778033847130131</v>
      </c>
      <c r="O20" s="237">
        <f>-0.0021356687*(-1000)</f>
        <v>2.1356687000000001</v>
      </c>
    </row>
    <row r="21" spans="1:15" ht="21" customHeight="1" thickBot="1" x14ac:dyDescent="0.4">
      <c r="A21" s="136" t="s">
        <v>81</v>
      </c>
      <c r="B21" s="137" t="s">
        <v>13</v>
      </c>
      <c r="C21" s="138" t="s">
        <v>32</v>
      </c>
      <c r="D21" s="139">
        <f>DOE!$I$4</f>
        <v>4.5999999999999996</v>
      </c>
      <c r="E21" s="140">
        <f>DOE!$G$7</f>
        <v>2.2995069032939459</v>
      </c>
      <c r="F21" s="226">
        <f>DOE!$K$29</f>
        <v>0.1605278143981122</v>
      </c>
      <c r="G21" s="226">
        <v>4.5999999999999996</v>
      </c>
      <c r="H21" s="140">
        <f>DOE!$M$8</f>
        <v>50.010719493609869</v>
      </c>
      <c r="I21" s="272">
        <f>0.00282667232*1000</f>
        <v>2.8266723200000001</v>
      </c>
      <c r="J21" s="136">
        <v>12132.84</v>
      </c>
      <c r="K21" s="141">
        <v>12091.297</v>
      </c>
      <c r="L21" s="141">
        <v>11764.880999999999</v>
      </c>
      <c r="M21" s="226">
        <f t="shared" si="0"/>
        <v>3825.8034000000007</v>
      </c>
      <c r="N21" s="257">
        <f t="shared" si="1"/>
        <v>0.9794927473096795</v>
      </c>
      <c r="O21" s="238">
        <f>-0.0028446495*(-1000)</f>
        <v>2.8446495000000001</v>
      </c>
    </row>
    <row r="22" spans="1:15" ht="21" customHeight="1" x14ac:dyDescent="0.35">
      <c r="A22" s="130" t="s">
        <v>82</v>
      </c>
      <c r="B22" s="131" t="s">
        <v>14</v>
      </c>
      <c r="C22" s="132" t="s">
        <v>30</v>
      </c>
      <c r="D22" s="133">
        <f>DOE!$I$5</f>
        <v>9.1999999999999993</v>
      </c>
      <c r="E22" s="134">
        <f>DOE!$G$7</f>
        <v>2.2995069032939459</v>
      </c>
      <c r="F22" s="225">
        <f>DOE!$K$27</f>
        <v>8.02639071990561E-2</v>
      </c>
      <c r="G22" s="225">
        <v>4.5999999999999996</v>
      </c>
      <c r="H22" s="134">
        <f>DOE!$M$9</f>
        <v>50.010719493609869</v>
      </c>
      <c r="I22" s="271">
        <f>0.00141333616*1000</f>
        <v>1.4133361600000001</v>
      </c>
      <c r="J22" s="130">
        <v>11232.637000000001</v>
      </c>
      <c r="K22" s="135">
        <v>11218.677</v>
      </c>
      <c r="L22" s="135">
        <v>11094.121999999999</v>
      </c>
      <c r="M22" s="225">
        <f t="shared" si="0"/>
        <v>4726.0064000000002</v>
      </c>
      <c r="N22" s="255">
        <f t="shared" si="1"/>
        <v>0.99218830522530155</v>
      </c>
      <c r="O22" s="236">
        <f>-0.0014257436*(-1000)</f>
        <v>1.4257435999999999</v>
      </c>
    </row>
    <row r="23" spans="1:15" ht="21" customHeight="1" x14ac:dyDescent="0.35">
      <c r="A23" s="84" t="s">
        <v>83</v>
      </c>
      <c r="B23" s="79" t="s">
        <v>14</v>
      </c>
      <c r="C23" s="85" t="s">
        <v>31</v>
      </c>
      <c r="D23" s="109">
        <f>DOE!$I$5</f>
        <v>9.1999999999999993</v>
      </c>
      <c r="E23" s="102">
        <f>DOE!$G$7</f>
        <v>2.2995069032939459</v>
      </c>
      <c r="F23" s="50">
        <f>DOE!$K$28</f>
        <v>0.12039586079858416</v>
      </c>
      <c r="G23" s="50">
        <v>4.5999999999999996</v>
      </c>
      <c r="H23" s="102">
        <f>DOE!$M$9</f>
        <v>50.010719493609869</v>
      </c>
      <c r="I23" s="23">
        <f>0.00212000424*1000</f>
        <v>2.1200042400000001</v>
      </c>
      <c r="J23" s="84">
        <v>13021.07</v>
      </c>
      <c r="K23" s="17">
        <v>13000.254999999999</v>
      </c>
      <c r="L23" s="17">
        <v>12768.491</v>
      </c>
      <c r="M23" s="50">
        <f t="shared" si="0"/>
        <v>2937.5734000000011</v>
      </c>
      <c r="N23" s="256">
        <f t="shared" si="1"/>
        <v>0.98545824473803478</v>
      </c>
      <c r="O23" s="237">
        <f>-0.0021348068*(-1000)</f>
        <v>2.1348068000000002</v>
      </c>
    </row>
    <row r="24" spans="1:15" ht="21" customHeight="1" thickBot="1" x14ac:dyDescent="0.4">
      <c r="A24" s="136" t="s">
        <v>84</v>
      </c>
      <c r="B24" s="137" t="s">
        <v>14</v>
      </c>
      <c r="C24" s="138" t="s">
        <v>32</v>
      </c>
      <c r="D24" s="139">
        <f>DOE!$I$5</f>
        <v>9.1999999999999993</v>
      </c>
      <c r="E24" s="140">
        <f>DOE!$G$7</f>
        <v>2.2995069032939459</v>
      </c>
      <c r="F24" s="226">
        <f>DOE!$K$29</f>
        <v>0.1605278143981122</v>
      </c>
      <c r="G24" s="226">
        <v>4.5999999999999996</v>
      </c>
      <c r="H24" s="140">
        <f>DOE!$M$9</f>
        <v>50.010719493609869</v>
      </c>
      <c r="I24" s="272">
        <f>0.00282667232*1000</f>
        <v>2.8266723200000001</v>
      </c>
      <c r="J24" s="136">
        <v>16353.700999999999</v>
      </c>
      <c r="K24" s="141">
        <v>16326.189</v>
      </c>
      <c r="L24" s="141">
        <v>15956.691999999999</v>
      </c>
      <c r="M24" s="226">
        <f t="shared" si="0"/>
        <v>-395.05759999999827</v>
      </c>
      <c r="N24" s="257">
        <f t="shared" si="1"/>
        <v>0.97680660646612949</v>
      </c>
      <c r="O24" s="238">
        <f>-0.0028439448*(-1000)</f>
        <v>2.8439448000000001</v>
      </c>
    </row>
    <row r="25" spans="1:15" ht="21" customHeight="1" x14ac:dyDescent="0.35">
      <c r="A25" s="130" t="s">
        <v>85</v>
      </c>
      <c r="B25" s="131" t="s">
        <v>15</v>
      </c>
      <c r="C25" s="132" t="s">
        <v>30</v>
      </c>
      <c r="D25" s="133">
        <f>DOE!$I$6</f>
        <v>35.879999999999995</v>
      </c>
      <c r="E25" s="134">
        <f>DOE!$G$7</f>
        <v>2.2995069032939459</v>
      </c>
      <c r="F25" s="225">
        <f>DOE!$K$27</f>
        <v>8.02639071990561E-2</v>
      </c>
      <c r="G25" s="225">
        <v>4.5999999999999996</v>
      </c>
      <c r="H25" s="134">
        <f>DOE!$M$10</f>
        <v>50.010719493609869</v>
      </c>
      <c r="I25" s="271">
        <f>0.00141333616*1000</f>
        <v>1.4133361600000001</v>
      </c>
      <c r="J25" s="130">
        <v>11561.704</v>
      </c>
      <c r="K25" s="135">
        <v>11547.807000000001</v>
      </c>
      <c r="L25" s="135">
        <v>11456.457</v>
      </c>
      <c r="M25" s="225">
        <f t="shared" si="0"/>
        <v>4396.9394000000011</v>
      </c>
      <c r="N25" s="255">
        <f t="shared" si="1"/>
        <v>0.99427084020602541</v>
      </c>
      <c r="O25" s="236">
        <f>-0.0014266729*(-1000)</f>
        <v>1.4266729</v>
      </c>
    </row>
    <row r="26" spans="1:15" ht="21" customHeight="1" x14ac:dyDescent="0.35">
      <c r="A26" s="84" t="s">
        <v>86</v>
      </c>
      <c r="B26" s="79" t="s">
        <v>15</v>
      </c>
      <c r="C26" s="85" t="s">
        <v>31</v>
      </c>
      <c r="D26" s="109">
        <f>DOE!$I$6</f>
        <v>35.879999999999995</v>
      </c>
      <c r="E26" s="102">
        <f>DOE!$G$7</f>
        <v>2.2995069032939459</v>
      </c>
      <c r="F26" s="50">
        <f>DOE!$K$28</f>
        <v>0.12039586079858416</v>
      </c>
      <c r="G26" s="50">
        <v>4.5999999999999996</v>
      </c>
      <c r="H26" s="102">
        <f>DOE!$M$10</f>
        <v>50.010719493609869</v>
      </c>
      <c r="I26" s="23">
        <f>0.00212000424*1000</f>
        <v>2.1200042400000001</v>
      </c>
      <c r="J26" s="84">
        <v>11181.412</v>
      </c>
      <c r="K26" s="17">
        <v>11160.732</v>
      </c>
      <c r="L26" s="17">
        <v>10987.856</v>
      </c>
      <c r="M26" s="50">
        <f t="shared" si="0"/>
        <v>4777.2314000000006</v>
      </c>
      <c r="N26" s="256">
        <f t="shared" si="1"/>
        <v>0.98915319381395994</v>
      </c>
      <c r="O26" s="237">
        <f>-0.0021356694*(-1000)</f>
        <v>2.1356693999999998</v>
      </c>
    </row>
    <row r="27" spans="1:15" ht="21" customHeight="1" thickBot="1" x14ac:dyDescent="0.4">
      <c r="A27" s="136" t="s">
        <v>87</v>
      </c>
      <c r="B27" s="137" t="s">
        <v>15</v>
      </c>
      <c r="C27" s="138" t="s">
        <v>32</v>
      </c>
      <c r="D27" s="139">
        <f>DOE!$I$6</f>
        <v>35.879999999999995</v>
      </c>
      <c r="E27" s="140">
        <f>DOE!$G$7</f>
        <v>2.2995069032939459</v>
      </c>
      <c r="F27" s="226">
        <f>DOE!$K$29</f>
        <v>0.1605278143981122</v>
      </c>
      <c r="G27" s="226">
        <v>4.5999999999999996</v>
      </c>
      <c r="H27" s="140">
        <f>DOE!$M$10</f>
        <v>50.010719493609869</v>
      </c>
      <c r="I27" s="272">
        <f>0.00282667232*1000</f>
        <v>2.8266723200000001</v>
      </c>
      <c r="J27" s="136">
        <v>15908.838</v>
      </c>
      <c r="K27" s="141">
        <v>15881.549000000001</v>
      </c>
      <c r="L27" s="141">
        <v>15602.708000000001</v>
      </c>
      <c r="M27" s="226">
        <f t="shared" si="0"/>
        <v>49.8054000000011</v>
      </c>
      <c r="N27" s="257">
        <f t="shared" si="1"/>
        <v>0.98249734498405228</v>
      </c>
      <c r="O27" s="238">
        <f>-0.0028446483*(-1000)</f>
        <v>2.8446483000000002</v>
      </c>
    </row>
    <row r="28" spans="1:15" ht="21" customHeight="1" x14ac:dyDescent="0.35">
      <c r="A28" s="142" t="s">
        <v>88</v>
      </c>
      <c r="B28" s="143" t="s">
        <v>16</v>
      </c>
      <c r="C28" s="144" t="s">
        <v>30</v>
      </c>
      <c r="D28" s="145">
        <f>DOE!$I$3</f>
        <v>2.2999999999999998</v>
      </c>
      <c r="E28" s="146">
        <f>DOE!$G$11</f>
        <v>1.7247649299945913</v>
      </c>
      <c r="F28" s="227">
        <f>DOE!$K$27</f>
        <v>8.02639071990561E-2</v>
      </c>
      <c r="G28" s="227">
        <v>4.5999999999999996</v>
      </c>
      <c r="H28" s="146">
        <f>DOE!$M$11</f>
        <v>62.505110217508886</v>
      </c>
      <c r="I28" s="273">
        <f>0.00141333616*1000</f>
        <v>1.4133361600000001</v>
      </c>
      <c r="J28" s="142">
        <v>12996.737999999999</v>
      </c>
      <c r="K28" s="147">
        <v>12975.74</v>
      </c>
      <c r="L28" s="147">
        <v>12728.707</v>
      </c>
      <c r="M28" s="227">
        <f t="shared" si="0"/>
        <v>2961.9054000000015</v>
      </c>
      <c r="N28" s="258">
        <f t="shared" si="1"/>
        <v>0.98450003160441757</v>
      </c>
      <c r="O28" s="239">
        <f>-0.0014256507*(-1000)</f>
        <v>1.4256506999999998</v>
      </c>
    </row>
    <row r="29" spans="1:15" ht="21" customHeight="1" x14ac:dyDescent="0.35">
      <c r="A29" s="86" t="s">
        <v>89</v>
      </c>
      <c r="B29" s="80" t="s">
        <v>16</v>
      </c>
      <c r="C29" s="87" t="s">
        <v>31</v>
      </c>
      <c r="D29" s="110">
        <f>DOE!$I$3</f>
        <v>2.2999999999999998</v>
      </c>
      <c r="E29" s="103">
        <f>DOE!$G$11</f>
        <v>1.7247649299945913</v>
      </c>
      <c r="F29" s="53">
        <f>DOE!$K$28</f>
        <v>0.12039586079858416</v>
      </c>
      <c r="G29" s="53">
        <v>4.5999999999999996</v>
      </c>
      <c r="H29" s="103">
        <f>DOE!$M$11</f>
        <v>62.505110217508886</v>
      </c>
      <c r="I29" s="26">
        <f>0.00212000424*1000</f>
        <v>2.1200042400000001</v>
      </c>
      <c r="J29" s="86">
        <v>11283.103999999999</v>
      </c>
      <c r="K29" s="11">
        <v>11251.746999999999</v>
      </c>
      <c r="L29" s="11">
        <v>10731.102000000001</v>
      </c>
      <c r="M29" s="53">
        <f t="shared" si="0"/>
        <v>4675.5394000000015</v>
      </c>
      <c r="N29" s="259">
        <f t="shared" si="1"/>
        <v>0.96731112965985222</v>
      </c>
      <c r="O29" s="240">
        <f>-0.002134087*(-1000)</f>
        <v>2.1340869999999996</v>
      </c>
    </row>
    <row r="30" spans="1:15" ht="21" customHeight="1" thickBot="1" x14ac:dyDescent="0.4">
      <c r="A30" s="148" t="s">
        <v>90</v>
      </c>
      <c r="B30" s="149" t="s">
        <v>16</v>
      </c>
      <c r="C30" s="150" t="s">
        <v>32</v>
      </c>
      <c r="D30" s="151">
        <f>DOE!$I$3</f>
        <v>2.2999999999999998</v>
      </c>
      <c r="E30" s="152">
        <f>DOE!$G$11</f>
        <v>1.7247649299945913</v>
      </c>
      <c r="F30" s="228">
        <f>DOE!$K$29</f>
        <v>0.1605278143981122</v>
      </c>
      <c r="G30" s="228">
        <v>4.5999999999999996</v>
      </c>
      <c r="H30" s="152">
        <f>DOE!$M$11</f>
        <v>62.505110217508886</v>
      </c>
      <c r="I30" s="274">
        <f>0.00282667232*1000</f>
        <v>2.8266723200000001</v>
      </c>
      <c r="J30" s="148">
        <v>16564.486000000001</v>
      </c>
      <c r="K30" s="153">
        <v>16522.798999999999</v>
      </c>
      <c r="L30" s="153">
        <v>15633.346</v>
      </c>
      <c r="M30" s="228">
        <f t="shared" si="0"/>
        <v>-605.84259999999995</v>
      </c>
      <c r="N30" s="260">
        <f t="shared" si="1"/>
        <v>0.94411915333260576</v>
      </c>
      <c r="O30" s="241">
        <f>-0.0028426807*(-1000)</f>
        <v>2.8426806999999998</v>
      </c>
    </row>
    <row r="31" spans="1:15" ht="21" customHeight="1" x14ac:dyDescent="0.35">
      <c r="A31" s="142" t="s">
        <v>91</v>
      </c>
      <c r="B31" s="143" t="s">
        <v>17</v>
      </c>
      <c r="C31" s="144" t="s">
        <v>30</v>
      </c>
      <c r="D31" s="145">
        <f>DOE!$I$4</f>
        <v>4.5999999999999996</v>
      </c>
      <c r="E31" s="146">
        <f>DOE!$G$11</f>
        <v>1.7247649299945913</v>
      </c>
      <c r="F31" s="227">
        <f>DOE!$K$27</f>
        <v>8.02639071990561E-2</v>
      </c>
      <c r="G31" s="227">
        <v>4.5999999999999996</v>
      </c>
      <c r="H31" s="146">
        <f>DOE!$M$12</f>
        <v>62.505110217508886</v>
      </c>
      <c r="I31" s="273">
        <f>0.00141333616*1000</f>
        <v>1.4133361600000001</v>
      </c>
      <c r="J31" s="142">
        <v>11517.52</v>
      </c>
      <c r="K31" s="147">
        <v>11496.468999999999</v>
      </c>
      <c r="L31" s="147">
        <v>11159.216</v>
      </c>
      <c r="M31" s="227">
        <f t="shared" si="0"/>
        <v>4441.1234000000004</v>
      </c>
      <c r="N31" s="258">
        <f t="shared" si="1"/>
        <v>0.97883915013411948</v>
      </c>
      <c r="O31" s="239">
        <f>-0.0014250186*(-1000)</f>
        <v>1.4250186</v>
      </c>
    </row>
    <row r="32" spans="1:15" ht="21" customHeight="1" x14ac:dyDescent="0.35">
      <c r="A32" s="86" t="s">
        <v>92</v>
      </c>
      <c r="B32" s="80" t="s">
        <v>17</v>
      </c>
      <c r="C32" s="87" t="s">
        <v>31</v>
      </c>
      <c r="D32" s="110">
        <f>DOE!$I$4</f>
        <v>4.5999999999999996</v>
      </c>
      <c r="E32" s="103">
        <f>DOE!$G$11</f>
        <v>1.7247649299945913</v>
      </c>
      <c r="F32" s="53">
        <f>DOE!$K$28</f>
        <v>0.12039586079858416</v>
      </c>
      <c r="G32" s="53">
        <v>4.5999999999999996</v>
      </c>
      <c r="H32" s="103">
        <f>DOE!$M$12</f>
        <v>62.505110217508886</v>
      </c>
      <c r="I32" s="26">
        <f>0.00212000424*1000</f>
        <v>2.1200042400000001</v>
      </c>
      <c r="J32" s="86">
        <v>13561.786</v>
      </c>
      <c r="K32" s="11">
        <v>13530.316999999999</v>
      </c>
      <c r="L32" s="11">
        <v>12845.438</v>
      </c>
      <c r="M32" s="53">
        <f t="shared" si="0"/>
        <v>2396.8574000000008</v>
      </c>
      <c r="N32" s="259">
        <f t="shared" si="1"/>
        <v>0.95699934069912618</v>
      </c>
      <c r="O32" s="240">
        <f>-0.0021335993*(-1000)</f>
        <v>2.1335993000000002</v>
      </c>
    </row>
    <row r="33" spans="1:16" ht="21" customHeight="1" thickBot="1" x14ac:dyDescent="0.4">
      <c r="A33" s="148" t="s">
        <v>93</v>
      </c>
      <c r="B33" s="149" t="s">
        <v>17</v>
      </c>
      <c r="C33" s="150" t="s">
        <v>32</v>
      </c>
      <c r="D33" s="151">
        <f>DOE!$I$4</f>
        <v>4.5999999999999996</v>
      </c>
      <c r="E33" s="152">
        <f>DOE!$G$11</f>
        <v>1.7247649299945913</v>
      </c>
      <c r="F33" s="228">
        <f>DOE!$K$29</f>
        <v>0.1605278143981122</v>
      </c>
      <c r="G33" s="228">
        <v>4.5999999999999996</v>
      </c>
      <c r="H33" s="152">
        <f>DOE!$M$12</f>
        <v>62.505110217508886</v>
      </c>
      <c r="I33" s="274">
        <f>0.00282667232*1000</f>
        <v>2.8266723200000001</v>
      </c>
      <c r="J33" s="148">
        <v>12821.294</v>
      </c>
      <c r="K33" s="153">
        <v>12779.674999999999</v>
      </c>
      <c r="L33" s="153">
        <v>11648.679</v>
      </c>
      <c r="M33" s="228">
        <f t="shared" si="0"/>
        <v>3137.349400000001</v>
      </c>
      <c r="N33" s="260">
        <f t="shared" si="1"/>
        <v>0.9289442566915963</v>
      </c>
      <c r="O33" s="241">
        <f>-0.002842399*(-1000)</f>
        <v>2.8423989999999999</v>
      </c>
    </row>
    <row r="34" spans="1:16" ht="21" customHeight="1" x14ac:dyDescent="0.35">
      <c r="A34" s="142" t="s">
        <v>94</v>
      </c>
      <c r="B34" s="143" t="s">
        <v>18</v>
      </c>
      <c r="C34" s="144" t="s">
        <v>30</v>
      </c>
      <c r="D34" s="145">
        <f>DOE!$I$5</f>
        <v>9.1999999999999993</v>
      </c>
      <c r="E34" s="146">
        <f>DOE!$G$11</f>
        <v>1.7247649299945913</v>
      </c>
      <c r="F34" s="227">
        <f>DOE!$K$27</f>
        <v>8.02639071990561E-2</v>
      </c>
      <c r="G34" s="227">
        <v>4.5999999999999996</v>
      </c>
      <c r="H34" s="146">
        <f>DOE!$M$13</f>
        <v>62.505110217508886</v>
      </c>
      <c r="I34" s="273">
        <f>0.00141333616*1000</f>
        <v>1.4133361600000001</v>
      </c>
      <c r="J34" s="142">
        <v>11209.960999999999</v>
      </c>
      <c r="K34" s="147">
        <v>11196.062</v>
      </c>
      <c r="L34" s="147">
        <v>10778.687</v>
      </c>
      <c r="M34" s="227">
        <f t="shared" si="0"/>
        <v>4748.6824000000015</v>
      </c>
      <c r="N34" s="258">
        <f t="shared" si="1"/>
        <v>0.97382366317518387</v>
      </c>
      <c r="O34" s="239">
        <f>-0.0014277063*(-1000)</f>
        <v>1.4277063000000001</v>
      </c>
    </row>
    <row r="35" spans="1:16" ht="21" customHeight="1" x14ac:dyDescent="0.35">
      <c r="A35" s="86" t="s">
        <v>95</v>
      </c>
      <c r="B35" s="80" t="s">
        <v>18</v>
      </c>
      <c r="C35" s="87" t="s">
        <v>31</v>
      </c>
      <c r="D35" s="110">
        <f>DOE!$I$5</f>
        <v>9.1999999999999993</v>
      </c>
      <c r="E35" s="103">
        <f>DOE!$G$11</f>
        <v>1.7247649299945913</v>
      </c>
      <c r="F35" s="53">
        <f>DOE!$K$28</f>
        <v>0.12039586079858416</v>
      </c>
      <c r="G35" s="53">
        <v>4.5999999999999996</v>
      </c>
      <c r="H35" s="103">
        <f>DOE!$M$13</f>
        <v>62.505110217508886</v>
      </c>
      <c r="I35" s="26">
        <f>0.00212000424*1000</f>
        <v>2.1200042400000001</v>
      </c>
      <c r="J35" s="86">
        <v>14286.65</v>
      </c>
      <c r="K35" s="11">
        <v>14265.977000000001</v>
      </c>
      <c r="L35" s="11">
        <v>13465.05</v>
      </c>
      <c r="M35" s="53">
        <f t="shared" si="0"/>
        <v>1671.9934000000012</v>
      </c>
      <c r="N35" s="259">
        <f t="shared" si="1"/>
        <v>0.94974724008773403</v>
      </c>
      <c r="O35" s="240">
        <f>-0.0021372614*(-1000)</f>
        <v>2.1372613999999999</v>
      </c>
    </row>
    <row r="36" spans="1:16" ht="21" customHeight="1" thickBot="1" x14ac:dyDescent="0.4">
      <c r="A36" s="148" t="s">
        <v>96</v>
      </c>
      <c r="B36" s="149" t="s">
        <v>18</v>
      </c>
      <c r="C36" s="150" t="s">
        <v>32</v>
      </c>
      <c r="D36" s="151">
        <f>DOE!$I$5</f>
        <v>9.1999999999999993</v>
      </c>
      <c r="E36" s="152">
        <f>DOE!$G$11</f>
        <v>1.7247649299945913</v>
      </c>
      <c r="F36" s="228">
        <f>DOE!$K$29</f>
        <v>0.1605278143981122</v>
      </c>
      <c r="G36" s="228">
        <v>4.5999999999999996</v>
      </c>
      <c r="H36" s="152">
        <f>DOE!$M$13</f>
        <v>62.505110217508886</v>
      </c>
      <c r="I36" s="274">
        <f>0.00282667232*1000</f>
        <v>2.8266723200000001</v>
      </c>
      <c r="J36" s="148">
        <v>17264.169999999998</v>
      </c>
      <c r="K36" s="153">
        <v>17236.886999999999</v>
      </c>
      <c r="L36" s="153">
        <v>15973.911</v>
      </c>
      <c r="M36" s="228">
        <f t="shared" si="0"/>
        <v>-1305.5265999999974</v>
      </c>
      <c r="N36" s="260">
        <f t="shared" si="1"/>
        <v>0.92072390754527156</v>
      </c>
      <c r="O36" s="241">
        <f>-0.002846671*(-1000)</f>
        <v>2.8466709999999997</v>
      </c>
    </row>
    <row r="37" spans="1:16" ht="21" customHeight="1" x14ac:dyDescent="0.35">
      <c r="A37" s="142" t="s">
        <v>97</v>
      </c>
      <c r="B37" s="143" t="s">
        <v>19</v>
      </c>
      <c r="C37" s="144" t="s">
        <v>30</v>
      </c>
      <c r="D37" s="145">
        <f>DOE!$I$6</f>
        <v>35.879999999999995</v>
      </c>
      <c r="E37" s="146">
        <f>DOE!$G$11</f>
        <v>1.7247649299945913</v>
      </c>
      <c r="F37" s="227">
        <f>DOE!$K$27</f>
        <v>8.02639071990561E-2</v>
      </c>
      <c r="G37" s="227">
        <v>4.5999999999999996</v>
      </c>
      <c r="H37" s="146">
        <f>DOE!$M$14</f>
        <v>62.505110217508886</v>
      </c>
      <c r="I37" s="273">
        <f>0.00141333616*1000</f>
        <v>1.4133361600000001</v>
      </c>
      <c r="J37" s="142">
        <v>11469.534</v>
      </c>
      <c r="K37" s="147">
        <v>11455.574000000001</v>
      </c>
      <c r="L37" s="147">
        <v>10510.022999999999</v>
      </c>
      <c r="M37" s="227">
        <f t="shared" si="0"/>
        <v>4489.1094000000012</v>
      </c>
      <c r="N37" s="258">
        <f t="shared" si="1"/>
        <v>0.94069803857002254</v>
      </c>
      <c r="O37" s="239">
        <f>-0.0014178759*(-1000)</f>
        <v>1.4178758999999999</v>
      </c>
    </row>
    <row r="38" spans="1:16" ht="21" customHeight="1" x14ac:dyDescent="0.35">
      <c r="A38" s="86" t="s">
        <v>98</v>
      </c>
      <c r="B38" s="80" t="s">
        <v>19</v>
      </c>
      <c r="C38" s="87" t="s">
        <v>31</v>
      </c>
      <c r="D38" s="110">
        <f>DOE!$I$6</f>
        <v>35.879999999999995</v>
      </c>
      <c r="E38" s="103">
        <f>DOE!$G$11</f>
        <v>1.7247649299945913</v>
      </c>
      <c r="F38" s="53">
        <f>DOE!$K$28</f>
        <v>0.12039586079858416</v>
      </c>
      <c r="G38" s="53">
        <v>4.5999999999999996</v>
      </c>
      <c r="H38" s="103">
        <f>DOE!$M$14</f>
        <v>62.505110217508886</v>
      </c>
      <c r="I38" s="26">
        <f>0.00212000424*1000</f>
        <v>2.1200042400000001</v>
      </c>
      <c r="J38" s="86">
        <v>14420.373</v>
      </c>
      <c r="K38" s="11">
        <v>14399.564</v>
      </c>
      <c r="L38" s="11">
        <v>12736.275</v>
      </c>
      <c r="M38" s="53">
        <f t="shared" si="0"/>
        <v>1538.2704000000012</v>
      </c>
      <c r="N38" s="259">
        <f t="shared" si="1"/>
        <v>0.89563895832673479</v>
      </c>
      <c r="O38" s="240">
        <f>-0.00212273*(-1000)</f>
        <v>2.1227300000000002</v>
      </c>
    </row>
    <row r="39" spans="1:16" ht="21" customHeight="1" thickBot="1" x14ac:dyDescent="0.4">
      <c r="A39" s="148" t="s">
        <v>99</v>
      </c>
      <c r="B39" s="149" t="s">
        <v>19</v>
      </c>
      <c r="C39" s="150" t="s">
        <v>32</v>
      </c>
      <c r="D39" s="151">
        <f>DOE!$I$6</f>
        <v>35.879999999999995</v>
      </c>
      <c r="E39" s="152">
        <f>DOE!$G$11</f>
        <v>1.7247649299945913</v>
      </c>
      <c r="F39" s="228">
        <f>DOE!$K$29</f>
        <v>0.1605278143981122</v>
      </c>
      <c r="G39" s="228">
        <v>4.5999999999999996</v>
      </c>
      <c r="H39" s="152">
        <f>DOE!$M$14</f>
        <v>62.505110217508886</v>
      </c>
      <c r="I39" s="274">
        <f>0.00282667232*1000</f>
        <v>2.8266723200000001</v>
      </c>
      <c r="J39" s="148">
        <v>16261.94</v>
      </c>
      <c r="K39" s="153">
        <v>16234.429</v>
      </c>
      <c r="L39" s="153">
        <v>13699.807000000001</v>
      </c>
      <c r="M39" s="228">
        <f t="shared" si="0"/>
        <v>-303.29659999999967</v>
      </c>
      <c r="N39" s="260">
        <f t="shared" si="1"/>
        <v>0.84090132852075228</v>
      </c>
      <c r="O39" s="241">
        <f>-0.0028274164*(-1000)</f>
        <v>2.8274163999999997</v>
      </c>
    </row>
    <row r="40" spans="1:16" ht="21" customHeight="1" x14ac:dyDescent="0.35">
      <c r="A40" s="154" t="s">
        <v>100</v>
      </c>
      <c r="B40" s="155" t="s">
        <v>20</v>
      </c>
      <c r="C40" s="156" t="s">
        <v>30</v>
      </c>
      <c r="D40" s="157">
        <v>24</v>
      </c>
      <c r="E40" s="158">
        <f>DOE!$G$15</f>
        <v>1.149753451646973</v>
      </c>
      <c r="F40" s="229">
        <f>DOE!$K$27</f>
        <v>8.02639071990561E-2</v>
      </c>
      <c r="G40" s="229">
        <v>4.5999999999999996</v>
      </c>
      <c r="H40" s="158">
        <f>DOE!$M$15</f>
        <v>75.005359746804928</v>
      </c>
      <c r="I40" s="275">
        <f>0.00141333616*1000</f>
        <v>1.4133361600000001</v>
      </c>
      <c r="J40" s="154">
        <v>12033.138999999999</v>
      </c>
      <c r="K40" s="159">
        <v>12012.14</v>
      </c>
      <c r="L40" s="159">
        <v>10706.673000000001</v>
      </c>
      <c r="M40" s="229">
        <f t="shared" si="0"/>
        <v>3925.5044000000016</v>
      </c>
      <c r="N40" s="261">
        <f t="shared" si="1"/>
        <v>0.91808908724303084</v>
      </c>
      <c r="O40" s="242">
        <f>-0.0014229677*(-1000)</f>
        <v>1.4229677000000001</v>
      </c>
    </row>
    <row r="41" spans="1:16" ht="21" customHeight="1" x14ac:dyDescent="0.35">
      <c r="A41" s="88" t="s">
        <v>101</v>
      </c>
      <c r="B41" s="81" t="s">
        <v>20</v>
      </c>
      <c r="C41" s="89" t="s">
        <v>31</v>
      </c>
      <c r="D41" s="111">
        <f>DOE!$I$3</f>
        <v>2.2999999999999998</v>
      </c>
      <c r="E41" s="104">
        <f>DOE!$G$15</f>
        <v>1.149753451646973</v>
      </c>
      <c r="F41" s="56">
        <f>DOE!$K$28</f>
        <v>0.12039586079858416</v>
      </c>
      <c r="G41" s="56">
        <v>4.5999999999999996</v>
      </c>
      <c r="H41" s="104">
        <f>DOE!$M$15</f>
        <v>75.005359746804928</v>
      </c>
      <c r="I41" s="29">
        <f>0.00212000424*1000</f>
        <v>2.1200042400000001</v>
      </c>
      <c r="J41" s="88">
        <v>13496.121999999999</v>
      </c>
      <c r="K41" s="14">
        <v>13464.616</v>
      </c>
      <c r="L41" s="14">
        <v>10748.557000000001</v>
      </c>
      <c r="M41" s="56">
        <f t="shared" si="0"/>
        <v>2462.5214000000014</v>
      </c>
      <c r="N41" s="262">
        <f t="shared" si="1"/>
        <v>0.82946973258358414</v>
      </c>
      <c r="O41" s="243">
        <f>-0.0021307996*(-1000)</f>
        <v>2.1307996</v>
      </c>
    </row>
    <row r="42" spans="1:16" ht="21" customHeight="1" thickBot="1" x14ac:dyDescent="0.4">
      <c r="A42" s="90" t="s">
        <v>102</v>
      </c>
      <c r="B42" s="91" t="s">
        <v>20</v>
      </c>
      <c r="C42" s="92" t="s">
        <v>32</v>
      </c>
      <c r="D42" s="112">
        <f>DOE!$I$3</f>
        <v>2.2999999999999998</v>
      </c>
      <c r="E42" s="105">
        <f>DOE!$G$15</f>
        <v>1.149753451646973</v>
      </c>
      <c r="F42" s="230">
        <f>DOE!$K$29</f>
        <v>0.1605278143981122</v>
      </c>
      <c r="G42" s="230">
        <v>4.5999999999999996</v>
      </c>
      <c r="H42" s="105">
        <f>DOE!$M$15</f>
        <v>75.005359746804928</v>
      </c>
      <c r="I42" s="276">
        <f>0.00282667232*1000</f>
        <v>2.8266723200000001</v>
      </c>
      <c r="J42" s="90">
        <v>19080.269</v>
      </c>
      <c r="K42" s="93">
        <v>19038.753000000001</v>
      </c>
      <c r="L42" s="93">
        <v>14371.305</v>
      </c>
      <c r="M42" s="230">
        <f t="shared" si="0"/>
        <v>-3121.6255999999994</v>
      </c>
      <c r="N42" s="263">
        <f t="shared" si="1"/>
        <v>0.70676568185287003</v>
      </c>
      <c r="O42" s="244">
        <f>-0.0028386814*(-1000)</f>
        <v>2.8386814</v>
      </c>
    </row>
    <row r="43" spans="1:16" ht="21" customHeight="1" x14ac:dyDescent="0.35">
      <c r="A43" s="154" t="s">
        <v>103</v>
      </c>
      <c r="B43" s="155" t="s">
        <v>21</v>
      </c>
      <c r="C43" s="156" t="s">
        <v>30</v>
      </c>
      <c r="D43" s="157">
        <f>DOE!$I$4</f>
        <v>4.5999999999999996</v>
      </c>
      <c r="E43" s="158">
        <f>DOE!$G$15</f>
        <v>1.149753451646973</v>
      </c>
      <c r="F43" s="229">
        <f>DOE!$K$27</f>
        <v>8.02639071990561E-2</v>
      </c>
      <c r="G43" s="229">
        <v>4.5999999999999996</v>
      </c>
      <c r="H43" s="158">
        <f>DOE!$M$16</f>
        <v>75.005359746804928</v>
      </c>
      <c r="I43" s="275">
        <f>0.00141333616*1000</f>
        <v>1.4133361600000001</v>
      </c>
      <c r="J43" s="154">
        <v>11668.684999999999</v>
      </c>
      <c r="K43" s="159">
        <v>11647.71</v>
      </c>
      <c r="L43" s="159">
        <v>9898.1311000000005</v>
      </c>
      <c r="M43" s="229">
        <f t="shared" si="0"/>
        <v>4289.9584000000013</v>
      </c>
      <c r="N43" s="261">
        <f t="shared" si="1"/>
        <v>0.89022366031909672</v>
      </c>
      <c r="O43" s="242">
        <f>0.0014203841*1000</f>
        <v>1.4203841000000001</v>
      </c>
      <c r="P43" t="s">
        <v>135</v>
      </c>
    </row>
    <row r="44" spans="1:16" ht="21" customHeight="1" x14ac:dyDescent="0.35">
      <c r="A44" s="88" t="s">
        <v>104</v>
      </c>
      <c r="B44" s="81" t="s">
        <v>21</v>
      </c>
      <c r="C44" s="89" t="s">
        <v>31</v>
      </c>
      <c r="D44" s="111">
        <f>DOE!$I$4</f>
        <v>4.5999999999999996</v>
      </c>
      <c r="E44" s="104">
        <f>DOE!$G$15</f>
        <v>1.149753451646973</v>
      </c>
      <c r="F44" s="56">
        <f>DOE!$K$28</f>
        <v>0.12039586079858416</v>
      </c>
      <c r="G44" s="56">
        <v>4.5999999999999996</v>
      </c>
      <c r="H44" s="104">
        <f>DOE!$M$16</f>
        <v>75.005359746804928</v>
      </c>
      <c r="I44" s="29">
        <f>0.00212000424*1000</f>
        <v>2.1200042400000001</v>
      </c>
      <c r="J44" s="88">
        <v>17813.523000000001</v>
      </c>
      <c r="K44" s="14">
        <v>17782.019</v>
      </c>
      <c r="L44" s="14">
        <v>14254.128000000001</v>
      </c>
      <c r="M44" s="56">
        <f t="shared" si="0"/>
        <v>-1854.8796000000002</v>
      </c>
      <c r="N44" s="262">
        <f t="shared" si="1"/>
        <v>0.77849814009915685</v>
      </c>
      <c r="O44" s="243">
        <f>0.0021299292*1000</f>
        <v>2.1299292000000003</v>
      </c>
    </row>
    <row r="45" spans="1:16" ht="21" customHeight="1" thickBot="1" x14ac:dyDescent="0.4">
      <c r="A45" s="90" t="s">
        <v>105</v>
      </c>
      <c r="B45" s="91" t="s">
        <v>21</v>
      </c>
      <c r="C45" s="92" t="s">
        <v>32</v>
      </c>
      <c r="D45" s="112">
        <f>DOE!$I$4</f>
        <v>4.5999999999999996</v>
      </c>
      <c r="E45" s="105">
        <f>DOE!$G$15</f>
        <v>1.149753451646973</v>
      </c>
      <c r="F45" s="230">
        <f>DOE!$K$29</f>
        <v>0.1605278143981122</v>
      </c>
      <c r="G45" s="230">
        <v>4.5999999999999996</v>
      </c>
      <c r="H45" s="105">
        <f>DOE!$M$16</f>
        <v>75.005359746804928</v>
      </c>
      <c r="I45" s="276">
        <f>0.00282667232*1000</f>
        <v>2.8266723200000001</v>
      </c>
      <c r="J45" s="90">
        <v>18881.113000000001</v>
      </c>
      <c r="K45" s="93">
        <v>18839.768</v>
      </c>
      <c r="L45" s="93">
        <v>13016.83</v>
      </c>
      <c r="M45" s="230">
        <f t="shared" si="0"/>
        <v>-2922.4696000000004</v>
      </c>
      <c r="N45" s="263">
        <f t="shared" si="1"/>
        <v>0.63417548294502035</v>
      </c>
      <c r="O45" s="244">
        <f>0.0027711285*1000</f>
        <v>2.7711285000000001</v>
      </c>
    </row>
    <row r="46" spans="1:16" ht="21" customHeight="1" x14ac:dyDescent="0.35">
      <c r="A46" s="154" t="s">
        <v>106</v>
      </c>
      <c r="B46" s="155" t="s">
        <v>22</v>
      </c>
      <c r="C46" s="156" t="s">
        <v>30</v>
      </c>
      <c r="D46" s="157">
        <f>DOE!$I$5</f>
        <v>9.1999999999999993</v>
      </c>
      <c r="E46" s="158">
        <f>DOE!$G$15</f>
        <v>1.149753451646973</v>
      </c>
      <c r="F46" s="229">
        <f>DOE!$K$27</f>
        <v>8.02639071990561E-2</v>
      </c>
      <c r="G46" s="229">
        <v>4.5999999999999996</v>
      </c>
      <c r="H46" s="158">
        <f>DOE!$M$17</f>
        <v>75.005359746804928</v>
      </c>
      <c r="I46" s="275">
        <f>0.00141333616*1000</f>
        <v>1.4133361600000001</v>
      </c>
      <c r="J46" s="154">
        <v>13216.041999999999</v>
      </c>
      <c r="K46" s="159">
        <v>13202.109</v>
      </c>
      <c r="L46" s="159">
        <v>10974.748</v>
      </c>
      <c r="M46" s="229">
        <f t="shared" si="0"/>
        <v>2742.6014000000014</v>
      </c>
      <c r="N46" s="261">
        <f t="shared" si="1"/>
        <v>0.86030721511254282</v>
      </c>
      <c r="O46" s="242">
        <f>-0.0014239564*(-1000)</f>
        <v>1.4239564</v>
      </c>
    </row>
    <row r="47" spans="1:16" ht="21" customHeight="1" x14ac:dyDescent="0.35">
      <c r="A47" s="88" t="s">
        <v>107</v>
      </c>
      <c r="B47" s="81" t="s">
        <v>22</v>
      </c>
      <c r="C47" s="89" t="s">
        <v>31</v>
      </c>
      <c r="D47" s="111">
        <f>DOE!$I$5</f>
        <v>9.1999999999999993</v>
      </c>
      <c r="E47" s="104">
        <f>DOE!$G$15</f>
        <v>1.149753451646973</v>
      </c>
      <c r="F47" s="56">
        <f>DOE!$K$28</f>
        <v>0.12039586079858416</v>
      </c>
      <c r="G47" s="56">
        <v>4.5999999999999996</v>
      </c>
      <c r="H47" s="104">
        <f>DOE!$M$17</f>
        <v>75.005359746804928</v>
      </c>
      <c r="I47" s="29">
        <f>0.00212000424*1000</f>
        <v>2.1200042400000001</v>
      </c>
      <c r="J47" s="88">
        <v>18142.84</v>
      </c>
      <c r="K47" s="14">
        <v>18122.091</v>
      </c>
      <c r="L47" s="14">
        <v>13814.328</v>
      </c>
      <c r="M47" s="56">
        <f t="shared" si="0"/>
        <v>-2184.1965999999993</v>
      </c>
      <c r="N47" s="262">
        <f t="shared" si="1"/>
        <v>0.72971567687134375</v>
      </c>
      <c r="O47" s="243">
        <f>-0.0021318853*(-1000)</f>
        <v>2.1318853</v>
      </c>
    </row>
    <row r="48" spans="1:16" ht="21" customHeight="1" thickBot="1" x14ac:dyDescent="0.4">
      <c r="A48" s="90" t="s">
        <v>108</v>
      </c>
      <c r="B48" s="91" t="s">
        <v>22</v>
      </c>
      <c r="C48" s="92" t="s">
        <v>32</v>
      </c>
      <c r="D48" s="112">
        <f>DOE!$I$5</f>
        <v>9.1999999999999993</v>
      </c>
      <c r="E48" s="105">
        <f>DOE!$G$15</f>
        <v>1.149753451646973</v>
      </c>
      <c r="F48" s="230">
        <f>DOE!$K$29</f>
        <v>0.1605278143981122</v>
      </c>
      <c r="G48" s="230">
        <v>4.5999999999999996</v>
      </c>
      <c r="H48" s="105">
        <f>DOE!$M$17</f>
        <v>75.005359746804928</v>
      </c>
      <c r="I48" s="276">
        <f>0.00282667232*1000</f>
        <v>2.8266723200000001</v>
      </c>
      <c r="J48" s="90">
        <v>21789.791000000001</v>
      </c>
      <c r="K48" s="93">
        <v>21762.395</v>
      </c>
      <c r="L48" s="93">
        <v>14752.491</v>
      </c>
      <c r="M48" s="230">
        <f t="shared" si="0"/>
        <v>-5831.1476000000002</v>
      </c>
      <c r="N48" s="263">
        <f t="shared" si="1"/>
        <v>0.55999026165396182</v>
      </c>
      <c r="O48" s="244">
        <f>-0.0028386496*(-1000)</f>
        <v>2.8386496000000001</v>
      </c>
    </row>
    <row r="49" spans="1:15" ht="21" customHeight="1" x14ac:dyDescent="0.35">
      <c r="A49" s="154" t="s">
        <v>109</v>
      </c>
      <c r="B49" s="155" t="s">
        <v>23</v>
      </c>
      <c r="C49" s="156" t="s">
        <v>30</v>
      </c>
      <c r="D49" s="199">
        <f>DOE!$I$6</f>
        <v>35.879999999999995</v>
      </c>
      <c r="E49" s="158">
        <f>DOE!$G$15</f>
        <v>1.149753451646973</v>
      </c>
      <c r="F49" s="229">
        <f>DOE!$K$27</f>
        <v>8.02639071990561E-2</v>
      </c>
      <c r="G49" s="229">
        <v>4.5999999999999996</v>
      </c>
      <c r="H49" s="158">
        <f>DOE!$M$18</f>
        <v>75.005359746804928</v>
      </c>
      <c r="I49" s="275">
        <f>0.00141333616*1000</f>
        <v>1.4133361600000001</v>
      </c>
      <c r="J49" s="154">
        <v>16931.554</v>
      </c>
      <c r="K49" s="159">
        <v>16917.615000000002</v>
      </c>
      <c r="L49" s="159">
        <v>12026.224</v>
      </c>
      <c r="M49" s="229">
        <f t="shared" si="0"/>
        <v>-972.91059999999925</v>
      </c>
      <c r="N49" s="261">
        <f t="shared" si="1"/>
        <v>0.69322786567306949</v>
      </c>
      <c r="O49" s="242">
        <f>-0.0014192343*(-1000)</f>
        <v>1.4192343000000001</v>
      </c>
    </row>
    <row r="50" spans="1:15" ht="21" customHeight="1" x14ac:dyDescent="0.35">
      <c r="A50" s="88" t="s">
        <v>110</v>
      </c>
      <c r="B50" s="81" t="s">
        <v>23</v>
      </c>
      <c r="C50" s="89" t="s">
        <v>31</v>
      </c>
      <c r="D50" s="200">
        <f>DOE!$I$6</f>
        <v>35.879999999999995</v>
      </c>
      <c r="E50" s="104">
        <f>DOE!$G$15</f>
        <v>1.149753451646973</v>
      </c>
      <c r="F50" s="56">
        <f>DOE!$K$28</f>
        <v>0.12039586079858416</v>
      </c>
      <c r="G50" s="56">
        <v>4.5999999999999996</v>
      </c>
      <c r="H50" s="104">
        <f>DOE!$M$18</f>
        <v>75.005359746804928</v>
      </c>
      <c r="I50" s="29">
        <f>0.00212000424*1000</f>
        <v>2.1200042400000001</v>
      </c>
      <c r="J50" s="88">
        <v>17090.606</v>
      </c>
      <c r="K50" s="14">
        <v>17069.821</v>
      </c>
      <c r="L50" s="14">
        <v>8571.1108000000004</v>
      </c>
      <c r="M50" s="56">
        <f t="shared" si="0"/>
        <v>-1131.9625999999989</v>
      </c>
      <c r="N50" s="262">
        <f t="shared" si="1"/>
        <v>0.46675958672088597</v>
      </c>
      <c r="O50" s="243">
        <f>-0.0021244896*(-1000)</f>
        <v>2.1244896</v>
      </c>
    </row>
    <row r="51" spans="1:15" ht="21" customHeight="1" thickBot="1" x14ac:dyDescent="0.4">
      <c r="A51" s="90" t="s">
        <v>111</v>
      </c>
      <c r="B51" s="91" t="s">
        <v>23</v>
      </c>
      <c r="C51" s="92" t="s">
        <v>32</v>
      </c>
      <c r="D51" s="201">
        <f>DOE!$I$6</f>
        <v>35.879999999999995</v>
      </c>
      <c r="E51" s="105">
        <f>DOE!$G$15</f>
        <v>1.149753451646973</v>
      </c>
      <c r="F51" s="230">
        <f>DOE!$K$29</f>
        <v>0.1605278143981122</v>
      </c>
      <c r="G51" s="230">
        <v>4.5999999999999996</v>
      </c>
      <c r="H51" s="105">
        <f>DOE!$M$18</f>
        <v>75.005359746804928</v>
      </c>
      <c r="I51" s="276">
        <f>0.00282667232*1000</f>
        <v>2.8266723200000001</v>
      </c>
      <c r="J51" s="90">
        <v>28596.31</v>
      </c>
      <c r="K51" s="93">
        <v>28568.882000000001</v>
      </c>
      <c r="L51" s="93">
        <v>15656.907999999999</v>
      </c>
      <c r="M51" s="230">
        <f t="shared" si="0"/>
        <v>-12637.6666</v>
      </c>
      <c r="N51" s="263">
        <f t="shared" si="1"/>
        <v>0.18951732960687975</v>
      </c>
      <c r="O51" s="244">
        <f>-0.0028291396*(-1000)</f>
        <v>2.8291396</v>
      </c>
    </row>
    <row r="52" spans="1:15" ht="21" customHeight="1" x14ac:dyDescent="0.35">
      <c r="A52" s="191" t="s">
        <v>120</v>
      </c>
      <c r="B52" s="192" t="s">
        <v>116</v>
      </c>
      <c r="C52" s="193" t="s">
        <v>30</v>
      </c>
      <c r="D52" s="191">
        <f>DOE!$I$3</f>
        <v>2.2999999999999998</v>
      </c>
      <c r="E52" s="192">
        <f>DOE!$G$19</f>
        <v>1.02837075009906</v>
      </c>
      <c r="F52" s="192">
        <f>DOE!$K$27</f>
        <v>8.02639071990561E-2</v>
      </c>
      <c r="G52" s="192">
        <v>4.5999999999999996</v>
      </c>
      <c r="H52" s="277">
        <f>DOE!$M$19</f>
        <v>77.644114128281302</v>
      </c>
      <c r="I52" s="245">
        <f>0.00141333616*1000</f>
        <v>1.4133361600000001</v>
      </c>
      <c r="J52" s="202">
        <v>11929.473</v>
      </c>
      <c r="K52" s="192">
        <v>11908.49</v>
      </c>
      <c r="L52" s="192">
        <v>9882.3505000000005</v>
      </c>
      <c r="M52" s="192">
        <f t="shared" ref="M52:M63" si="2">($K$65-J52)</f>
        <v>4029.1704000000009</v>
      </c>
      <c r="N52" s="264">
        <f t="shared" ref="N52:N63" si="3">(L52+M52)/(K52+M52)</f>
        <v>0.8728709578979359</v>
      </c>
      <c r="O52" s="245">
        <f>-0.0014276986*(-1000)</f>
        <v>1.4276986</v>
      </c>
    </row>
    <row r="53" spans="1:15" ht="21" customHeight="1" x14ac:dyDescent="0.35">
      <c r="A53" s="194" t="s">
        <v>121</v>
      </c>
      <c r="B53" s="185" t="s">
        <v>116</v>
      </c>
      <c r="C53" s="195" t="s">
        <v>31</v>
      </c>
      <c r="D53" s="194">
        <f>DOE!$I$3</f>
        <v>2.2999999999999998</v>
      </c>
      <c r="E53" s="185">
        <f>DOE!$G$19</f>
        <v>1.02837075009906</v>
      </c>
      <c r="F53" s="185">
        <f>DOE!$K$28</f>
        <v>0.12039586079858416</v>
      </c>
      <c r="G53" s="185">
        <v>4.5999999999999996</v>
      </c>
      <c r="H53" s="184">
        <f>DOE!$M$19</f>
        <v>77.644114128281302</v>
      </c>
      <c r="I53" s="246">
        <f>0.00212000424*1000</f>
        <v>2.1200042400000001</v>
      </c>
      <c r="J53" s="203">
        <v>16005.343000000001</v>
      </c>
      <c r="K53" s="185">
        <v>15973.98</v>
      </c>
      <c r="L53" s="185">
        <v>11718.511</v>
      </c>
      <c r="M53" s="185">
        <f t="shared" si="2"/>
        <v>-46.699599999999919</v>
      </c>
      <c r="N53" s="265">
        <f t="shared" si="3"/>
        <v>0.73281885587950102</v>
      </c>
      <c r="O53" s="246">
        <f>-0.0021362982*(-1000)</f>
        <v>2.1362982000000001</v>
      </c>
    </row>
    <row r="54" spans="1:15" ht="21" customHeight="1" thickBot="1" x14ac:dyDescent="0.4">
      <c r="A54" s="196" t="s">
        <v>122</v>
      </c>
      <c r="B54" s="197" t="s">
        <v>116</v>
      </c>
      <c r="C54" s="198" t="s">
        <v>32</v>
      </c>
      <c r="D54" s="196">
        <f>DOE!$I$3</f>
        <v>2.2999999999999998</v>
      </c>
      <c r="E54" s="197">
        <f>DOE!$G$19</f>
        <v>1.02837075009906</v>
      </c>
      <c r="F54" s="197">
        <f>DOE!$K$29</f>
        <v>0.1605278143981122</v>
      </c>
      <c r="G54" s="197">
        <v>4.5999999999999996</v>
      </c>
      <c r="H54" s="278">
        <f>DOE!$M$19</f>
        <v>77.644114128281302</v>
      </c>
      <c r="I54" s="247">
        <f>0.00282667232*1000</f>
        <v>2.8266723200000001</v>
      </c>
      <c r="J54" s="204">
        <v>18413.302</v>
      </c>
      <c r="K54" s="197">
        <v>18371.974999999999</v>
      </c>
      <c r="L54" s="197">
        <v>11198.444</v>
      </c>
      <c r="M54" s="197">
        <f t="shared" si="2"/>
        <v>-2454.6585999999988</v>
      </c>
      <c r="N54" s="266">
        <f t="shared" si="3"/>
        <v>0.54932534984352011</v>
      </c>
      <c r="O54" s="247">
        <f>-0.0028448477*(-1000)</f>
        <v>2.8448476999999999</v>
      </c>
    </row>
    <row r="55" spans="1:15" ht="21" customHeight="1" x14ac:dyDescent="0.35">
      <c r="A55" s="191" t="s">
        <v>123</v>
      </c>
      <c r="B55" s="192" t="s">
        <v>117</v>
      </c>
      <c r="C55" s="193" t="s">
        <v>30</v>
      </c>
      <c r="D55" s="191">
        <f>DOE!$I$4</f>
        <v>4.5999999999999996</v>
      </c>
      <c r="E55" s="192">
        <f>DOE!$G$19</f>
        <v>1.02837075009906</v>
      </c>
      <c r="F55" s="192">
        <f>DOE!$K$27</f>
        <v>8.02639071990561E-2</v>
      </c>
      <c r="G55" s="192">
        <v>4.5999999999999996</v>
      </c>
      <c r="H55" s="277">
        <f>DOE!$M$20</f>
        <v>77.644114128281302</v>
      </c>
      <c r="I55" s="245">
        <f>0.00141333616*1000</f>
        <v>1.4133361600000001</v>
      </c>
      <c r="J55" s="202">
        <v>13003.083000000001</v>
      </c>
      <c r="K55" s="192">
        <v>12982.079</v>
      </c>
      <c r="L55" s="192">
        <v>10238.708000000001</v>
      </c>
      <c r="M55" s="192">
        <f t="shared" si="2"/>
        <v>2955.5604000000003</v>
      </c>
      <c r="N55" s="264">
        <f t="shared" si="3"/>
        <v>0.82786842322458376</v>
      </c>
      <c r="O55" s="245">
        <f>-0.0014139446*(-1000)</f>
        <v>1.4139446</v>
      </c>
    </row>
    <row r="56" spans="1:15" ht="21" customHeight="1" x14ac:dyDescent="0.35">
      <c r="A56" s="194" t="s">
        <v>124</v>
      </c>
      <c r="B56" s="185" t="s">
        <v>117</v>
      </c>
      <c r="C56" s="195" t="s">
        <v>31</v>
      </c>
      <c r="D56" s="194">
        <f>DOE!$I$4</f>
        <v>4.5999999999999996</v>
      </c>
      <c r="E56" s="185">
        <f>DOE!$G$19</f>
        <v>1.02837075009906</v>
      </c>
      <c r="F56" s="185">
        <f>DOE!$K$28</f>
        <v>0.12039586079858416</v>
      </c>
      <c r="G56" s="185">
        <v>4.5999999999999996</v>
      </c>
      <c r="H56" s="184">
        <f>DOE!$M$20</f>
        <v>77.644114128281302</v>
      </c>
      <c r="I56" s="246">
        <f>0.00212000424*1000</f>
        <v>2.1200042400000001</v>
      </c>
      <c r="J56" s="203">
        <v>17494.796999999999</v>
      </c>
      <c r="K56" s="185">
        <v>17463.37</v>
      </c>
      <c r="L56" s="185">
        <v>11926.028</v>
      </c>
      <c r="M56" s="185">
        <f t="shared" si="2"/>
        <v>-1536.1535999999978</v>
      </c>
      <c r="N56" s="265">
        <f t="shared" si="3"/>
        <v>0.65233460380434094</v>
      </c>
      <c r="O56" s="246">
        <f>-0.0021167906*(-1000)</f>
        <v>2.1167906000000003</v>
      </c>
    </row>
    <row r="57" spans="1:15" ht="21" customHeight="1" thickBot="1" x14ac:dyDescent="0.4">
      <c r="A57" s="196" t="s">
        <v>125</v>
      </c>
      <c r="B57" s="197" t="s">
        <v>117</v>
      </c>
      <c r="C57" s="198" t="s">
        <v>32</v>
      </c>
      <c r="D57" s="196">
        <f>DOE!$I$4</f>
        <v>4.5999999999999996</v>
      </c>
      <c r="E57" s="197">
        <f>DOE!$G$19</f>
        <v>1.02837075009906</v>
      </c>
      <c r="F57" s="197">
        <f>DOE!$K$29</f>
        <v>0.1605278143981122</v>
      </c>
      <c r="G57" s="197">
        <v>4.5999999999999996</v>
      </c>
      <c r="H57" s="278">
        <f>DOE!$M$20</f>
        <v>77.644114128281302</v>
      </c>
      <c r="I57" s="247">
        <f>0.00282667232*1000</f>
        <v>2.8266723200000001</v>
      </c>
      <c r="J57" s="204">
        <v>18773.582999999999</v>
      </c>
      <c r="K57" s="197">
        <v>18731.901000000002</v>
      </c>
      <c r="L57" s="197">
        <v>9607.2005000000008</v>
      </c>
      <c r="M57" s="197">
        <f t="shared" si="2"/>
        <v>-2814.9395999999979</v>
      </c>
      <c r="N57" s="266">
        <f t="shared" si="3"/>
        <v>0.42673100281565057</v>
      </c>
      <c r="O57" s="247">
        <f>-0.0028217949*(-1000)</f>
        <v>2.8217949</v>
      </c>
    </row>
    <row r="58" spans="1:15" ht="21" customHeight="1" x14ac:dyDescent="0.35">
      <c r="A58" s="191" t="s">
        <v>131</v>
      </c>
      <c r="B58" s="192" t="s">
        <v>118</v>
      </c>
      <c r="C58" s="193" t="s">
        <v>30</v>
      </c>
      <c r="D58" s="191">
        <f>DOE!$I$5</f>
        <v>9.1999999999999993</v>
      </c>
      <c r="E58" s="192">
        <f>DOE!$G$19</f>
        <v>1.02837075009906</v>
      </c>
      <c r="F58" s="192">
        <f>DOE!$K$27</f>
        <v>8.02639071990561E-2</v>
      </c>
      <c r="G58" s="192">
        <v>4.5999999999999996</v>
      </c>
      <c r="H58" s="277">
        <f>DOE!$M$21</f>
        <v>77.644114128281302</v>
      </c>
      <c r="I58" s="245">
        <f>0.00141333616*1000</f>
        <v>1.4133361600000001</v>
      </c>
      <c r="J58" s="202">
        <v>14321.858</v>
      </c>
      <c r="K58" s="192">
        <v>14307.933999999999</v>
      </c>
      <c r="L58" s="192">
        <v>10768.575999999999</v>
      </c>
      <c r="M58" s="192">
        <f t="shared" si="2"/>
        <v>1636.7854000000007</v>
      </c>
      <c r="N58" s="264">
        <f t="shared" si="3"/>
        <v>0.77802318678621585</v>
      </c>
      <c r="O58" s="245">
        <f>-0.0014274515*(-1000)</f>
        <v>1.4274515000000001</v>
      </c>
    </row>
    <row r="59" spans="1:15" ht="21" customHeight="1" x14ac:dyDescent="0.35">
      <c r="A59" s="194" t="s">
        <v>126</v>
      </c>
      <c r="B59" s="185" t="s">
        <v>118</v>
      </c>
      <c r="C59" s="195" t="s">
        <v>31</v>
      </c>
      <c r="D59" s="194">
        <f>DOE!$I$5</f>
        <v>9.1999999999999993</v>
      </c>
      <c r="E59" s="185">
        <f>DOE!$G$19</f>
        <v>1.02837075009906</v>
      </c>
      <c r="F59" s="185">
        <f>DOE!$K$28</f>
        <v>0.12039586079858416</v>
      </c>
      <c r="G59" s="185">
        <v>4.5999999999999996</v>
      </c>
      <c r="H59" s="184">
        <f>DOE!$M$21</f>
        <v>77.644114128281302</v>
      </c>
      <c r="I59" s="246">
        <f>0.00212000424*1000</f>
        <v>2.1200042400000001</v>
      </c>
      <c r="J59" s="203">
        <v>20757.544999999998</v>
      </c>
      <c r="K59" s="185">
        <v>20736.843000000001</v>
      </c>
      <c r="L59" s="185">
        <v>13907.054</v>
      </c>
      <c r="M59" s="185">
        <f t="shared" si="2"/>
        <v>-4798.9015999999974</v>
      </c>
      <c r="N59" s="265">
        <f t="shared" si="3"/>
        <v>0.57147608787167459</v>
      </c>
      <c r="O59" s="246">
        <f>-0.0021367301*(-1000)</f>
        <v>2.1367300999999999</v>
      </c>
    </row>
    <row r="60" spans="1:15" ht="21" customHeight="1" thickBot="1" x14ac:dyDescent="0.4">
      <c r="A60" s="196" t="s">
        <v>127</v>
      </c>
      <c r="B60" s="197" t="s">
        <v>118</v>
      </c>
      <c r="C60" s="198" t="s">
        <v>32</v>
      </c>
      <c r="D60" s="196">
        <f>DOE!$I$5</f>
        <v>9.1999999999999993</v>
      </c>
      <c r="E60" s="197">
        <f>DOE!$G$19</f>
        <v>1.02837075009906</v>
      </c>
      <c r="F60" s="197">
        <f>DOE!$K$29</f>
        <v>0.1605278143981122</v>
      </c>
      <c r="G60" s="197">
        <v>4.5999999999999996</v>
      </c>
      <c r="H60" s="278">
        <f>DOE!$M$21</f>
        <v>77.644114128281302</v>
      </c>
      <c r="I60" s="247">
        <f>0.00282667232*1000</f>
        <v>2.8266723200000001</v>
      </c>
      <c r="J60" s="204">
        <v>27091.981</v>
      </c>
      <c r="K60" s="197">
        <v>27064.616999999998</v>
      </c>
      <c r="L60" s="197">
        <v>15950.892</v>
      </c>
      <c r="M60" s="197">
        <f t="shared" si="2"/>
        <v>-11133.337599999999</v>
      </c>
      <c r="N60" s="266">
        <f t="shared" si="3"/>
        <v>0.30239595195348851</v>
      </c>
      <c r="O60" s="247">
        <f>-0.0028470407*(-1000)</f>
        <v>2.8470407</v>
      </c>
    </row>
    <row r="61" spans="1:15" ht="21" customHeight="1" x14ac:dyDescent="0.35">
      <c r="A61" s="191" t="s">
        <v>128</v>
      </c>
      <c r="B61" s="192" t="s">
        <v>119</v>
      </c>
      <c r="C61" s="193" t="s">
        <v>30</v>
      </c>
      <c r="D61" s="191">
        <f>DOE!I22</f>
        <v>23</v>
      </c>
      <c r="E61" s="192">
        <f>DOE!$G$19</f>
        <v>1.02837075009906</v>
      </c>
      <c r="F61" s="192">
        <f>DOE!$K$27</f>
        <v>8.02639071990561E-2</v>
      </c>
      <c r="G61" s="192">
        <v>4.5999999999999996</v>
      </c>
      <c r="H61" s="277">
        <f>DOE!$M$22</f>
        <v>77.644114128281302</v>
      </c>
      <c r="I61" s="245">
        <f>0.00141333616*1000</f>
        <v>1.4133361600000001</v>
      </c>
      <c r="J61" s="202">
        <v>17788.796999999999</v>
      </c>
      <c r="K61" s="192">
        <v>17774.849999999999</v>
      </c>
      <c r="L61" s="192">
        <v>12073.862999999999</v>
      </c>
      <c r="M61" s="192">
        <f t="shared" si="2"/>
        <v>-1830.1535999999978</v>
      </c>
      <c r="N61" s="264">
        <f t="shared" si="3"/>
        <v>0.6424524583610135</v>
      </c>
      <c r="O61" s="245"/>
    </row>
    <row r="62" spans="1:15" ht="21" customHeight="1" x14ac:dyDescent="0.35">
      <c r="A62" s="194" t="s">
        <v>129</v>
      </c>
      <c r="B62" s="185" t="s">
        <v>119</v>
      </c>
      <c r="C62" s="195" t="s">
        <v>31</v>
      </c>
      <c r="D62" s="194">
        <f>DOE!$I$22</f>
        <v>23</v>
      </c>
      <c r="E62" s="185">
        <f>DOE!$G$19</f>
        <v>1.02837075009906</v>
      </c>
      <c r="F62" s="185">
        <f>DOE!$K$28</f>
        <v>0.12039586079858416</v>
      </c>
      <c r="G62" s="185">
        <v>4.5999999999999996</v>
      </c>
      <c r="H62" s="184">
        <f>DOE!$M$22</f>
        <v>77.644114128281302</v>
      </c>
      <c r="I62" s="246">
        <f>0.00212000424*1000</f>
        <v>2.1200042400000001</v>
      </c>
      <c r="J62" s="203">
        <v>21997.714</v>
      </c>
      <c r="K62" s="185">
        <v>21976.98</v>
      </c>
      <c r="L62" s="185">
        <v>11574.566999999999</v>
      </c>
      <c r="M62" s="185">
        <f t="shared" si="2"/>
        <v>-6039.0705999999991</v>
      </c>
      <c r="N62" s="265">
        <f t="shared" si="3"/>
        <v>0.34731634250600019</v>
      </c>
      <c r="O62" s="246"/>
    </row>
    <row r="63" spans="1:15" ht="21" customHeight="1" thickBot="1" x14ac:dyDescent="0.4">
      <c r="A63" s="196" t="s">
        <v>130</v>
      </c>
      <c r="B63" s="197" t="s">
        <v>119</v>
      </c>
      <c r="C63" s="198" t="s">
        <v>32</v>
      </c>
      <c r="D63" s="196">
        <f>DOE!$I$22</f>
        <v>23</v>
      </c>
      <c r="E63" s="197">
        <f>DOE!$G$19</f>
        <v>1.02837075009906</v>
      </c>
      <c r="F63" s="197">
        <f>DOE!$K$29</f>
        <v>0.1605278143981122</v>
      </c>
      <c r="G63" s="197">
        <v>4.5999999999999996</v>
      </c>
      <c r="H63" s="278">
        <f>DOE!$M$22</f>
        <v>77.644114128281302</v>
      </c>
      <c r="I63" s="247">
        <f>0.00282667232*1000</f>
        <v>2.8266723200000001</v>
      </c>
      <c r="J63" s="204">
        <v>31845.054</v>
      </c>
      <c r="K63" s="197">
        <v>31817.665000000001</v>
      </c>
      <c r="L63" s="197">
        <v>15722.601000000001</v>
      </c>
      <c r="M63" s="197">
        <f t="shared" si="2"/>
        <v>-15886.410599999999</v>
      </c>
      <c r="N63" s="266">
        <f t="shared" si="3"/>
        <v>-1.0282278839260684E-2</v>
      </c>
      <c r="O63" s="247">
        <v>3</v>
      </c>
    </row>
    <row r="64" spans="1:15" ht="21" customHeight="1" thickBot="1" x14ac:dyDescent="0.4"/>
    <row r="65" spans="10:15" ht="21" customHeight="1" thickBot="1" x14ac:dyDescent="0.4">
      <c r="J65" s="96" t="s">
        <v>115</v>
      </c>
      <c r="K65" s="97">
        <f>119.7*(1/N65)</f>
        <v>15958.643400000001</v>
      </c>
      <c r="M65" s="96" t="s">
        <v>113</v>
      </c>
      <c r="N65" s="97">
        <f>1/133.322</f>
        <v>7.5006375541921064E-3</v>
      </c>
    </row>
    <row r="66" spans="10:15" ht="21" customHeight="1" x14ac:dyDescent="0.35"/>
    <row r="68" spans="10:15" x14ac:dyDescent="0.35">
      <c r="J68" t="s">
        <v>136</v>
      </c>
      <c r="O68"/>
    </row>
    <row r="69" spans="10:15" x14ac:dyDescent="0.35">
      <c r="O69"/>
    </row>
    <row r="70" spans="10:15" x14ac:dyDescent="0.35">
      <c r="O70"/>
    </row>
    <row r="71" spans="10:15" x14ac:dyDescent="0.35">
      <c r="O71"/>
    </row>
    <row r="72" spans="10:15" x14ac:dyDescent="0.35">
      <c r="O72"/>
    </row>
    <row r="73" spans="10:15" x14ac:dyDescent="0.35">
      <c r="O73"/>
    </row>
    <row r="74" spans="10:15" x14ac:dyDescent="0.35">
      <c r="O74"/>
    </row>
  </sheetData>
  <mergeCells count="2">
    <mergeCell ref="A1:O1"/>
    <mergeCell ref="A2:C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EC82-FA5A-44AD-A6BD-96CEBA9958B2}">
  <dimension ref="A1:L93"/>
  <sheetViews>
    <sheetView topLeftCell="A31" zoomScale="120" zoomScaleNormal="120" workbookViewId="0">
      <selection activeCell="A37" sqref="A37"/>
    </sheetView>
  </sheetViews>
  <sheetFormatPr defaultRowHeight="14.5" x14ac:dyDescent="0.35"/>
  <sheetData>
    <row r="1" spans="1:8" x14ac:dyDescent="0.35">
      <c r="A1" t="s">
        <v>138</v>
      </c>
      <c r="D1" t="s">
        <v>138</v>
      </c>
      <c r="G1" t="s">
        <v>138</v>
      </c>
    </row>
    <row r="3" spans="1:8" x14ac:dyDescent="0.35">
      <c r="A3">
        <v>0.90190000000000003</v>
      </c>
      <c r="D3">
        <v>0.83109999999999995</v>
      </c>
      <c r="G3">
        <v>0.72650000000000003</v>
      </c>
    </row>
    <row r="5" spans="1:8" ht="15" thickBot="1" x14ac:dyDescent="0.4"/>
    <row r="6" spans="1:8" x14ac:dyDescent="0.35">
      <c r="A6" s="279" t="s">
        <v>139</v>
      </c>
      <c r="B6" s="280"/>
      <c r="C6" s="280"/>
      <c r="D6" s="280" t="s">
        <v>139</v>
      </c>
      <c r="E6" s="280"/>
      <c r="F6" s="280"/>
      <c r="G6" s="281" t="s">
        <v>139</v>
      </c>
    </row>
    <row r="7" spans="1:8" x14ac:dyDescent="0.35">
      <c r="A7" s="282"/>
      <c r="B7" s="283"/>
      <c r="C7" s="283"/>
      <c r="D7" s="283"/>
      <c r="E7" s="283"/>
      <c r="F7" s="283"/>
      <c r="G7" s="284"/>
    </row>
    <row r="8" spans="1:8" ht="15" thickBot="1" x14ac:dyDescent="0.4">
      <c r="A8" s="285">
        <v>0.81559999999999999</v>
      </c>
      <c r="B8" s="286"/>
      <c r="C8" s="286"/>
      <c r="D8" s="286">
        <v>0.80020000000000002</v>
      </c>
      <c r="E8" s="286"/>
      <c r="F8" s="286"/>
      <c r="G8" s="287">
        <v>0.72919999999999996</v>
      </c>
    </row>
    <row r="10" spans="1:8" ht="15" thickBot="1" x14ac:dyDescent="0.4"/>
    <row r="11" spans="1:8" x14ac:dyDescent="0.35">
      <c r="A11" s="279" t="s">
        <v>140</v>
      </c>
      <c r="B11" s="280"/>
      <c r="C11" s="280"/>
      <c r="D11" s="280" t="s">
        <v>140</v>
      </c>
      <c r="E11" s="280"/>
      <c r="F11" s="280"/>
      <c r="G11" s="281" t="s">
        <v>140</v>
      </c>
    </row>
    <row r="12" spans="1:8" x14ac:dyDescent="0.35">
      <c r="A12" s="282"/>
      <c r="B12" s="283"/>
      <c r="C12" s="283"/>
      <c r="D12" s="283"/>
      <c r="E12" s="283"/>
      <c r="F12" s="283"/>
      <c r="G12" s="284"/>
    </row>
    <row r="13" spans="1:8" ht="15" thickBot="1" x14ac:dyDescent="0.4">
      <c r="A13" s="285">
        <v>0.78610000000000002</v>
      </c>
      <c r="B13" s="286"/>
      <c r="C13" s="286"/>
      <c r="D13" s="286">
        <v>0.78520000000000001</v>
      </c>
      <c r="E13" s="286"/>
      <c r="F13" s="286"/>
      <c r="G13" s="287">
        <v>0.75070000000000003</v>
      </c>
    </row>
    <row r="15" spans="1:8" ht="15" thickBot="1" x14ac:dyDescent="0.4"/>
    <row r="16" spans="1:8" x14ac:dyDescent="0.35">
      <c r="A16" s="279" t="s">
        <v>141</v>
      </c>
      <c r="B16" s="280"/>
      <c r="C16" s="280"/>
      <c r="D16" s="280" t="s">
        <v>141</v>
      </c>
      <c r="E16" s="280"/>
      <c r="F16" s="280"/>
      <c r="G16" s="280" t="s">
        <v>141</v>
      </c>
      <c r="H16" s="281"/>
    </row>
    <row r="17" spans="1:8" x14ac:dyDescent="0.35">
      <c r="A17" s="282"/>
      <c r="B17" s="283"/>
      <c r="C17" s="283"/>
      <c r="D17" s="283"/>
      <c r="E17" s="283"/>
      <c r="F17" s="283"/>
      <c r="G17" s="283"/>
      <c r="H17" s="284"/>
    </row>
    <row r="18" spans="1:8" ht="15" thickBot="1" x14ac:dyDescent="0.4">
      <c r="A18" s="285">
        <v>11.8696</v>
      </c>
      <c r="B18" s="288">
        <f>A18/(SQRT(L88))</f>
        <v>0.118696</v>
      </c>
      <c r="C18" s="286"/>
      <c r="D18" s="286">
        <v>19.363600000000002</v>
      </c>
      <c r="E18" s="288">
        <f>D18/(SQRT(10000))</f>
        <v>0.19363600000000003</v>
      </c>
      <c r="F18" s="286"/>
      <c r="G18" s="286">
        <v>30.959299999999999</v>
      </c>
      <c r="H18" s="289">
        <f>G18/(SQRT(L88))</f>
        <v>0.30959300000000001</v>
      </c>
    </row>
    <row r="20" spans="1:8" ht="15" thickBot="1" x14ac:dyDescent="0.4"/>
    <row r="21" spans="1:8" x14ac:dyDescent="0.35">
      <c r="A21" s="279" t="s">
        <v>142</v>
      </c>
      <c r="B21" s="280"/>
      <c r="C21" s="280"/>
      <c r="D21" s="280" t="s">
        <v>142</v>
      </c>
      <c r="E21" s="280"/>
      <c r="F21" s="280"/>
      <c r="G21" s="280" t="s">
        <v>142</v>
      </c>
      <c r="H21" s="281"/>
    </row>
    <row r="22" spans="1:8" x14ac:dyDescent="0.35">
      <c r="A22" s="282"/>
      <c r="B22" s="283"/>
      <c r="C22" s="283"/>
      <c r="D22" s="283"/>
      <c r="E22" s="283"/>
      <c r="F22" s="283"/>
      <c r="G22" s="283"/>
      <c r="H22" s="284"/>
    </row>
    <row r="23" spans="1:8" ht="15" thickBot="1" x14ac:dyDescent="0.4">
      <c r="A23" s="285">
        <v>25.209700000000002</v>
      </c>
      <c r="B23" s="288">
        <f>A23/(SQRT(L88))</f>
        <v>0.25209700000000002</v>
      </c>
      <c r="C23" s="286"/>
      <c r="D23" s="286">
        <v>31.601400000000002</v>
      </c>
      <c r="E23" s="288">
        <f>D23/(SQRT(10000))</f>
        <v>0.31601400000000002</v>
      </c>
      <c r="F23" s="286"/>
      <c r="G23" s="286">
        <v>38.929099999999998</v>
      </c>
      <c r="H23" s="289">
        <f>G23/(SQRT(L88))</f>
        <v>0.389291</v>
      </c>
    </row>
    <row r="25" spans="1:8" ht="15" thickBot="1" x14ac:dyDescent="0.4"/>
    <row r="26" spans="1:8" x14ac:dyDescent="0.35">
      <c r="A26" s="279" t="s">
        <v>143</v>
      </c>
      <c r="B26" s="280"/>
      <c r="C26" s="280"/>
      <c r="D26" s="280" t="s">
        <v>143</v>
      </c>
      <c r="E26" s="280"/>
      <c r="F26" s="280"/>
      <c r="G26" s="280" t="s">
        <v>143</v>
      </c>
      <c r="H26" s="281"/>
    </row>
    <row r="27" spans="1:8" x14ac:dyDescent="0.35">
      <c r="A27" s="282"/>
      <c r="B27" s="283"/>
      <c r="C27" s="283"/>
      <c r="D27" s="283"/>
      <c r="E27" s="283"/>
      <c r="F27" s="283"/>
      <c r="G27" s="283"/>
      <c r="H27" s="284"/>
    </row>
    <row r="28" spans="1:8" ht="15" thickBot="1" x14ac:dyDescent="0.4">
      <c r="A28" s="285">
        <v>44.770600000000002</v>
      </c>
      <c r="B28" s="288">
        <f>A28/(SQRT(L88))</f>
        <v>0.44770599999999999</v>
      </c>
      <c r="C28" s="286"/>
      <c r="D28" s="286">
        <v>44.815199999999997</v>
      </c>
      <c r="E28" s="288">
        <f>D28/(SQRT(10000))</f>
        <v>0.44815199999999999</v>
      </c>
      <c r="F28" s="286"/>
      <c r="G28" s="286">
        <v>51.683</v>
      </c>
      <c r="H28" s="289">
        <f>G28/(SQRT(L88))</f>
        <v>0.51683000000000001</v>
      </c>
    </row>
    <row r="30" spans="1:8" ht="15" thickBot="1" x14ac:dyDescent="0.4"/>
    <row r="31" spans="1:8" x14ac:dyDescent="0.35">
      <c r="A31" s="279" t="s">
        <v>144</v>
      </c>
      <c r="B31" s="280"/>
      <c r="C31" s="280"/>
      <c r="D31" s="280" t="s">
        <v>144</v>
      </c>
      <c r="E31" s="280"/>
      <c r="F31" s="280"/>
      <c r="G31" s="280" t="s">
        <v>144</v>
      </c>
      <c r="H31" s="281"/>
    </row>
    <row r="32" spans="1:8" x14ac:dyDescent="0.35">
      <c r="A32" s="282"/>
      <c r="B32" s="283"/>
      <c r="C32" s="283"/>
      <c r="D32" s="283"/>
      <c r="E32" s="283"/>
      <c r="F32" s="283"/>
      <c r="G32" s="283"/>
      <c r="H32" s="284"/>
    </row>
    <row r="33" spans="1:8" x14ac:dyDescent="0.35">
      <c r="A33" s="282">
        <v>3378</v>
      </c>
      <c r="B33" s="290">
        <v>361</v>
      </c>
      <c r="C33" s="283"/>
      <c r="D33" s="283">
        <v>3169</v>
      </c>
      <c r="E33" s="283">
        <v>589</v>
      </c>
      <c r="F33" s="283"/>
      <c r="G33" s="283">
        <v>2916</v>
      </c>
      <c r="H33" s="284">
        <v>809</v>
      </c>
    </row>
    <row r="34" spans="1:8" ht="15" thickBot="1" x14ac:dyDescent="0.4">
      <c r="A34" s="285">
        <v>620</v>
      </c>
      <c r="B34" s="286">
        <v>5641</v>
      </c>
      <c r="C34" s="286"/>
      <c r="D34" s="286">
        <v>1100</v>
      </c>
      <c r="E34" s="286">
        <v>5142</v>
      </c>
      <c r="F34" s="286"/>
      <c r="G34" s="286">
        <v>1926</v>
      </c>
      <c r="H34" s="287">
        <v>4349</v>
      </c>
    </row>
    <row r="35" spans="1:8" x14ac:dyDescent="0.35">
      <c r="A35" s="283"/>
      <c r="B35" s="283"/>
      <c r="C35" s="283"/>
      <c r="D35" s="283"/>
      <c r="E35" s="283"/>
      <c r="F35" s="283"/>
      <c r="G35" s="283"/>
      <c r="H35" s="283"/>
    </row>
    <row r="36" spans="1:8" x14ac:dyDescent="0.35">
      <c r="A36" s="283" t="s">
        <v>153</v>
      </c>
      <c r="B36" s="283"/>
      <c r="C36" s="283"/>
      <c r="D36" s="283"/>
      <c r="E36" s="283"/>
      <c r="F36" s="283"/>
      <c r="G36" s="283"/>
      <c r="H36" s="283"/>
    </row>
    <row r="37" spans="1:8" x14ac:dyDescent="0.35">
      <c r="B37" s="283">
        <f>B34/(B34+A34)</f>
        <v>0.90097428525794598</v>
      </c>
      <c r="C37" s="283"/>
      <c r="D37" s="283"/>
      <c r="E37" s="283">
        <f>E34/(E34+D34)</f>
        <v>0.82377443127202821</v>
      </c>
      <c r="F37" s="283"/>
      <c r="G37" s="283"/>
      <c r="H37" s="283">
        <f>H34/(H34+G34)</f>
        <v>0.69306772908366532</v>
      </c>
    </row>
    <row r="38" spans="1:8" x14ac:dyDescent="0.35">
      <c r="A38" s="283" t="s">
        <v>152</v>
      </c>
      <c r="B38" s="283"/>
      <c r="C38" s="283"/>
      <c r="D38" s="283"/>
      <c r="F38" s="283"/>
      <c r="G38" s="283"/>
      <c r="H38" s="283"/>
    </row>
    <row r="39" spans="1:8" x14ac:dyDescent="0.35">
      <c r="B39" s="283">
        <f>A33/(A33+B33)</f>
        <v>0.90345012035303562</v>
      </c>
      <c r="C39" s="283"/>
      <c r="D39" s="283"/>
      <c r="E39" s="283">
        <f>D33/(D33+E33)</f>
        <v>0.84326769558275683</v>
      </c>
      <c r="F39" s="283"/>
      <c r="G39" s="283"/>
      <c r="H39" s="283">
        <f>G33/(G33+H33)</f>
        <v>0.78281879194630877</v>
      </c>
    </row>
    <row r="40" spans="1:8" ht="15" thickBot="1" x14ac:dyDescent="0.4">
      <c r="A40" s="283"/>
      <c r="B40" s="283"/>
      <c r="C40" s="283"/>
      <c r="D40" s="283"/>
      <c r="E40" s="283"/>
      <c r="F40" s="283"/>
      <c r="G40" s="283"/>
      <c r="H40" s="283"/>
    </row>
    <row r="41" spans="1:8" x14ac:dyDescent="0.35">
      <c r="A41" s="279" t="s">
        <v>145</v>
      </c>
      <c r="B41" s="280"/>
      <c r="C41" s="280"/>
      <c r="D41" s="280" t="s">
        <v>145</v>
      </c>
      <c r="E41" s="280"/>
      <c r="F41" s="280"/>
      <c r="G41" s="280" t="s">
        <v>145</v>
      </c>
      <c r="H41" s="281"/>
    </row>
    <row r="42" spans="1:8" x14ac:dyDescent="0.35">
      <c r="A42" s="282"/>
      <c r="B42" s="283"/>
      <c r="C42" s="283"/>
      <c r="D42" s="283"/>
      <c r="E42" s="283"/>
      <c r="F42" s="283"/>
      <c r="G42" s="283"/>
      <c r="H42" s="284"/>
    </row>
    <row r="43" spans="1:8" x14ac:dyDescent="0.35">
      <c r="A43" s="282">
        <v>1931</v>
      </c>
      <c r="B43" s="283">
        <v>1808</v>
      </c>
      <c r="C43" s="283"/>
      <c r="D43" s="283">
        <v>2075</v>
      </c>
      <c r="E43" s="283">
        <v>1683</v>
      </c>
      <c r="F43" s="283"/>
      <c r="G43" s="283">
        <v>2214</v>
      </c>
      <c r="H43" s="284">
        <v>1511</v>
      </c>
    </row>
    <row r="44" spans="1:8" ht="15" thickBot="1" x14ac:dyDescent="0.4">
      <c r="A44" s="285">
        <v>36</v>
      </c>
      <c r="B44" s="286">
        <v>6225</v>
      </c>
      <c r="C44" s="286"/>
      <c r="D44" s="286">
        <v>315</v>
      </c>
      <c r="E44" s="286">
        <v>5927</v>
      </c>
      <c r="F44" s="286"/>
      <c r="G44" s="286">
        <v>1197</v>
      </c>
      <c r="H44" s="287">
        <v>5078</v>
      </c>
    </row>
    <row r="46" spans="1:8" x14ac:dyDescent="0.35">
      <c r="A46" s="283" t="s">
        <v>151</v>
      </c>
      <c r="B46" s="283"/>
      <c r="C46" s="283"/>
      <c r="D46" s="283"/>
      <c r="E46" s="283"/>
      <c r="F46" s="283"/>
      <c r="G46" s="283"/>
      <c r="H46" s="283"/>
    </row>
    <row r="47" spans="1:8" x14ac:dyDescent="0.35">
      <c r="B47" s="283">
        <f>B44/(B44+A44)</f>
        <v>0.99425011978917111</v>
      </c>
      <c r="C47" s="283"/>
      <c r="D47" s="283"/>
      <c r="E47" s="283">
        <f>E44/(E44+D44)</f>
        <v>0.94953540531880809</v>
      </c>
      <c r="F47" s="283"/>
      <c r="G47" s="283"/>
      <c r="H47" s="283">
        <f>H44/(H44+G44)</f>
        <v>0.80924302788844626</v>
      </c>
    </row>
    <row r="48" spans="1:8" x14ac:dyDescent="0.35">
      <c r="A48" s="283" t="s">
        <v>150</v>
      </c>
      <c r="B48" s="283"/>
      <c r="C48" s="283"/>
      <c r="D48" s="283"/>
      <c r="F48" s="283"/>
      <c r="G48" s="283"/>
      <c r="H48" s="283"/>
    </row>
    <row r="49" spans="1:8" x14ac:dyDescent="0.35">
      <c r="B49" s="283">
        <f>A43/(A43+B43)</f>
        <v>0.51644824819470447</v>
      </c>
      <c r="C49" s="283"/>
      <c r="D49" s="283"/>
      <c r="E49" s="283">
        <f>D43/(D43+E43)</f>
        <v>0.55215540180947309</v>
      </c>
      <c r="F49" s="283"/>
      <c r="G49" s="283"/>
      <c r="H49" s="283">
        <f>G43/(G43+H43)</f>
        <v>0.5943624161073825</v>
      </c>
    </row>
    <row r="50" spans="1:8" ht="15" thickBot="1" x14ac:dyDescent="0.4">
      <c r="A50" s="283"/>
      <c r="B50" s="283"/>
      <c r="C50" s="283"/>
      <c r="D50" s="283"/>
      <c r="E50" s="283"/>
      <c r="F50" s="283"/>
      <c r="G50" s="283"/>
      <c r="H50" s="283"/>
    </row>
    <row r="51" spans="1:8" x14ac:dyDescent="0.35">
      <c r="A51" s="279" t="s">
        <v>146</v>
      </c>
      <c r="B51" s="280"/>
      <c r="C51" s="280"/>
      <c r="D51" s="280" t="s">
        <v>146</v>
      </c>
      <c r="E51" s="280"/>
      <c r="F51" s="280"/>
      <c r="G51" s="280" t="s">
        <v>146</v>
      </c>
      <c r="H51" s="281"/>
    </row>
    <row r="52" spans="1:8" x14ac:dyDescent="0.35">
      <c r="A52" s="282"/>
      <c r="B52" s="283"/>
      <c r="C52" s="283"/>
      <c r="D52" s="283"/>
      <c r="E52" s="283"/>
      <c r="F52" s="283"/>
      <c r="G52" s="283"/>
      <c r="H52" s="284"/>
    </row>
    <row r="53" spans="1:8" x14ac:dyDescent="0.35">
      <c r="A53" s="282">
        <v>1600</v>
      </c>
      <c r="B53" s="283">
        <v>2139</v>
      </c>
      <c r="C53" s="283"/>
      <c r="D53" s="283">
        <v>1616</v>
      </c>
      <c r="E53" s="283">
        <v>2142</v>
      </c>
      <c r="F53" s="283"/>
      <c r="G53" s="283">
        <v>1602</v>
      </c>
      <c r="H53" s="284">
        <v>2123</v>
      </c>
    </row>
    <row r="54" spans="1:8" ht="15" thickBot="1" x14ac:dyDescent="0.4">
      <c r="A54" s="285">
        <v>0</v>
      </c>
      <c r="B54" s="286">
        <v>6261</v>
      </c>
      <c r="C54" s="286"/>
      <c r="D54" s="286">
        <v>6</v>
      </c>
      <c r="E54" s="286">
        <v>6236</v>
      </c>
      <c r="F54" s="286"/>
      <c r="G54" s="286">
        <v>370</v>
      </c>
      <c r="H54" s="287">
        <v>5905</v>
      </c>
    </row>
    <row r="55" spans="1:8" x14ac:dyDescent="0.35">
      <c r="A55" s="283"/>
      <c r="B55" s="283"/>
      <c r="C55" s="283"/>
      <c r="D55" s="283"/>
      <c r="E55" s="283"/>
      <c r="F55" s="283"/>
      <c r="G55" s="283"/>
      <c r="H55" s="283"/>
    </row>
    <row r="56" spans="1:8" x14ac:dyDescent="0.35">
      <c r="A56" s="283" t="s">
        <v>149</v>
      </c>
      <c r="B56" s="283"/>
      <c r="C56" s="283"/>
      <c r="D56" s="283"/>
      <c r="E56" s="283"/>
      <c r="F56" s="283"/>
      <c r="G56" s="283"/>
      <c r="H56" s="283"/>
    </row>
    <row r="57" spans="1:8" x14ac:dyDescent="0.35">
      <c r="B57" s="283">
        <f>B54/(B54+A54)</f>
        <v>1</v>
      </c>
      <c r="C57" s="283"/>
      <c r="D57" s="283"/>
      <c r="E57" s="283">
        <f>E54/(E54+D54)</f>
        <v>0.99903876962512017</v>
      </c>
      <c r="F57" s="283"/>
      <c r="G57" s="283"/>
      <c r="H57" s="283">
        <f>H54/(H54+G54)</f>
        <v>0.94103585657370514</v>
      </c>
    </row>
    <row r="58" spans="1:8" x14ac:dyDescent="0.35">
      <c r="A58" s="283" t="s">
        <v>148</v>
      </c>
      <c r="B58" s="283"/>
      <c r="C58" s="283"/>
      <c r="D58" s="283"/>
      <c r="F58" s="283"/>
      <c r="G58" s="283"/>
      <c r="H58" s="283"/>
    </row>
    <row r="59" spans="1:8" x14ac:dyDescent="0.35">
      <c r="B59" s="283">
        <f>A53/(A53+B53)</f>
        <v>0.42792190425247395</v>
      </c>
      <c r="C59" s="283"/>
      <c r="D59" s="283"/>
      <c r="E59" s="283">
        <f>D53/(D53+E53)</f>
        <v>0.43001596593932945</v>
      </c>
      <c r="F59" s="283"/>
      <c r="G59" s="283"/>
      <c r="H59" s="283">
        <f>G53/(G53+H53)</f>
        <v>0.43006711409395976</v>
      </c>
    </row>
    <row r="61" spans="1:8" x14ac:dyDescent="0.35">
      <c r="A61" s="309">
        <v>0.05</v>
      </c>
      <c r="B61" s="310"/>
      <c r="D61" s="309">
        <v>0.1</v>
      </c>
      <c r="E61" s="310"/>
      <c r="G61" s="309">
        <v>0.2</v>
      </c>
      <c r="H61" s="310"/>
    </row>
    <row r="62" spans="1:8" x14ac:dyDescent="0.35">
      <c r="A62" s="311"/>
      <c r="B62" s="312"/>
      <c r="D62" s="311"/>
      <c r="E62" s="312"/>
      <c r="G62" s="311"/>
      <c r="H62" s="312"/>
    </row>
    <row r="88" spans="10:12" x14ac:dyDescent="0.35">
      <c r="K88" t="s">
        <v>147</v>
      </c>
      <c r="L88">
        <v>10000</v>
      </c>
    </row>
    <row r="93" spans="10:12" x14ac:dyDescent="0.35">
      <c r="J93">
        <v>5</v>
      </c>
    </row>
  </sheetData>
  <mergeCells count="3">
    <mergeCell ref="A61:B62"/>
    <mergeCell ref="D61:E62"/>
    <mergeCell ref="G61:H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</vt:lpstr>
      <vt:lpstr>GT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Muneeza Azmat</dc:creator>
  <cp:lastModifiedBy>Muneeza Azmat</cp:lastModifiedBy>
  <dcterms:created xsi:type="dcterms:W3CDTF">2015-06-05T18:17:20Z</dcterms:created>
  <dcterms:modified xsi:type="dcterms:W3CDTF">2021-11-24T22:02:09Z</dcterms:modified>
</cp:coreProperties>
</file>