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rdano Raihan\Documents\My Life\AI\Portofolio\Text_Classification_Capstone\2_BoW_Models\2_edRVFL\"/>
    </mc:Choice>
  </mc:AlternateContent>
  <xr:revisionPtr revIDLastSave="0" documentId="13_ncr:1_{26163397-29AA-4ABB-9F25-3F4BB817C0E5}" xr6:coauthVersionLast="46" xr6:coauthVersionMax="46" xr10:uidLastSave="{00000000-0000-0000-0000-000000000000}"/>
  <bookViews>
    <workbookView xWindow="-28920" yWindow="-120" windowWidth="29040" windowHeight="15990" activeTab="1" xr2:uid="{941F8B58-7452-46B6-8CAA-376EAF70D953}"/>
  </bookViews>
  <sheets>
    <sheet name="CR" sheetId="1" r:id="rId1"/>
    <sheet name="MPQA" sheetId="2" r:id="rId2"/>
    <sheet name="MR" sheetId="3" r:id="rId3"/>
    <sheet name="SUBJ" sheetId="4" r:id="rId4"/>
    <sheet name="TREC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" i="3" l="1"/>
  <c r="H37" i="3"/>
  <c r="H36" i="3"/>
  <c r="H35" i="3"/>
  <c r="H34" i="3"/>
  <c r="H33" i="3"/>
  <c r="H32" i="3"/>
  <c r="H31" i="3"/>
  <c r="H30" i="3"/>
  <c r="H29" i="3"/>
  <c r="H38" i="3"/>
  <c r="D11" i="3"/>
  <c r="D10" i="3"/>
  <c r="D9" i="3"/>
  <c r="D8" i="3"/>
  <c r="D7" i="3"/>
  <c r="D6" i="3"/>
  <c r="D5" i="3"/>
  <c r="D4" i="3"/>
  <c r="D3" i="3"/>
  <c r="D12" i="3"/>
  <c r="J39" i="3"/>
  <c r="J37" i="3"/>
  <c r="J36" i="3"/>
  <c r="J35" i="3"/>
  <c r="J34" i="3"/>
  <c r="J33" i="3"/>
  <c r="J32" i="3"/>
  <c r="J31" i="3"/>
  <c r="J30" i="3"/>
  <c r="J29" i="3"/>
  <c r="J38" i="3"/>
  <c r="B11" i="3"/>
  <c r="B10" i="3"/>
  <c r="B9" i="3"/>
  <c r="B8" i="3"/>
  <c r="B7" i="3"/>
  <c r="B6" i="3"/>
  <c r="B5" i="3"/>
  <c r="B4" i="3"/>
  <c r="B3" i="3"/>
  <c r="B12" i="3"/>
  <c r="J52" i="4"/>
  <c r="J51" i="4"/>
  <c r="J42" i="4"/>
  <c r="J43" i="4"/>
  <c r="J44" i="4"/>
  <c r="J45" i="4"/>
  <c r="J46" i="4"/>
  <c r="J47" i="4"/>
  <c r="J48" i="4"/>
  <c r="J49" i="4"/>
  <c r="J50" i="4"/>
  <c r="H52" i="4"/>
  <c r="H50" i="4"/>
  <c r="H49" i="4"/>
  <c r="H48" i="4"/>
  <c r="H47" i="4"/>
  <c r="H46" i="4"/>
  <c r="H45" i="4"/>
  <c r="H44" i="4"/>
  <c r="H43" i="4"/>
  <c r="H42" i="4"/>
  <c r="H51" i="4"/>
  <c r="F52" i="4"/>
  <c r="F50" i="4"/>
  <c r="F49" i="4"/>
  <c r="F48" i="4"/>
  <c r="F47" i="4"/>
  <c r="F46" i="4"/>
  <c r="F45" i="4"/>
  <c r="F44" i="4"/>
  <c r="F43" i="4"/>
  <c r="F42" i="4"/>
  <c r="F51" i="4"/>
  <c r="J52" i="2"/>
  <c r="J50" i="2"/>
  <c r="J49" i="2"/>
  <c r="J48" i="2"/>
  <c r="J47" i="2"/>
  <c r="J46" i="2"/>
  <c r="J45" i="2"/>
  <c r="J44" i="2"/>
  <c r="J43" i="2"/>
  <c r="J42" i="2"/>
  <c r="J51" i="2"/>
  <c r="D52" i="4"/>
  <c r="D51" i="4"/>
  <c r="D50" i="4"/>
  <c r="D49" i="4"/>
  <c r="D48" i="4"/>
  <c r="D47" i="4"/>
  <c r="D46" i="4"/>
  <c r="D45" i="4"/>
  <c r="D44" i="4"/>
  <c r="D43" i="4"/>
  <c r="D42" i="4"/>
  <c r="H52" i="2"/>
  <c r="H50" i="2"/>
  <c r="H49" i="2"/>
  <c r="H48" i="2"/>
  <c r="H47" i="2"/>
  <c r="H46" i="2"/>
  <c r="H45" i="2"/>
  <c r="H44" i="2"/>
  <c r="H43" i="2"/>
  <c r="H42" i="2"/>
  <c r="H51" i="2"/>
  <c r="F52" i="2"/>
  <c r="F50" i="2"/>
  <c r="F49" i="2"/>
  <c r="F48" i="2"/>
  <c r="F47" i="2"/>
  <c r="F46" i="2"/>
  <c r="F45" i="2"/>
  <c r="F44" i="2"/>
  <c r="F43" i="2"/>
  <c r="F42" i="2"/>
  <c r="F51" i="2"/>
  <c r="B52" i="4"/>
  <c r="B50" i="4"/>
  <c r="B49" i="4"/>
  <c r="B48" i="4"/>
  <c r="B47" i="4"/>
  <c r="B46" i="4"/>
  <c r="B45" i="4"/>
  <c r="B44" i="4"/>
  <c r="B43" i="4"/>
  <c r="B42" i="4"/>
  <c r="B51" i="4"/>
  <c r="D52" i="2"/>
  <c r="D50" i="2"/>
  <c r="D49" i="2"/>
  <c r="D48" i="2"/>
  <c r="D47" i="2"/>
  <c r="D46" i="2"/>
  <c r="D45" i="2"/>
  <c r="D44" i="2"/>
  <c r="D43" i="2"/>
  <c r="D42" i="2"/>
  <c r="D51" i="2"/>
  <c r="B52" i="2"/>
  <c r="B50" i="2"/>
  <c r="B49" i="2"/>
  <c r="B48" i="2"/>
  <c r="B47" i="2"/>
  <c r="B46" i="2"/>
  <c r="B45" i="2"/>
  <c r="B44" i="2"/>
  <c r="B43" i="2"/>
  <c r="B42" i="2"/>
  <c r="B51" i="2"/>
  <c r="J39" i="2"/>
  <c r="J37" i="2"/>
  <c r="J36" i="2"/>
  <c r="J35" i="2"/>
  <c r="J34" i="2"/>
  <c r="J33" i="2"/>
  <c r="J32" i="2"/>
  <c r="J31" i="2"/>
  <c r="J30" i="2"/>
  <c r="J29" i="2"/>
  <c r="J38" i="2"/>
  <c r="J39" i="4" l="1"/>
  <c r="J37" i="4"/>
  <c r="J36" i="4"/>
  <c r="J35" i="4"/>
  <c r="J34" i="4"/>
  <c r="J33" i="4"/>
  <c r="J32" i="4"/>
  <c r="J31" i="4"/>
  <c r="J30" i="4"/>
  <c r="J29" i="4"/>
  <c r="J38" i="4"/>
  <c r="H39" i="2"/>
  <c r="H37" i="2"/>
  <c r="H36" i="2"/>
  <c r="H35" i="2"/>
  <c r="H34" i="2"/>
  <c r="H33" i="2"/>
  <c r="H32" i="2"/>
  <c r="H31" i="2"/>
  <c r="H30" i="2"/>
  <c r="H29" i="2"/>
  <c r="H38" i="2"/>
  <c r="H39" i="4"/>
  <c r="H37" i="4"/>
  <c r="H36" i="4"/>
  <c r="H35" i="4"/>
  <c r="H34" i="4"/>
  <c r="H33" i="4"/>
  <c r="H32" i="4"/>
  <c r="H31" i="4"/>
  <c r="H30" i="4"/>
  <c r="H29" i="4"/>
  <c r="H38" i="4"/>
  <c r="F37" i="2"/>
  <c r="F36" i="2"/>
  <c r="F35" i="2"/>
  <c r="F34" i="2"/>
  <c r="F33" i="2"/>
  <c r="F32" i="2"/>
  <c r="F31" i="2"/>
  <c r="F30" i="2"/>
  <c r="F39" i="2" s="1"/>
  <c r="F29" i="2"/>
  <c r="F38" i="2"/>
  <c r="F39" i="4"/>
  <c r="F37" i="4"/>
  <c r="F36" i="4"/>
  <c r="F35" i="4"/>
  <c r="F34" i="4"/>
  <c r="F33" i="4"/>
  <c r="F32" i="4"/>
  <c r="F31" i="4"/>
  <c r="F30" i="4"/>
  <c r="F29" i="4"/>
  <c r="F38" i="4"/>
  <c r="D37" i="2"/>
  <c r="D36" i="2"/>
  <c r="D35" i="2"/>
  <c r="D34" i="2"/>
  <c r="D33" i="2"/>
  <c r="D32" i="2"/>
  <c r="D31" i="2"/>
  <c r="D30" i="2"/>
  <c r="D29" i="2"/>
  <c r="D38" i="2"/>
  <c r="D39" i="2" s="1"/>
  <c r="D37" i="4"/>
  <c r="D36" i="4"/>
  <c r="D35" i="4"/>
  <c r="D34" i="4"/>
  <c r="D33" i="4"/>
  <c r="D32" i="4"/>
  <c r="D31" i="4"/>
  <c r="D39" i="4" s="1"/>
  <c r="D30" i="4"/>
  <c r="D29" i="4"/>
  <c r="D38" i="4"/>
  <c r="B39" i="2"/>
  <c r="B37" i="2"/>
  <c r="B36" i="2"/>
  <c r="B35" i="2"/>
  <c r="B34" i="2"/>
  <c r="B33" i="2"/>
  <c r="B32" i="2"/>
  <c r="B31" i="2"/>
  <c r="B30" i="2"/>
  <c r="B29" i="2"/>
  <c r="B38" i="2"/>
  <c r="B37" i="4"/>
  <c r="B39" i="4"/>
  <c r="B36" i="4"/>
  <c r="B35" i="4"/>
  <c r="B34" i="4"/>
  <c r="B33" i="4"/>
  <c r="B32" i="4"/>
  <c r="B31" i="4"/>
  <c r="B30" i="4"/>
  <c r="B29" i="4"/>
  <c r="B38" i="4"/>
  <c r="B26" i="2"/>
  <c r="B24" i="2"/>
  <c r="B23" i="2"/>
  <c r="B22" i="2"/>
  <c r="B21" i="2"/>
  <c r="B20" i="2"/>
  <c r="B19" i="2"/>
  <c r="B18" i="2"/>
  <c r="B17" i="2"/>
  <c r="B16" i="2"/>
  <c r="B25" i="2"/>
  <c r="J26" i="4"/>
  <c r="J24" i="4"/>
  <c r="J23" i="4"/>
  <c r="J22" i="4"/>
  <c r="J21" i="4"/>
  <c r="J20" i="4"/>
  <c r="J19" i="4"/>
  <c r="J18" i="4"/>
  <c r="J17" i="4"/>
  <c r="J16" i="4"/>
  <c r="J25" i="4"/>
  <c r="D26" i="2"/>
  <c r="D24" i="2"/>
  <c r="D23" i="2"/>
  <c r="D22" i="2"/>
  <c r="D21" i="2"/>
  <c r="D20" i="2"/>
  <c r="D19" i="2"/>
  <c r="D18" i="2"/>
  <c r="D17" i="2"/>
  <c r="D16" i="2"/>
  <c r="D25" i="2"/>
  <c r="H26" i="4"/>
  <c r="H24" i="4"/>
  <c r="H23" i="4"/>
  <c r="H22" i="4"/>
  <c r="H21" i="4"/>
  <c r="H20" i="4"/>
  <c r="H19" i="4"/>
  <c r="H18" i="4"/>
  <c r="H17" i="4"/>
  <c r="H16" i="4"/>
  <c r="H25" i="4"/>
  <c r="F24" i="2"/>
  <c r="F23" i="2"/>
  <c r="F22" i="2"/>
  <c r="F21" i="2"/>
  <c r="F20" i="2"/>
  <c r="F19" i="2"/>
  <c r="F18" i="2"/>
  <c r="F26" i="2"/>
  <c r="F17" i="2"/>
  <c r="F16" i="2"/>
  <c r="F25" i="2"/>
  <c r="F26" i="4"/>
  <c r="F24" i="4"/>
  <c r="F23" i="4"/>
  <c r="F22" i="4"/>
  <c r="F21" i="4"/>
  <c r="F20" i="4"/>
  <c r="F19" i="4"/>
  <c r="F18" i="4"/>
  <c r="F17" i="4"/>
  <c r="F16" i="4"/>
  <c r="F25" i="4"/>
  <c r="H26" i="2"/>
  <c r="H24" i="2"/>
  <c r="H23" i="2"/>
  <c r="H22" i="2"/>
  <c r="H21" i="2"/>
  <c r="H20" i="2"/>
  <c r="H19" i="2"/>
  <c r="H18" i="2"/>
  <c r="H17" i="2"/>
  <c r="H16" i="2"/>
  <c r="H25" i="2"/>
  <c r="D26" i="4"/>
  <c r="D24" i="4"/>
  <c r="D23" i="4"/>
  <c r="D22" i="4"/>
  <c r="D21" i="4"/>
  <c r="D20" i="4"/>
  <c r="D19" i="4"/>
  <c r="D18" i="4"/>
  <c r="D17" i="4"/>
  <c r="D16" i="4"/>
  <c r="D25" i="4"/>
  <c r="J26" i="2"/>
  <c r="J24" i="2"/>
  <c r="J23" i="2"/>
  <c r="J22" i="2"/>
  <c r="J21" i="2"/>
  <c r="J20" i="2"/>
  <c r="J19" i="2"/>
  <c r="J18" i="2"/>
  <c r="J17" i="2"/>
  <c r="J16" i="2"/>
  <c r="J25" i="2"/>
  <c r="B26" i="4"/>
  <c r="B24" i="4"/>
  <c r="B23" i="4"/>
  <c r="B22" i="4"/>
  <c r="B21" i="4"/>
  <c r="B20" i="4"/>
  <c r="B19" i="4"/>
  <c r="B18" i="4"/>
  <c r="B17" i="4"/>
  <c r="B16" i="4"/>
  <c r="B25" i="4"/>
  <c r="J13" i="2"/>
  <c r="J11" i="2"/>
  <c r="J10" i="2"/>
  <c r="J9" i="2"/>
  <c r="J8" i="2"/>
  <c r="J7" i="2"/>
  <c r="J6" i="2"/>
  <c r="J5" i="2"/>
  <c r="J4" i="2"/>
  <c r="J3" i="2"/>
  <c r="J12" i="2"/>
  <c r="H13" i="2"/>
  <c r="H13" i="4"/>
  <c r="H11" i="4"/>
  <c r="H10" i="4"/>
  <c r="H9" i="4"/>
  <c r="H8" i="4"/>
  <c r="H7" i="4"/>
  <c r="H6" i="4"/>
  <c r="H5" i="4"/>
  <c r="H4" i="4"/>
  <c r="H12" i="4"/>
  <c r="H3" i="4"/>
  <c r="H3" i="2"/>
  <c r="H4" i="2"/>
  <c r="H5" i="2"/>
  <c r="H6" i="2"/>
  <c r="H7" i="2"/>
  <c r="H8" i="2"/>
  <c r="H9" i="2"/>
  <c r="H10" i="2"/>
  <c r="H11" i="2"/>
  <c r="H12" i="2"/>
  <c r="F13" i="2"/>
  <c r="F11" i="2"/>
  <c r="F10" i="2"/>
  <c r="F9" i="2"/>
  <c r="F8" i="2"/>
  <c r="F7" i="2"/>
  <c r="F6" i="2"/>
  <c r="F5" i="2"/>
  <c r="F4" i="2"/>
  <c r="F12" i="2"/>
  <c r="F3" i="2"/>
  <c r="F13" i="4"/>
  <c r="F11" i="4"/>
  <c r="F10" i="4"/>
  <c r="F9" i="4"/>
  <c r="F8" i="4"/>
  <c r="F7" i="4"/>
  <c r="F6" i="4"/>
  <c r="F5" i="4"/>
  <c r="F4" i="4"/>
  <c r="F3" i="4"/>
  <c r="F12" i="4"/>
  <c r="D11" i="2"/>
  <c r="D10" i="2"/>
  <c r="D9" i="2"/>
  <c r="D8" i="2"/>
  <c r="D7" i="2"/>
  <c r="D6" i="2"/>
  <c r="D5" i="2"/>
  <c r="D4" i="2"/>
  <c r="D3" i="2"/>
  <c r="D12" i="2"/>
  <c r="D11" i="4"/>
  <c r="D10" i="4"/>
  <c r="D9" i="4"/>
  <c r="D8" i="4"/>
  <c r="D13" i="4" s="1"/>
  <c r="D7" i="4"/>
  <c r="D6" i="4"/>
  <c r="D5" i="4"/>
  <c r="D4" i="4"/>
  <c r="D3" i="4"/>
  <c r="D12" i="4"/>
  <c r="B11" i="4"/>
  <c r="B10" i="4"/>
  <c r="B9" i="4"/>
  <c r="B8" i="4"/>
  <c r="B7" i="4"/>
  <c r="B6" i="4"/>
  <c r="B5" i="4"/>
  <c r="B4" i="4"/>
  <c r="B3" i="4"/>
  <c r="B13" i="2"/>
  <c r="B11" i="2"/>
  <c r="B10" i="2"/>
  <c r="B9" i="2"/>
  <c r="B8" i="2"/>
  <c r="B7" i="2"/>
  <c r="B6" i="2"/>
  <c r="B5" i="2"/>
  <c r="B4" i="2"/>
  <c r="B12" i="2"/>
  <c r="B3" i="2"/>
  <c r="J13" i="4"/>
  <c r="J11" i="4"/>
  <c r="J10" i="4"/>
  <c r="J9" i="4"/>
  <c r="J8" i="4"/>
  <c r="J7" i="4"/>
  <c r="J6" i="4"/>
  <c r="J5" i="4"/>
  <c r="J4" i="4"/>
  <c r="J3" i="4"/>
  <c r="J12" i="4"/>
  <c r="B12" i="4"/>
  <c r="J12" i="5"/>
  <c r="H12" i="5"/>
  <c r="F12" i="5"/>
  <c r="D12" i="5"/>
  <c r="B12" i="5"/>
  <c r="J9" i="5"/>
  <c r="H9" i="5"/>
  <c r="F9" i="5"/>
  <c r="D9" i="5"/>
  <c r="B9" i="5"/>
  <c r="J6" i="5"/>
  <c r="H6" i="5"/>
  <c r="F6" i="5"/>
  <c r="D6" i="5"/>
  <c r="B6" i="5"/>
  <c r="H3" i="5"/>
  <c r="F3" i="5"/>
  <c r="D3" i="5"/>
  <c r="B3" i="5"/>
  <c r="J3" i="5"/>
  <c r="J52" i="1"/>
  <c r="J50" i="1"/>
  <c r="J49" i="1"/>
  <c r="J48" i="1"/>
  <c r="J47" i="1"/>
  <c r="J46" i="1"/>
  <c r="J45" i="1"/>
  <c r="J44" i="1"/>
  <c r="J43" i="1"/>
  <c r="J42" i="1"/>
  <c r="J51" i="1"/>
  <c r="H52" i="1"/>
  <c r="H50" i="1"/>
  <c r="H49" i="1"/>
  <c r="H48" i="1"/>
  <c r="H47" i="1"/>
  <c r="H46" i="1"/>
  <c r="H45" i="1"/>
  <c r="H44" i="1"/>
  <c r="H43" i="1"/>
  <c r="H51" i="1"/>
  <c r="H42" i="1"/>
  <c r="F52" i="1"/>
  <c r="F50" i="1"/>
  <c r="F49" i="1"/>
  <c r="F48" i="1"/>
  <c r="F47" i="1"/>
  <c r="F46" i="1"/>
  <c r="F45" i="1"/>
  <c r="F44" i="1"/>
  <c r="F43" i="1"/>
  <c r="F42" i="1"/>
  <c r="F51" i="1"/>
  <c r="D52" i="1"/>
  <c r="D50" i="1"/>
  <c r="D49" i="1"/>
  <c r="D48" i="1"/>
  <c r="D47" i="1"/>
  <c r="D46" i="1"/>
  <c r="D45" i="1"/>
  <c r="D44" i="1"/>
  <c r="D43" i="1"/>
  <c r="D42" i="1"/>
  <c r="D51" i="1"/>
  <c r="B52" i="1"/>
  <c r="B50" i="1"/>
  <c r="B49" i="1"/>
  <c r="B48" i="1"/>
  <c r="B47" i="1"/>
  <c r="B46" i="1"/>
  <c r="B45" i="1"/>
  <c r="B44" i="1"/>
  <c r="B43" i="1"/>
  <c r="B42" i="1"/>
  <c r="B51" i="1"/>
  <c r="J37" i="1"/>
  <c r="J36" i="1"/>
  <c r="J35" i="1"/>
  <c r="J34" i="1"/>
  <c r="J33" i="1"/>
  <c r="J32" i="1"/>
  <c r="J31" i="1"/>
  <c r="J30" i="1"/>
  <c r="J39" i="1" s="1"/>
  <c r="J29" i="1"/>
  <c r="J38" i="1"/>
  <c r="H37" i="1"/>
  <c r="H36" i="1"/>
  <c r="H35" i="1"/>
  <c r="H34" i="1"/>
  <c r="H33" i="1"/>
  <c r="H32" i="1"/>
  <c r="H31" i="1"/>
  <c r="H30" i="1"/>
  <c r="H39" i="1" s="1"/>
  <c r="H38" i="1"/>
  <c r="H29" i="1"/>
  <c r="F37" i="1"/>
  <c r="F36" i="1"/>
  <c r="F35" i="1"/>
  <c r="F34" i="1"/>
  <c r="F33" i="1"/>
  <c r="F32" i="1"/>
  <c r="F31" i="1"/>
  <c r="F30" i="1"/>
  <c r="F38" i="1"/>
  <c r="F29" i="1"/>
  <c r="D37" i="1"/>
  <c r="D36" i="1"/>
  <c r="D35" i="1"/>
  <c r="D34" i="1"/>
  <c r="D33" i="1"/>
  <c r="D32" i="1"/>
  <c r="D31" i="1"/>
  <c r="D30" i="1"/>
  <c r="D29" i="1"/>
  <c r="D39" i="1" s="1"/>
  <c r="D38" i="1"/>
  <c r="B37" i="1"/>
  <c r="B36" i="1"/>
  <c r="B35" i="1"/>
  <c r="B34" i="1"/>
  <c r="B33" i="1"/>
  <c r="B32" i="1"/>
  <c r="B31" i="1"/>
  <c r="B30" i="1"/>
  <c r="B39" i="1" s="1"/>
  <c r="B29" i="1"/>
  <c r="B38" i="1"/>
  <c r="J24" i="1"/>
  <c r="J23" i="1"/>
  <c r="J22" i="1"/>
  <c r="J21" i="1"/>
  <c r="J20" i="1"/>
  <c r="J19" i="1"/>
  <c r="J18" i="1"/>
  <c r="J17" i="1"/>
  <c r="J26" i="1" s="1"/>
  <c r="J16" i="1"/>
  <c r="J25" i="1"/>
  <c r="H26" i="1"/>
  <c r="H24" i="1"/>
  <c r="H23" i="1"/>
  <c r="H22" i="1"/>
  <c r="H21" i="1"/>
  <c r="H20" i="1"/>
  <c r="H19" i="1"/>
  <c r="H18" i="1"/>
  <c r="H17" i="1"/>
  <c r="H16" i="1"/>
  <c r="H25" i="1"/>
  <c r="F23" i="1"/>
  <c r="F24" i="1"/>
  <c r="F22" i="1"/>
  <c r="F21" i="1"/>
  <c r="F20" i="1"/>
  <c r="F19" i="1"/>
  <c r="F18" i="1"/>
  <c r="F17" i="1"/>
  <c r="F16" i="1"/>
  <c r="F26" i="1" s="1"/>
  <c r="F25" i="1"/>
  <c r="J51" i="3"/>
  <c r="H51" i="3"/>
  <c r="F51" i="3"/>
  <c r="D51" i="3"/>
  <c r="B51" i="3"/>
  <c r="J50" i="3"/>
  <c r="H50" i="3"/>
  <c r="F50" i="3"/>
  <c r="D50" i="3"/>
  <c r="B50" i="3"/>
  <c r="J49" i="3"/>
  <c r="H49" i="3"/>
  <c r="F49" i="3"/>
  <c r="D49" i="3"/>
  <c r="B49" i="3"/>
  <c r="J48" i="3"/>
  <c r="H48" i="3"/>
  <c r="F48" i="3"/>
  <c r="D48" i="3"/>
  <c r="B48" i="3"/>
  <c r="J47" i="3"/>
  <c r="H47" i="3"/>
  <c r="F47" i="3"/>
  <c r="D47" i="3"/>
  <c r="B47" i="3"/>
  <c r="J46" i="3"/>
  <c r="H46" i="3"/>
  <c r="F46" i="3"/>
  <c r="D46" i="3"/>
  <c r="B46" i="3"/>
  <c r="J45" i="3"/>
  <c r="H45" i="3"/>
  <c r="F45" i="3"/>
  <c r="D45" i="3"/>
  <c r="B45" i="3"/>
  <c r="J44" i="3"/>
  <c r="H44" i="3"/>
  <c r="F44" i="3"/>
  <c r="D44" i="3"/>
  <c r="B44" i="3"/>
  <c r="J43" i="3"/>
  <c r="H43" i="3"/>
  <c r="F43" i="3"/>
  <c r="D43" i="3"/>
  <c r="B43" i="3"/>
  <c r="J42" i="3"/>
  <c r="H42" i="3"/>
  <c r="F42" i="3"/>
  <c r="D42" i="3"/>
  <c r="B42" i="3"/>
  <c r="F38" i="3"/>
  <c r="D38" i="3"/>
  <c r="B38" i="3"/>
  <c r="F37" i="3"/>
  <c r="D37" i="3"/>
  <c r="B37" i="3"/>
  <c r="F36" i="3"/>
  <c r="D36" i="3"/>
  <c r="B36" i="3"/>
  <c r="F35" i="3"/>
  <c r="D35" i="3"/>
  <c r="B35" i="3"/>
  <c r="F34" i="3"/>
  <c r="D34" i="3"/>
  <c r="B34" i="3"/>
  <c r="F33" i="3"/>
  <c r="D33" i="3"/>
  <c r="B33" i="3"/>
  <c r="F32" i="3"/>
  <c r="D32" i="3"/>
  <c r="B32" i="3"/>
  <c r="F31" i="3"/>
  <c r="D31" i="3"/>
  <c r="B31" i="3"/>
  <c r="F30" i="3"/>
  <c r="D30" i="3"/>
  <c r="B30" i="3"/>
  <c r="F29" i="3"/>
  <c r="D29" i="3"/>
  <c r="B29" i="3"/>
  <c r="J25" i="3"/>
  <c r="H25" i="3"/>
  <c r="F25" i="3"/>
  <c r="D25" i="3"/>
  <c r="B25" i="3"/>
  <c r="J24" i="3"/>
  <c r="H24" i="3"/>
  <c r="F24" i="3"/>
  <c r="D24" i="3"/>
  <c r="B24" i="3"/>
  <c r="J23" i="3"/>
  <c r="H23" i="3"/>
  <c r="F23" i="3"/>
  <c r="D23" i="3"/>
  <c r="B23" i="3"/>
  <c r="J22" i="3"/>
  <c r="H22" i="3"/>
  <c r="F22" i="3"/>
  <c r="D22" i="3"/>
  <c r="B22" i="3"/>
  <c r="J21" i="3"/>
  <c r="H21" i="3"/>
  <c r="F21" i="3"/>
  <c r="D21" i="3"/>
  <c r="B21" i="3"/>
  <c r="J20" i="3"/>
  <c r="H20" i="3"/>
  <c r="F20" i="3"/>
  <c r="D20" i="3"/>
  <c r="B20" i="3"/>
  <c r="J19" i="3"/>
  <c r="H19" i="3"/>
  <c r="F19" i="3"/>
  <c r="D19" i="3"/>
  <c r="B19" i="3"/>
  <c r="J18" i="3"/>
  <c r="H18" i="3"/>
  <c r="F18" i="3"/>
  <c r="D18" i="3"/>
  <c r="B18" i="3"/>
  <c r="J17" i="3"/>
  <c r="H17" i="3"/>
  <c r="F17" i="3"/>
  <c r="D17" i="3"/>
  <c r="B17" i="3"/>
  <c r="J16" i="3"/>
  <c r="H16" i="3"/>
  <c r="F16" i="3"/>
  <c r="D16" i="3"/>
  <c r="B16" i="3"/>
  <c r="B13" i="3"/>
  <c r="J12" i="3"/>
  <c r="H12" i="3"/>
  <c r="F12" i="3"/>
  <c r="J11" i="3"/>
  <c r="H11" i="3"/>
  <c r="F11" i="3"/>
  <c r="J10" i="3"/>
  <c r="H10" i="3"/>
  <c r="F10" i="3"/>
  <c r="J9" i="3"/>
  <c r="H9" i="3"/>
  <c r="F9" i="3"/>
  <c r="J8" i="3"/>
  <c r="H8" i="3"/>
  <c r="F8" i="3"/>
  <c r="J7" i="3"/>
  <c r="H7" i="3"/>
  <c r="F7" i="3"/>
  <c r="J6" i="3"/>
  <c r="H6" i="3"/>
  <c r="F6" i="3"/>
  <c r="J5" i="3"/>
  <c r="H5" i="3"/>
  <c r="F5" i="3"/>
  <c r="D13" i="3"/>
  <c r="J4" i="3"/>
  <c r="H4" i="3"/>
  <c r="F4" i="3"/>
  <c r="J3" i="3"/>
  <c r="H3" i="3"/>
  <c r="F3" i="3"/>
  <c r="D24" i="1"/>
  <c r="D23" i="1"/>
  <c r="D22" i="1"/>
  <c r="D21" i="1"/>
  <c r="D20" i="1"/>
  <c r="D19" i="1"/>
  <c r="D18" i="1"/>
  <c r="D17" i="1"/>
  <c r="D16" i="1"/>
  <c r="D26" i="1" s="1"/>
  <c r="D25" i="1"/>
  <c r="B24" i="1"/>
  <c r="B23" i="1"/>
  <c r="B22" i="1"/>
  <c r="B21" i="1"/>
  <c r="B20" i="1"/>
  <c r="B19" i="1"/>
  <c r="B18" i="1"/>
  <c r="B17" i="1"/>
  <c r="B16" i="1"/>
  <c r="B26" i="1" s="1"/>
  <c r="B25" i="1"/>
  <c r="J11" i="1"/>
  <c r="J10" i="1"/>
  <c r="J9" i="1"/>
  <c r="J8" i="1"/>
  <c r="J7" i="1"/>
  <c r="J6" i="1"/>
  <c r="J5" i="1"/>
  <c r="J4" i="1"/>
  <c r="J12" i="1"/>
  <c r="J3" i="1"/>
  <c r="H11" i="1"/>
  <c r="H10" i="1"/>
  <c r="H9" i="1"/>
  <c r="H8" i="1"/>
  <c r="H7" i="1"/>
  <c r="H6" i="1"/>
  <c r="H5" i="1"/>
  <c r="H4" i="1"/>
  <c r="H12" i="1"/>
  <c r="H3" i="1"/>
  <c r="F11" i="1"/>
  <c r="F10" i="1"/>
  <c r="F9" i="1"/>
  <c r="F8" i="1"/>
  <c r="F7" i="1"/>
  <c r="F6" i="1"/>
  <c r="F5" i="1"/>
  <c r="F4" i="1"/>
  <c r="F3" i="1"/>
  <c r="F12" i="1"/>
  <c r="D11" i="1"/>
  <c r="D10" i="1"/>
  <c r="D9" i="1"/>
  <c r="D8" i="1"/>
  <c r="D7" i="1"/>
  <c r="D6" i="1"/>
  <c r="D5" i="1"/>
  <c r="D4" i="1"/>
  <c r="D3" i="1"/>
  <c r="D12" i="1"/>
  <c r="B12" i="1"/>
  <c r="B11" i="1"/>
  <c r="B10" i="1"/>
  <c r="B9" i="1"/>
  <c r="B8" i="1"/>
  <c r="B7" i="1"/>
  <c r="B6" i="1"/>
  <c r="B5" i="1"/>
  <c r="B4" i="1"/>
  <c r="B3" i="1"/>
  <c r="B13" i="4" l="1"/>
  <c r="F39" i="1"/>
  <c r="D13" i="2"/>
  <c r="D13" i="1"/>
  <c r="F13" i="1"/>
  <c r="H13" i="1"/>
  <c r="J13" i="1"/>
  <c r="B13" i="1"/>
</calcChain>
</file>

<file path=xl/sharedStrings.xml><?xml version="1.0" encoding="utf-8"?>
<sst xmlns="http://schemas.openxmlformats.org/spreadsheetml/2006/main" count="487" uniqueCount="40">
  <si>
    <t>Binary</t>
  </si>
  <si>
    <t>Relu</t>
  </si>
  <si>
    <t>Sigmoid</t>
  </si>
  <si>
    <t>Selu</t>
  </si>
  <si>
    <t>Radbas</t>
  </si>
  <si>
    <t>Sine</t>
  </si>
  <si>
    <t>N = 43</t>
  </si>
  <si>
    <t>C = 0,1250</t>
  </si>
  <si>
    <t>Final Acc</t>
  </si>
  <si>
    <t>Count</t>
  </si>
  <si>
    <t>=</t>
  </si>
  <si>
    <t>TFIDF</t>
  </si>
  <si>
    <t>Freq</t>
  </si>
  <si>
    <t>N = 83</t>
  </si>
  <si>
    <t>C = 0,250</t>
  </si>
  <si>
    <t>N = 103</t>
  </si>
  <si>
    <t>N = 23</t>
  </si>
  <si>
    <t>N = 183</t>
  </si>
  <si>
    <t>C = 0,0625</t>
  </si>
  <si>
    <t>N = 63</t>
  </si>
  <si>
    <t>N = 3</t>
  </si>
  <si>
    <t>C = 0.0313</t>
  </si>
  <si>
    <t>N = 143</t>
  </si>
  <si>
    <t>N = 203</t>
  </si>
  <si>
    <t>C = 8</t>
  </si>
  <si>
    <t>Summary</t>
  </si>
  <si>
    <t>Highest Acc</t>
  </si>
  <si>
    <t>Activation</t>
  </si>
  <si>
    <t>ReLu</t>
  </si>
  <si>
    <t>SeLu</t>
  </si>
  <si>
    <t>Mode</t>
  </si>
  <si>
    <t>Summary (L = 10)</t>
  </si>
  <si>
    <t>Summary (L=10)</t>
  </si>
  <si>
    <t>C = 0,0313</t>
  </si>
  <si>
    <t>C = 4</t>
  </si>
  <si>
    <t>N = 123</t>
  </si>
  <si>
    <t>C = 0,50</t>
  </si>
  <si>
    <t>C = 1</t>
  </si>
  <si>
    <t>N = 163</t>
  </si>
  <si>
    <t>C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</si>
</sst>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64" fontId="0" fillId="6" borderId="1" xfId="0" applyNumberFormat="1" applyFill="1" applyBorder="1" applyAlignment="1">
      <alignment horizontal="center" vertical="center"/>
    </xf>
    <xf numFmtId="164" fontId="0" fillId="4" borderId="2" xfId="0" applyNumberFormat="1" applyFill="1" applyBorder="1"/>
    <xf numFmtId="164" fontId="3" fillId="6" borderId="1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8" borderId="5" xfId="0" applyNumberFormat="1" applyFill="1" applyBorder="1" applyAlignment="1">
      <alignment horizontal="center" vertical="center"/>
    </xf>
    <xf numFmtId="164" fontId="0" fillId="8" borderId="0" xfId="0" applyNumberFormat="1" applyFill="1" applyBorder="1" applyAlignment="1">
      <alignment horizontal="center" vertical="center"/>
    </xf>
    <xf numFmtId="164" fontId="0" fillId="8" borderId="6" xfId="0" applyNumberFormat="1" applyFill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2" fillId="7" borderId="0" xfId="0" applyNumberFormat="1" applyFont="1" applyFill="1" applyBorder="1" applyAlignment="1">
      <alignment horizontal="center" vertical="center"/>
    </xf>
    <xf numFmtId="164" fontId="0" fillId="2" borderId="10" xfId="0" applyNumberFormat="1" applyFill="1" applyBorder="1"/>
    <xf numFmtId="164" fontId="0" fillId="2" borderId="13" xfId="0" applyNumberFormat="1" applyFill="1" applyBorder="1"/>
    <xf numFmtId="164" fontId="0" fillId="0" borderId="13" xfId="0" applyNumberFormat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/>
    </xf>
    <xf numFmtId="164" fontId="1" fillId="3" borderId="8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/>
    </xf>
    <xf numFmtId="164" fontId="0" fillId="0" borderId="5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1" fillId="5" borderId="0" xfId="0" applyNumberFormat="1" applyFont="1" applyFill="1" applyAlignment="1">
      <alignment horizontal="center"/>
    </xf>
    <xf numFmtId="164" fontId="0" fillId="0" borderId="0" xfId="0" applyNumberFormat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164" fontId="2" fillId="7" borderId="3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2" fillId="7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1" fillId="5" borderId="0" xfId="0" applyNumberFormat="1" applyFont="1" applyFill="1" applyBorder="1" applyAlignment="1">
      <alignment horizontal="center"/>
    </xf>
    <xf numFmtId="164" fontId="1" fillId="5" borderId="14" xfId="0" applyNumberFormat="1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164" fontId="1" fillId="5" borderId="11" xfId="0" applyNumberFormat="1" applyFont="1" applyFill="1" applyBorder="1" applyAlignment="1">
      <alignment horizontal="center"/>
    </xf>
    <xf numFmtId="164" fontId="1" fillId="5" borderId="12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 vertical="center"/>
    </xf>
    <xf numFmtId="164" fontId="2" fillId="7" borderId="6" xfId="0" applyNumberFormat="1" applyFont="1" applyFill="1" applyBorder="1" applyAlignment="1">
      <alignment horizontal="center" vertical="center"/>
    </xf>
    <xf numFmtId="164" fontId="5" fillId="0" borderId="8" xfId="0" applyNumberFormat="1" applyFont="1" applyFill="1" applyBorder="1" applyAlignment="1">
      <alignment horizontal="center" vertical="center"/>
    </xf>
    <xf numFmtId="164" fontId="5" fillId="0" borderId="9" xfId="0" applyNumberFormat="1" applyFont="1" applyFill="1" applyBorder="1" applyAlignment="1">
      <alignment horizontal="center" vertical="center"/>
    </xf>
    <xf numFmtId="164" fontId="4" fillId="3" borderId="8" xfId="0" applyNumberFormat="1" applyFont="1" applyFill="1" applyBorder="1" applyAlignment="1">
      <alignment horizontal="center" vertical="center"/>
    </xf>
    <xf numFmtId="164" fontId="4" fillId="3" borderId="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C9A76-F5F2-418F-AF1F-FFA5D2B7A319}">
  <dimension ref="A1:R52"/>
  <sheetViews>
    <sheetView workbookViewId="0">
      <pane ySplit="1" topLeftCell="A2" activePane="bottomLeft" state="frozen"/>
      <selection pane="bottomLeft" activeCell="S19" sqref="S19"/>
    </sheetView>
  </sheetViews>
  <sheetFormatPr defaultRowHeight="14.5" x14ac:dyDescent="0.35"/>
  <cols>
    <col min="1" max="2" width="8.7265625" style="1"/>
    <col min="3" max="3" width="10.6328125" style="1" customWidth="1"/>
    <col min="4" max="4" width="8.7265625" style="1"/>
    <col min="5" max="5" width="10.90625" style="1" customWidth="1"/>
    <col min="6" max="6" width="8.7265625" style="1"/>
    <col min="7" max="7" width="10.90625" style="1" customWidth="1"/>
    <col min="8" max="8" width="8.7265625" style="1"/>
    <col min="9" max="9" width="10.81640625" style="1" customWidth="1"/>
    <col min="10" max="10" width="8.7265625" style="1"/>
    <col min="11" max="11" width="10.26953125" style="1" customWidth="1"/>
    <col min="12" max="12" width="2.36328125" style="1" customWidth="1"/>
    <col min="13" max="13" width="8.7265625" style="1"/>
    <col min="14" max="14" width="12.453125" style="1" customWidth="1"/>
    <col min="15" max="15" width="8.7265625" style="1"/>
    <col min="16" max="16" width="8.6328125" style="1" customWidth="1"/>
    <col min="17" max="17" width="10.7265625" style="1" customWidth="1"/>
    <col min="18" max="18" width="9.26953125" style="1" customWidth="1"/>
    <col min="19" max="16384" width="8.7265625" style="1"/>
  </cols>
  <sheetData>
    <row r="1" spans="1:18" x14ac:dyDescent="0.35">
      <c r="A1" s="2">
        <v>100</v>
      </c>
      <c r="B1" s="26" t="s">
        <v>1</v>
      </c>
      <c r="C1" s="26"/>
      <c r="D1" s="26" t="s">
        <v>2</v>
      </c>
      <c r="E1" s="26"/>
      <c r="F1" s="26" t="s">
        <v>3</v>
      </c>
      <c r="G1" s="26"/>
      <c r="H1" s="26" t="s">
        <v>4</v>
      </c>
      <c r="I1" s="26"/>
      <c r="J1" s="26" t="s">
        <v>5</v>
      </c>
      <c r="K1" s="26"/>
      <c r="M1" s="21" t="s">
        <v>31</v>
      </c>
      <c r="N1" s="21"/>
      <c r="O1" s="21"/>
      <c r="P1" s="21"/>
      <c r="Q1" s="21"/>
      <c r="R1" s="21"/>
    </row>
    <row r="2" spans="1:18" x14ac:dyDescent="0.35">
      <c r="A2" s="2">
        <v>100</v>
      </c>
      <c r="B2" s="5" t="s">
        <v>6</v>
      </c>
      <c r="C2" s="5" t="s">
        <v>7</v>
      </c>
      <c r="D2" s="5" t="s">
        <v>13</v>
      </c>
      <c r="E2" s="5" t="s">
        <v>7</v>
      </c>
      <c r="F2" s="5" t="s">
        <v>6</v>
      </c>
      <c r="G2" s="5" t="s">
        <v>14</v>
      </c>
      <c r="H2" s="5" t="s">
        <v>6</v>
      </c>
      <c r="I2" s="5" t="s">
        <v>7</v>
      </c>
      <c r="J2" s="5" t="s">
        <v>15</v>
      </c>
      <c r="K2" s="5" t="s">
        <v>7</v>
      </c>
      <c r="M2" s="13" t="s">
        <v>30</v>
      </c>
      <c r="N2" s="13" t="s">
        <v>26</v>
      </c>
      <c r="O2" s="13" t="s">
        <v>27</v>
      </c>
      <c r="P2" s="13" t="s">
        <v>30</v>
      </c>
      <c r="Q2" s="13" t="s">
        <v>26</v>
      </c>
      <c r="R2" s="13" t="s">
        <v>27</v>
      </c>
    </row>
    <row r="3" spans="1:18" x14ac:dyDescent="0.35">
      <c r="A3" s="31" t="s">
        <v>0</v>
      </c>
      <c r="B3" s="33">
        <f>0.777777777777778*A2</f>
        <v>77.7777777777778</v>
      </c>
      <c r="C3" s="33"/>
      <c r="D3" s="27">
        <f>0.783068783068783*A1</f>
        <v>78.306878306878303</v>
      </c>
      <c r="E3" s="27"/>
      <c r="F3" s="27">
        <f>0.764550264550265*$A$2</f>
        <v>76.455026455026498</v>
      </c>
      <c r="G3" s="27"/>
      <c r="H3" s="27">
        <f>0.785714285714286*$A$2</f>
        <v>78.571428571428598</v>
      </c>
      <c r="I3" s="27"/>
      <c r="J3" s="27">
        <f>0.76984126984127*$A$2</f>
        <v>76.984126984127002</v>
      </c>
      <c r="K3" s="27"/>
      <c r="M3" s="22" t="s">
        <v>0</v>
      </c>
      <c r="N3" s="14">
        <v>78.039000000000001</v>
      </c>
      <c r="O3" s="14" t="s">
        <v>4</v>
      </c>
      <c r="P3" s="23" t="s">
        <v>9</v>
      </c>
      <c r="Q3" s="6">
        <v>77.615188132429509</v>
      </c>
      <c r="R3" s="7" t="s">
        <v>5</v>
      </c>
    </row>
    <row r="4" spans="1:18" x14ac:dyDescent="0.35">
      <c r="A4" s="31"/>
      <c r="B4" s="33">
        <f>0.806878306878307*A2</f>
        <v>80.687830687830697</v>
      </c>
      <c r="C4" s="33"/>
      <c r="D4" s="27">
        <f>0.804232804232804*A1</f>
        <v>80.423280423280403</v>
      </c>
      <c r="E4" s="27"/>
      <c r="F4" s="27">
        <f>0.814814814814815*$A$2</f>
        <v>81.481481481481495</v>
      </c>
      <c r="G4" s="27"/>
      <c r="H4" s="27">
        <f>0.817460317460317*$A$2</f>
        <v>81.746031746031704</v>
      </c>
      <c r="I4" s="27"/>
      <c r="J4" s="27">
        <f>0.791005291005291*$A$2</f>
        <v>79.100529100529101</v>
      </c>
      <c r="K4" s="27"/>
      <c r="M4" s="22"/>
      <c r="N4" s="6">
        <v>77.986999999999995</v>
      </c>
      <c r="O4" s="6" t="s">
        <v>28</v>
      </c>
      <c r="P4" s="23"/>
      <c r="Q4" s="6">
        <v>77.56241842448739</v>
      </c>
      <c r="R4" s="7" t="s">
        <v>4</v>
      </c>
    </row>
    <row r="5" spans="1:18" x14ac:dyDescent="0.35">
      <c r="A5" s="31"/>
      <c r="B5" s="33">
        <f>0.780423280423281*A2</f>
        <v>78.042328042328108</v>
      </c>
      <c r="C5" s="33"/>
      <c r="D5" s="27">
        <f>0.785714285714286*A2</f>
        <v>78.571428571428598</v>
      </c>
      <c r="E5" s="27"/>
      <c r="F5" s="27">
        <f>0.777777777777778*$A$2</f>
        <v>77.7777777777778</v>
      </c>
      <c r="G5" s="27"/>
      <c r="H5" s="27">
        <f>0.777777777777778*$A$2</f>
        <v>77.7777777777778</v>
      </c>
      <c r="I5" s="27"/>
      <c r="J5" s="27">
        <f>0.748677248677249*$A$2</f>
        <v>74.867724867724903</v>
      </c>
      <c r="K5" s="27"/>
      <c r="M5" s="22"/>
      <c r="N5" s="6">
        <v>77.986999999999995</v>
      </c>
      <c r="O5" s="6" t="s">
        <v>2</v>
      </c>
      <c r="P5" s="23"/>
      <c r="Q5" s="6">
        <v>77.45659831866729</v>
      </c>
      <c r="R5" s="7" t="s">
        <v>2</v>
      </c>
    </row>
    <row r="6" spans="1:18" x14ac:dyDescent="0.35">
      <c r="A6" s="31"/>
      <c r="B6" s="33">
        <f>0.759259259259259*A2</f>
        <v>75.925925925925895</v>
      </c>
      <c r="C6" s="33"/>
      <c r="D6" s="27">
        <f>0.756613756613757*A1</f>
        <v>75.6613756613757</v>
      </c>
      <c r="E6" s="27"/>
      <c r="F6" s="27">
        <f>0.756613756613757*$A$2</f>
        <v>75.6613756613757</v>
      </c>
      <c r="G6" s="27"/>
      <c r="H6" s="27">
        <f>0.761904761904762*$A$2</f>
        <v>76.190476190476204</v>
      </c>
      <c r="I6" s="27"/>
      <c r="J6" s="27">
        <f>0.756613756613757*$A$2</f>
        <v>75.6613756613757</v>
      </c>
      <c r="K6" s="27"/>
      <c r="M6" s="22"/>
      <c r="N6" s="6">
        <v>77.430000000000007</v>
      </c>
      <c r="O6" s="6" t="s">
        <v>3</v>
      </c>
      <c r="P6" s="23"/>
      <c r="Q6" s="6">
        <v>77.323972323972313</v>
      </c>
      <c r="R6" s="7" t="s">
        <v>28</v>
      </c>
    </row>
    <row r="7" spans="1:18" x14ac:dyDescent="0.35">
      <c r="A7" s="31"/>
      <c r="B7" s="33">
        <f>0.775132275132275*A2</f>
        <v>77.513227513227505</v>
      </c>
      <c r="C7" s="33"/>
      <c r="D7" s="27">
        <f>0.76984126984127*$A$2</f>
        <v>76.984126984127002</v>
      </c>
      <c r="E7" s="27"/>
      <c r="F7" s="27">
        <f>0.76984126984127*$A$2</f>
        <v>76.984126984127002</v>
      </c>
      <c r="G7" s="27"/>
      <c r="H7" s="27">
        <f>0.772486772486772*$A$2</f>
        <v>77.248677248677197</v>
      </c>
      <c r="I7" s="27"/>
      <c r="J7" s="27">
        <f>0.748677248677249*$A$2</f>
        <v>74.867724867724903</v>
      </c>
      <c r="K7" s="27"/>
      <c r="M7" s="22"/>
      <c r="N7" s="6">
        <v>76.742000000000004</v>
      </c>
      <c r="O7" s="6" t="s">
        <v>5</v>
      </c>
      <c r="P7" s="23"/>
      <c r="Q7" s="6">
        <v>77.2182223906362</v>
      </c>
      <c r="R7" s="7" t="s">
        <v>29</v>
      </c>
    </row>
    <row r="8" spans="1:18" x14ac:dyDescent="0.35">
      <c r="A8" s="31"/>
      <c r="B8" s="33">
        <f>0.787798408488064*A2</f>
        <v>78.779840848806401</v>
      </c>
      <c r="C8" s="33"/>
      <c r="D8" s="27">
        <f>0.782493368700265*$A$2</f>
        <v>78.249336870026497</v>
      </c>
      <c r="E8" s="27"/>
      <c r="F8" s="27">
        <f>0.774535809018568*$A$2</f>
        <v>77.453580901856796</v>
      </c>
      <c r="G8" s="27"/>
      <c r="H8" s="27">
        <f>0.80106100795756*$A$2</f>
        <v>80.106100795755992</v>
      </c>
      <c r="I8" s="27"/>
      <c r="J8" s="27">
        <f>0.790450928381963*$A$2</f>
        <v>79.045092838196297</v>
      </c>
      <c r="K8" s="27"/>
      <c r="M8" s="8"/>
      <c r="N8" s="9"/>
      <c r="O8" s="9"/>
      <c r="P8" s="9"/>
      <c r="Q8" s="9"/>
      <c r="R8" s="10"/>
    </row>
    <row r="9" spans="1:18" x14ac:dyDescent="0.35">
      <c r="A9" s="31"/>
      <c r="B9" s="33">
        <f>0.787798408488064*A2</f>
        <v>78.779840848806401</v>
      </c>
      <c r="C9" s="33"/>
      <c r="D9" s="27">
        <f>0.774535809018568*$A$2</f>
        <v>77.453580901856796</v>
      </c>
      <c r="E9" s="27"/>
      <c r="F9" s="27">
        <f>0.782493368700265*$A$2</f>
        <v>78.249336870026497</v>
      </c>
      <c r="G9" s="27"/>
      <c r="H9" s="27">
        <f>0.782493368700265*$A$2</f>
        <v>78.249336870026497</v>
      </c>
      <c r="I9" s="27"/>
      <c r="J9" s="27">
        <f>0.774535809018568*$A$2</f>
        <v>77.453580901856796</v>
      </c>
      <c r="K9" s="27"/>
      <c r="M9" s="22" t="s">
        <v>11</v>
      </c>
      <c r="N9" s="6">
        <v>75.947889913407167</v>
      </c>
      <c r="O9" s="6" t="s">
        <v>4</v>
      </c>
      <c r="P9" s="23" t="s">
        <v>12</v>
      </c>
      <c r="Q9" s="6">
        <v>77.643116781047823</v>
      </c>
      <c r="R9" s="7" t="s">
        <v>4</v>
      </c>
    </row>
    <row r="10" spans="1:18" x14ac:dyDescent="0.35">
      <c r="A10" s="31"/>
      <c r="B10" s="33">
        <f>0.803713527851459*A2</f>
        <v>80.371352785145902</v>
      </c>
      <c r="C10" s="33"/>
      <c r="D10" s="27">
        <f>0.806366047745358*$A$2</f>
        <v>80.636604774535797</v>
      </c>
      <c r="E10" s="27"/>
      <c r="F10" s="27">
        <f>0.803713527851459*$A$2</f>
        <v>80.371352785145902</v>
      </c>
      <c r="G10" s="27"/>
      <c r="H10" s="27">
        <f>0.798408488063661*$A$2</f>
        <v>79.840848806366111</v>
      </c>
      <c r="I10" s="27"/>
      <c r="J10" s="27">
        <f>0.779840848806366*$A$2</f>
        <v>77.984084880636601</v>
      </c>
      <c r="K10" s="27"/>
      <c r="M10" s="22"/>
      <c r="N10" s="6">
        <v>75.47050650498926</v>
      </c>
      <c r="O10" s="6" t="s">
        <v>5</v>
      </c>
      <c r="P10" s="23"/>
      <c r="Q10" s="6">
        <v>77.510631131320778</v>
      </c>
      <c r="R10" s="7" t="s">
        <v>28</v>
      </c>
    </row>
    <row r="11" spans="1:18" x14ac:dyDescent="0.35">
      <c r="A11" s="31"/>
      <c r="B11" s="33">
        <f>0.774535809018568*A2</f>
        <v>77.453580901856796</v>
      </c>
      <c r="C11" s="33"/>
      <c r="D11" s="27">
        <f>0.777188328912467*$A$2</f>
        <v>77.718832891246706</v>
      </c>
      <c r="E11" s="27"/>
      <c r="F11" s="27">
        <f>0.771883289124668*$A$2</f>
        <v>77.188328912466801</v>
      </c>
      <c r="G11" s="27"/>
      <c r="H11" s="27">
        <f>0.763925729442971*$A$2</f>
        <v>76.3925729442971</v>
      </c>
      <c r="I11" s="27"/>
      <c r="J11" s="27">
        <f>0.758620689655172*$A$2</f>
        <v>75.86206896551721</v>
      </c>
      <c r="K11" s="27"/>
      <c r="M11" s="22"/>
      <c r="N11" s="6">
        <v>75.285531837256002</v>
      </c>
      <c r="O11" s="6" t="s">
        <v>28</v>
      </c>
      <c r="P11" s="23"/>
      <c r="Q11" s="6">
        <v>77.431266051955703</v>
      </c>
      <c r="R11" s="7" t="s">
        <v>29</v>
      </c>
    </row>
    <row r="12" spans="1:18" x14ac:dyDescent="0.35">
      <c r="A12" s="31"/>
      <c r="B12" s="33">
        <f>0.745358090185676*A2</f>
        <v>74.535809018567605</v>
      </c>
      <c r="C12" s="33"/>
      <c r="D12" s="27">
        <f>0.758620689655172*A2</f>
        <v>75.86206896551721</v>
      </c>
      <c r="E12" s="27"/>
      <c r="F12" s="27">
        <f>0.726790450928382*$A$2</f>
        <v>72.679045092838209</v>
      </c>
      <c r="G12" s="27"/>
      <c r="H12" s="27">
        <f>0.742705570291777*$A$2</f>
        <v>74.270557029177695</v>
      </c>
      <c r="I12" s="27"/>
      <c r="J12" s="27">
        <f>0.755968169761273*$A$2</f>
        <v>75.5968169761273</v>
      </c>
      <c r="K12" s="27"/>
      <c r="M12" s="22"/>
      <c r="N12" s="6">
        <v>75.046945391772979</v>
      </c>
      <c r="O12" s="6" t="s">
        <v>2</v>
      </c>
      <c r="P12" s="23"/>
      <c r="Q12" s="6">
        <v>77.431266051955703</v>
      </c>
      <c r="R12" s="7" t="s">
        <v>2</v>
      </c>
    </row>
    <row r="13" spans="1:18" ht="15" thickBot="1" x14ac:dyDescent="0.4">
      <c r="A13" s="4" t="s">
        <v>8</v>
      </c>
      <c r="B13" s="28">
        <f>AVERAGE(B3:C12)</f>
        <v>77.986751435027301</v>
      </c>
      <c r="C13" s="28"/>
      <c r="D13" s="28">
        <f>AVERAGE(D3:E12)</f>
        <v>77.986751435027301</v>
      </c>
      <c r="E13" s="28"/>
      <c r="F13" s="28">
        <f>AVERAGE(F3:G12)</f>
        <v>77.430143292212264</v>
      </c>
      <c r="G13" s="28"/>
      <c r="H13" s="29">
        <f>AVERAGE(H3:I12)</f>
        <v>78.039380798001488</v>
      </c>
      <c r="I13" s="29"/>
      <c r="J13" s="28">
        <f>AVERAGE(J3:K12)</f>
        <v>76.742312604381581</v>
      </c>
      <c r="K13" s="30"/>
      <c r="M13" s="24"/>
      <c r="N13" s="19">
        <v>74.914670259497854</v>
      </c>
      <c r="O13" s="19" t="s">
        <v>29</v>
      </c>
      <c r="P13" s="25"/>
      <c r="Q13" s="11">
        <v>77.378285826561708</v>
      </c>
      <c r="R13" s="12" t="s">
        <v>5</v>
      </c>
    </row>
    <row r="14" spans="1:18" x14ac:dyDescent="0.35">
      <c r="A14" s="2">
        <v>100</v>
      </c>
      <c r="B14" s="26" t="s">
        <v>1</v>
      </c>
      <c r="C14" s="26"/>
      <c r="D14" s="26" t="s">
        <v>2</v>
      </c>
      <c r="E14" s="26"/>
      <c r="F14" s="26" t="s">
        <v>3</v>
      </c>
      <c r="G14" s="26"/>
      <c r="H14" s="26" t="s">
        <v>4</v>
      </c>
      <c r="I14" s="26"/>
      <c r="J14" s="26" t="s">
        <v>5</v>
      </c>
      <c r="K14" s="26"/>
    </row>
    <row r="15" spans="1:18" x14ac:dyDescent="0.35">
      <c r="A15" s="2">
        <v>100</v>
      </c>
      <c r="B15" s="5" t="s">
        <v>16</v>
      </c>
      <c r="C15" s="5" t="s">
        <v>7</v>
      </c>
      <c r="D15" s="5" t="s">
        <v>17</v>
      </c>
      <c r="E15" s="5" t="s">
        <v>18</v>
      </c>
      <c r="F15" s="5" t="s">
        <v>19</v>
      </c>
      <c r="G15" s="5" t="s">
        <v>18</v>
      </c>
      <c r="H15" s="5" t="s">
        <v>19</v>
      </c>
      <c r="I15" s="5" t="s">
        <v>7</v>
      </c>
      <c r="J15" s="5" t="s">
        <v>19</v>
      </c>
      <c r="K15" s="5" t="s">
        <v>18</v>
      </c>
    </row>
    <row r="16" spans="1:18" x14ac:dyDescent="0.35">
      <c r="A16" s="31" t="s">
        <v>9</v>
      </c>
      <c r="B16" s="27">
        <f>0.777777777777778*$A$2</f>
        <v>77.7777777777778</v>
      </c>
      <c r="C16" s="27"/>
      <c r="D16" s="27">
        <f>0.791005291005291*$A$2</f>
        <v>79.100529100529101</v>
      </c>
      <c r="E16" s="27"/>
      <c r="F16" s="27">
        <f>0.764550264550265*$A$2</f>
        <v>76.455026455026498</v>
      </c>
      <c r="G16" s="27"/>
      <c r="H16" s="27">
        <f>0.777777777777778*$A$2</f>
        <v>77.7777777777778</v>
      </c>
      <c r="I16" s="27"/>
      <c r="J16" s="27">
        <f>0.788359788359788*$A$2</f>
        <v>78.835978835978807</v>
      </c>
      <c r="K16" s="27"/>
    </row>
    <row r="17" spans="1:11" x14ac:dyDescent="0.35">
      <c r="A17" s="31"/>
      <c r="B17" s="27">
        <f>0.80952380952381*$A$2</f>
        <v>80.952380952380992</v>
      </c>
      <c r="C17" s="27"/>
      <c r="D17" s="27">
        <f>0.825396825396825*$A$2</f>
        <v>82.539682539682502</v>
      </c>
      <c r="E17" s="27"/>
      <c r="F17" s="27">
        <f>0.80952380952381*$A$2</f>
        <v>80.952380952380992</v>
      </c>
      <c r="G17" s="27"/>
      <c r="H17" s="27">
        <f>0.82010582010582*$A$2</f>
        <v>82.010582010581999</v>
      </c>
      <c r="I17" s="27"/>
      <c r="J17" s="27">
        <f>0.825396825396825*$A$2</f>
        <v>82.539682539682502</v>
      </c>
      <c r="K17" s="27"/>
    </row>
    <row r="18" spans="1:11" x14ac:dyDescent="0.35">
      <c r="A18" s="31"/>
      <c r="B18" s="27">
        <f>0.743386243386243*$A$2</f>
        <v>74.3386243386243</v>
      </c>
      <c r="C18" s="27"/>
      <c r="D18" s="27">
        <f>0.732804232804233*$A$2</f>
        <v>73.280423280423307</v>
      </c>
      <c r="E18" s="27"/>
      <c r="F18" s="27">
        <f>0.756613756613757*$A$2</f>
        <v>75.6613756613757</v>
      </c>
      <c r="G18" s="27"/>
      <c r="H18" s="27">
        <f>0.753968253968254*$A$2</f>
        <v>75.396825396825392</v>
      </c>
      <c r="I18" s="27"/>
      <c r="J18" s="27">
        <f>0.753968253968254*$A$2</f>
        <v>75.396825396825392</v>
      </c>
      <c r="K18" s="27"/>
    </row>
    <row r="19" spans="1:11" x14ac:dyDescent="0.35">
      <c r="A19" s="31"/>
      <c r="B19" s="27">
        <f>0.791005291005291*$A$2</f>
        <v>79.100529100529101</v>
      </c>
      <c r="C19" s="27"/>
      <c r="D19" s="27">
        <f>0.780423280423281*$A$2</f>
        <v>78.042328042328108</v>
      </c>
      <c r="E19" s="27"/>
      <c r="F19" s="27">
        <f>0.772486772486772*$A$2</f>
        <v>77.248677248677197</v>
      </c>
      <c r="G19" s="27"/>
      <c r="H19" s="27">
        <f>0.791005291005291*$A$2</f>
        <v>79.100529100529101</v>
      </c>
      <c r="I19" s="27"/>
      <c r="J19" s="27">
        <f>0.777777777777778*$A$2</f>
        <v>77.7777777777778</v>
      </c>
      <c r="K19" s="27"/>
    </row>
    <row r="20" spans="1:11" x14ac:dyDescent="0.35">
      <c r="A20" s="31"/>
      <c r="B20" s="27">
        <f>0.764550264550265*$A$2</f>
        <v>76.455026455026498</v>
      </c>
      <c r="C20" s="27"/>
      <c r="D20" s="27">
        <f>0.756613756613757*$A$2</f>
        <v>75.6613756613757</v>
      </c>
      <c r="E20" s="27"/>
      <c r="F20" s="27">
        <f>0.76984126984127*$A$2</f>
        <v>76.984126984127002</v>
      </c>
      <c r="G20" s="27"/>
      <c r="H20" s="27">
        <f>0.753968253968254*$A$2</f>
        <v>75.396825396825392</v>
      </c>
      <c r="I20" s="27"/>
      <c r="J20" s="27">
        <f>0.761904761904762*$A$2</f>
        <v>76.190476190476204</v>
      </c>
      <c r="K20" s="27"/>
    </row>
    <row r="21" spans="1:11" x14ac:dyDescent="0.35">
      <c r="A21" s="31"/>
      <c r="B21" s="27">
        <f>0.758620689655172*$A$2</f>
        <v>75.86206896551721</v>
      </c>
      <c r="C21" s="27"/>
      <c r="D21" s="27">
        <f>0.755968169761273*$A$2</f>
        <v>75.5968169761273</v>
      </c>
      <c r="E21" s="27"/>
      <c r="F21" s="27">
        <f>0.750663129973475*$A$2</f>
        <v>75.066312997347495</v>
      </c>
      <c r="G21" s="27"/>
      <c r="H21" s="27">
        <f>0.750663129973475*$A$2</f>
        <v>75.066312997347495</v>
      </c>
      <c r="I21" s="27"/>
      <c r="J21" s="27">
        <f>0.771883289124668*$A$2</f>
        <v>77.188328912466801</v>
      </c>
      <c r="K21" s="27"/>
    </row>
    <row r="22" spans="1:11" x14ac:dyDescent="0.35">
      <c r="A22" s="31"/>
      <c r="B22" s="27">
        <f>0.787798408488064*$A$2</f>
        <v>78.779840848806401</v>
      </c>
      <c r="C22" s="27"/>
      <c r="D22" s="27">
        <f>0.793103448275862*$A$2</f>
        <v>79.310344827586192</v>
      </c>
      <c r="E22" s="27"/>
      <c r="F22" s="27">
        <f>0.793103448275862*$A$2</f>
        <v>79.310344827586192</v>
      </c>
      <c r="G22" s="27"/>
      <c r="H22" s="27">
        <f>0.782493368700265*$A$2</f>
        <v>78.249336870026497</v>
      </c>
      <c r="I22" s="27"/>
      <c r="J22" s="27">
        <f>0.777188328912467*$A$2</f>
        <v>77.718832891246706</v>
      </c>
      <c r="K22" s="27"/>
    </row>
    <row r="23" spans="1:11" x14ac:dyDescent="0.35">
      <c r="A23" s="31"/>
      <c r="B23" s="27">
        <f>0.742705570291777*$A$2</f>
        <v>74.270557029177695</v>
      </c>
      <c r="C23" s="27"/>
      <c r="D23" s="27">
        <f>0.740053050397878*$A$2</f>
        <v>74.0053050397878</v>
      </c>
      <c r="E23" s="27"/>
      <c r="F23" s="27">
        <f>0.73474801061008*$A$2</f>
        <v>73.474801061007994</v>
      </c>
      <c r="G23" s="27"/>
      <c r="H23" s="27">
        <f>0.755968169761273*$A$2</f>
        <v>75.5968169761273</v>
      </c>
      <c r="I23" s="27"/>
      <c r="J23" s="27">
        <f>0.745358090185676*$A$2</f>
        <v>74.535809018567605</v>
      </c>
      <c r="K23" s="27"/>
    </row>
    <row r="24" spans="1:11" x14ac:dyDescent="0.35">
      <c r="A24" s="31"/>
      <c r="B24" s="27">
        <f>0.793103448275862*$A$2</f>
        <v>79.310344827586192</v>
      </c>
      <c r="C24" s="27"/>
      <c r="D24" s="27">
        <f>0.798408488063661*$A$2</f>
        <v>79.840848806366111</v>
      </c>
      <c r="E24" s="27"/>
      <c r="F24" s="27">
        <f>0.793103448275862*$A$2</f>
        <v>79.310344827586192</v>
      </c>
      <c r="G24" s="27"/>
      <c r="H24" s="27">
        <f>0.798408488063661*$A$2</f>
        <v>79.840848806366111</v>
      </c>
      <c r="I24" s="27"/>
      <c r="J24" s="27">
        <f>0.793103448275862*$A$2</f>
        <v>79.310344827586192</v>
      </c>
      <c r="K24" s="27"/>
    </row>
    <row r="25" spans="1:11" x14ac:dyDescent="0.35">
      <c r="A25" s="31"/>
      <c r="B25" s="27">
        <f>0.763925729442971*$A$2</f>
        <v>76.3925729442971</v>
      </c>
      <c r="C25" s="27"/>
      <c r="D25" s="27">
        <f>0.771883289124668*$A$2</f>
        <v>77.188328912466801</v>
      </c>
      <c r="E25" s="27"/>
      <c r="F25" s="27">
        <f>0.777188328912467*$A$2</f>
        <v>77.718832891246706</v>
      </c>
      <c r="G25" s="27"/>
      <c r="H25" s="27">
        <f>0.771883289124668*$A$2</f>
        <v>77.188328912466801</v>
      </c>
      <c r="I25" s="27"/>
      <c r="J25" s="27">
        <f>0.76657824933687*$A$2</f>
        <v>76.657824933686996</v>
      </c>
      <c r="K25" s="27"/>
    </row>
    <row r="26" spans="1:11" x14ac:dyDescent="0.35">
      <c r="A26" s="4" t="s">
        <v>8</v>
      </c>
      <c r="B26" s="28">
        <f>AVERAGE(B16:C25)</f>
        <v>77.323972323972313</v>
      </c>
      <c r="C26" s="28"/>
      <c r="D26" s="28">
        <f>AVERAGE(D16:E25)</f>
        <v>77.45659831866729</v>
      </c>
      <c r="E26" s="28"/>
      <c r="F26" s="28">
        <f>AVERAGE(F16:G25)</f>
        <v>77.2182223906362</v>
      </c>
      <c r="G26" s="28"/>
      <c r="H26" s="28">
        <f>AVERAGE(H16:I25)</f>
        <v>77.56241842448739</v>
      </c>
      <c r="I26" s="28"/>
      <c r="J26" s="29">
        <f>AVERAGE(J16:K25)</f>
        <v>77.615188132429509</v>
      </c>
      <c r="K26" s="32"/>
    </row>
    <row r="27" spans="1:11" x14ac:dyDescent="0.35">
      <c r="A27" s="2">
        <v>100</v>
      </c>
      <c r="B27" s="26" t="s">
        <v>1</v>
      </c>
      <c r="C27" s="26"/>
      <c r="D27" s="26" t="s">
        <v>2</v>
      </c>
      <c r="E27" s="26"/>
      <c r="F27" s="26" t="s">
        <v>3</v>
      </c>
      <c r="G27" s="26"/>
      <c r="H27" s="26" t="s">
        <v>4</v>
      </c>
      <c r="I27" s="26"/>
      <c r="J27" s="26" t="s">
        <v>5</v>
      </c>
      <c r="K27" s="26"/>
    </row>
    <row r="28" spans="1:11" x14ac:dyDescent="0.35">
      <c r="A28" s="2">
        <v>100</v>
      </c>
      <c r="B28" s="5" t="s">
        <v>20</v>
      </c>
      <c r="C28" s="5" t="s">
        <v>21</v>
      </c>
      <c r="D28" s="5" t="s">
        <v>20</v>
      </c>
      <c r="E28" s="5" t="s">
        <v>21</v>
      </c>
      <c r="F28" s="5" t="s">
        <v>22</v>
      </c>
      <c r="G28" s="5" t="s">
        <v>21</v>
      </c>
      <c r="H28" s="5" t="s">
        <v>23</v>
      </c>
      <c r="I28" s="5" t="s">
        <v>21</v>
      </c>
      <c r="J28" s="5" t="s">
        <v>15</v>
      </c>
      <c r="K28" s="5" t="s">
        <v>21</v>
      </c>
    </row>
    <row r="29" spans="1:11" x14ac:dyDescent="0.35">
      <c r="A29" s="31" t="s">
        <v>11</v>
      </c>
      <c r="B29" s="27">
        <f>0.732804232804233*$A$2</f>
        <v>73.280423280423307</v>
      </c>
      <c r="C29" s="27"/>
      <c r="D29" s="27">
        <f>0.73015873015873*$A$2</f>
        <v>73.015873015872998</v>
      </c>
      <c r="E29" s="27"/>
      <c r="F29" s="27">
        <f>0.73015873015873*$A$2</f>
        <v>73.015873015872998</v>
      </c>
      <c r="G29" s="27"/>
      <c r="H29" s="27">
        <f>0.738095238095238*$A$2</f>
        <v>73.809523809523796</v>
      </c>
      <c r="I29" s="27"/>
      <c r="J29" s="27">
        <f>0.738095238095238*$A$2</f>
        <v>73.809523809523796</v>
      </c>
      <c r="K29" s="27"/>
    </row>
    <row r="30" spans="1:11" x14ac:dyDescent="0.35">
      <c r="A30" s="31"/>
      <c r="B30" s="27">
        <f>0.751322751322751*$A$2</f>
        <v>75.132275132275097</v>
      </c>
      <c r="C30" s="27"/>
      <c r="D30" s="27">
        <f>0.748677248677249*$A$2</f>
        <v>74.867724867724903</v>
      </c>
      <c r="E30" s="27"/>
      <c r="F30" s="27">
        <f>0.756613756613757*$A$2</f>
        <v>75.6613756613757</v>
      </c>
      <c r="G30" s="27"/>
      <c r="H30" s="27">
        <f>0.761904761904762*$A$2</f>
        <v>76.190476190476204</v>
      </c>
      <c r="I30" s="27"/>
      <c r="J30" s="27">
        <f>0.756613756613757*$A$2</f>
        <v>75.6613756613757</v>
      </c>
      <c r="K30" s="27"/>
    </row>
    <row r="31" spans="1:11" x14ac:dyDescent="0.35">
      <c r="A31" s="31"/>
      <c r="B31" s="27">
        <f>0.777777777777778*$A$2</f>
        <v>77.7777777777778</v>
      </c>
      <c r="C31" s="27"/>
      <c r="D31" s="27">
        <f>0.772486772486772*$A$2</f>
        <v>77.248677248677197</v>
      </c>
      <c r="E31" s="27"/>
      <c r="F31" s="27">
        <f>0.76984126984127*$A$2</f>
        <v>76.984126984127002</v>
      </c>
      <c r="G31" s="27"/>
      <c r="H31" s="27">
        <f>0.775132275132275*$A$2</f>
        <v>77.513227513227505</v>
      </c>
      <c r="I31" s="27"/>
      <c r="J31" s="27">
        <f>0.783068783068783*$A$2</f>
        <v>78.306878306878303</v>
      </c>
      <c r="K31" s="27"/>
    </row>
    <row r="32" spans="1:11" x14ac:dyDescent="0.35">
      <c r="A32" s="31"/>
      <c r="B32" s="27">
        <f>0.724867724867725*$A$2</f>
        <v>72.486772486772495</v>
      </c>
      <c r="C32" s="27"/>
      <c r="D32" s="27">
        <f>0.727513227513228*$A$2</f>
        <v>72.751322751322803</v>
      </c>
      <c r="E32" s="27"/>
      <c r="F32" s="27">
        <f>0.706349206349206*$A$2</f>
        <v>70.63492063492059</v>
      </c>
      <c r="G32" s="27"/>
      <c r="H32" s="27">
        <f>0.740740740740741*$A$2</f>
        <v>74.074074074074105</v>
      </c>
      <c r="I32" s="27"/>
      <c r="J32" s="27">
        <f>0.73015873015873*$A$2</f>
        <v>73.015873015872998</v>
      </c>
      <c r="K32" s="27"/>
    </row>
    <row r="33" spans="1:11" x14ac:dyDescent="0.35">
      <c r="A33" s="31"/>
      <c r="B33" s="27">
        <f>0.748677248677249*$A$2</f>
        <v>74.867724867724903</v>
      </c>
      <c r="C33" s="27"/>
      <c r="D33" s="27">
        <f>0.751322751322751*$A$2</f>
        <v>75.132275132275097</v>
      </c>
      <c r="E33" s="27"/>
      <c r="F33" s="27">
        <f>0.753968253968254*$A$2</f>
        <v>75.396825396825392</v>
      </c>
      <c r="G33" s="27"/>
      <c r="H33" s="27">
        <f>0.748677248677249*$A$2</f>
        <v>74.867724867724903</v>
      </c>
      <c r="I33" s="27"/>
      <c r="J33" s="27">
        <f>0.753968253968254*$A$2</f>
        <v>75.396825396825392</v>
      </c>
      <c r="K33" s="27"/>
    </row>
    <row r="34" spans="1:11" x14ac:dyDescent="0.35">
      <c r="A34" s="31"/>
      <c r="B34" s="27">
        <f>0.793103448275862*$A$2</f>
        <v>79.310344827586192</v>
      </c>
      <c r="C34" s="27"/>
      <c r="D34" s="27">
        <f>0.782493368700265*$A$2</f>
        <v>78.249336870026497</v>
      </c>
      <c r="E34" s="27"/>
      <c r="F34" s="27">
        <f>0.795755968169761*$A$2</f>
        <v>79.575596816976102</v>
      </c>
      <c r="G34" s="27"/>
      <c r="H34" s="27">
        <f>0.785145888594165*$A$2</f>
        <v>78.514588859416506</v>
      </c>
      <c r="I34" s="27"/>
      <c r="J34" s="27">
        <f>0.793103448275862*$A$2</f>
        <v>79.310344827586192</v>
      </c>
      <c r="K34" s="27"/>
    </row>
    <row r="35" spans="1:11" x14ac:dyDescent="0.35">
      <c r="A35" s="31"/>
      <c r="B35" s="27">
        <f>0.785145888594165*$A$2</f>
        <v>78.514588859416506</v>
      </c>
      <c r="C35" s="27"/>
      <c r="D35" s="27">
        <f>0.785145888594165*$A$2</f>
        <v>78.514588859416506</v>
      </c>
      <c r="E35" s="27"/>
      <c r="F35" s="27">
        <f>0.779840848806366*$A$2</f>
        <v>77.984084880636601</v>
      </c>
      <c r="G35" s="27"/>
      <c r="H35" s="27">
        <f>0.798408488063661*$A$2</f>
        <v>79.840848806366111</v>
      </c>
      <c r="I35" s="27"/>
      <c r="J35" s="27">
        <f>0.793103448275862*$A$2</f>
        <v>79.310344827586192</v>
      </c>
      <c r="K35" s="27"/>
    </row>
    <row r="36" spans="1:11" x14ac:dyDescent="0.35">
      <c r="A36" s="31"/>
      <c r="B36" s="27">
        <f>0.761273209549072*$A$2</f>
        <v>76.127320954907191</v>
      </c>
      <c r="C36" s="27"/>
      <c r="D36" s="27">
        <f>0.761273209549072*$A$2</f>
        <v>76.127320954907191</v>
      </c>
      <c r="E36" s="27"/>
      <c r="F36" s="27">
        <f>0.753315649867374*$A$2</f>
        <v>75.331564986737405</v>
      </c>
      <c r="G36" s="27"/>
      <c r="H36" s="27">
        <f>0.763925729442971*$A$2</f>
        <v>76.3925729442971</v>
      </c>
      <c r="I36" s="27"/>
      <c r="J36" s="27">
        <f>0.748010610079576*$A$2</f>
        <v>74.8010610079576</v>
      </c>
      <c r="K36" s="27"/>
    </row>
    <row r="37" spans="1:11" x14ac:dyDescent="0.35">
      <c r="A37" s="31"/>
      <c r="B37" s="27">
        <f>0.710875331564987*$A$2</f>
        <v>71.087533156498694</v>
      </c>
      <c r="C37" s="27"/>
      <c r="D37" s="27">
        <f>0.705570291777188*$A$2</f>
        <v>70.557029177718803</v>
      </c>
      <c r="E37" s="27"/>
      <c r="F37" s="27">
        <f>0.708222811671088*$A$2</f>
        <v>70.822281167108798</v>
      </c>
      <c r="G37" s="27"/>
      <c r="H37" s="27">
        <f>0.724137931034483*$A$2</f>
        <v>72.413793103448299</v>
      </c>
      <c r="I37" s="27"/>
      <c r="J37" s="27">
        <f>0.710875331564987*$A$2</f>
        <v>71.087533156498694</v>
      </c>
      <c r="K37" s="27"/>
    </row>
    <row r="38" spans="1:11" x14ac:dyDescent="0.35">
      <c r="A38" s="31"/>
      <c r="B38" s="27">
        <f>0.742705570291777*$A$2</f>
        <v>74.270557029177695</v>
      </c>
      <c r="C38" s="27"/>
      <c r="D38" s="27">
        <f>0.740053050397878*$A$2</f>
        <v>74.0053050397878</v>
      </c>
      <c r="E38" s="27"/>
      <c r="F38" s="27">
        <f>0.737400530503979*$A$2</f>
        <v>73.740053050397904</v>
      </c>
      <c r="G38" s="27"/>
      <c r="H38" s="27">
        <f>0.758620689655172*$A$2</f>
        <v>75.86206896551721</v>
      </c>
      <c r="I38" s="27"/>
      <c r="J38" s="27">
        <f>0.740053050397878*$A$2</f>
        <v>74.0053050397878</v>
      </c>
      <c r="K38" s="27"/>
    </row>
    <row r="39" spans="1:11" x14ac:dyDescent="0.35">
      <c r="A39" s="4" t="s">
        <v>8</v>
      </c>
      <c r="B39" s="28">
        <f>AVERAGE(B29:C38)</f>
        <v>75.285531837256002</v>
      </c>
      <c r="C39" s="28"/>
      <c r="D39" s="28">
        <f>AVERAGE(D29:E38)</f>
        <v>75.046945391772979</v>
      </c>
      <c r="E39" s="28"/>
      <c r="F39" s="28">
        <f>AVERAGE(F29:G38)</f>
        <v>74.914670259497854</v>
      </c>
      <c r="G39" s="28"/>
      <c r="H39" s="29">
        <f>AVERAGE(H29:I38)</f>
        <v>75.947889913407167</v>
      </c>
      <c r="I39" s="29"/>
      <c r="J39" s="28">
        <f>AVERAGE(J29:K38)</f>
        <v>75.47050650498926</v>
      </c>
      <c r="K39" s="30"/>
    </row>
    <row r="40" spans="1:11" x14ac:dyDescent="0.35">
      <c r="A40" s="2">
        <v>100</v>
      </c>
      <c r="B40" s="26" t="s">
        <v>1</v>
      </c>
      <c r="C40" s="26"/>
      <c r="D40" s="26" t="s">
        <v>2</v>
      </c>
      <c r="E40" s="26"/>
      <c r="F40" s="26" t="s">
        <v>3</v>
      </c>
      <c r="G40" s="26"/>
      <c r="H40" s="26" t="s">
        <v>4</v>
      </c>
      <c r="I40" s="26"/>
      <c r="J40" s="26" t="s">
        <v>5</v>
      </c>
      <c r="K40" s="26"/>
    </row>
    <row r="41" spans="1:11" x14ac:dyDescent="0.35">
      <c r="A41" s="2">
        <v>100</v>
      </c>
      <c r="B41" s="5" t="s">
        <v>20</v>
      </c>
      <c r="C41" s="5" t="s">
        <v>24</v>
      </c>
      <c r="D41" s="5" t="s">
        <v>20</v>
      </c>
      <c r="E41" s="5" t="s">
        <v>24</v>
      </c>
      <c r="F41" s="5" t="s">
        <v>20</v>
      </c>
      <c r="G41" s="5" t="s">
        <v>24</v>
      </c>
      <c r="H41" s="5" t="s">
        <v>20</v>
      </c>
      <c r="I41" s="5" t="s">
        <v>24</v>
      </c>
      <c r="J41" s="5" t="s">
        <v>20</v>
      </c>
      <c r="K41" s="5" t="s">
        <v>24</v>
      </c>
    </row>
    <row r="42" spans="1:11" x14ac:dyDescent="0.35">
      <c r="A42" s="31" t="s">
        <v>12</v>
      </c>
      <c r="B42" s="27">
        <f>0.80952380952381*$A$2</f>
        <v>80.952380952380992</v>
      </c>
      <c r="C42" s="27"/>
      <c r="D42" s="27">
        <f>0.80952380952381*$A$2</f>
        <v>80.952380952380992</v>
      </c>
      <c r="E42" s="27"/>
      <c r="F42" s="27">
        <f>0.812169312169312*$A$2</f>
        <v>81.216931216931201</v>
      </c>
      <c r="G42" s="27"/>
      <c r="H42" s="27">
        <f>0.817460317460317*$A$2</f>
        <v>81.746031746031704</v>
      </c>
      <c r="I42" s="27"/>
      <c r="J42" s="27">
        <f>0.80952380952381*$A$2</f>
        <v>80.952380952380992</v>
      </c>
      <c r="K42" s="27"/>
    </row>
    <row r="43" spans="1:11" x14ac:dyDescent="0.35">
      <c r="A43" s="31"/>
      <c r="B43" s="27">
        <f>0.727513227513228*$A$2</f>
        <v>72.751322751322803</v>
      </c>
      <c r="C43" s="27"/>
      <c r="D43" s="27">
        <f>0.732804232804233*$A$2</f>
        <v>73.280423280423307</v>
      </c>
      <c r="E43" s="27"/>
      <c r="F43" s="27">
        <f>0.732804232804233*$A$2</f>
        <v>73.280423280423307</v>
      </c>
      <c r="G43" s="27"/>
      <c r="H43" s="27">
        <f>0.732804232804233*$A$2</f>
        <v>73.280423280423307</v>
      </c>
      <c r="I43" s="27"/>
      <c r="J43" s="27">
        <f>0.73015873015873*$A$2</f>
        <v>73.015873015872998</v>
      </c>
      <c r="K43" s="27"/>
    </row>
    <row r="44" spans="1:11" x14ac:dyDescent="0.35">
      <c r="A44" s="31"/>
      <c r="B44" s="27">
        <f>0.767195767195767*$A$2</f>
        <v>76.719576719576693</v>
      </c>
      <c r="C44" s="27"/>
      <c r="D44" s="27">
        <f>0.756613756613757*$A$2</f>
        <v>75.6613756613757</v>
      </c>
      <c r="E44" s="27"/>
      <c r="F44" s="27">
        <f>0.756613756613757*$A$2</f>
        <v>75.6613756613757</v>
      </c>
      <c r="G44" s="27"/>
      <c r="H44" s="27">
        <f>0.767195767195767*$A$2</f>
        <v>76.719576719576693</v>
      </c>
      <c r="I44" s="27"/>
      <c r="J44" s="27">
        <f>0.764550264550265*$A$2</f>
        <v>76.455026455026498</v>
      </c>
      <c r="K44" s="27"/>
    </row>
    <row r="45" spans="1:11" x14ac:dyDescent="0.35">
      <c r="A45" s="31"/>
      <c r="B45" s="27">
        <f>0.76984126984127*$A$2</f>
        <v>76.984126984127002</v>
      </c>
      <c r="C45" s="27"/>
      <c r="D45" s="27">
        <f>0.76984126984127*$A$2</f>
        <v>76.984126984127002</v>
      </c>
      <c r="E45" s="27"/>
      <c r="F45" s="27">
        <f>0.76984126984127*$A$2</f>
        <v>76.984126984127002</v>
      </c>
      <c r="G45" s="27"/>
      <c r="H45" s="27">
        <f>0.767195767195767*$A$2</f>
        <v>76.719576719576693</v>
      </c>
      <c r="I45" s="27"/>
      <c r="J45" s="27">
        <f>0.76984126984127*$A$2</f>
        <v>76.984126984127002</v>
      </c>
      <c r="K45" s="27"/>
    </row>
    <row r="46" spans="1:11" x14ac:dyDescent="0.35">
      <c r="A46" s="31"/>
      <c r="B46" s="27">
        <f>0.775132275132275*$A$2</f>
        <v>77.513227513227505</v>
      </c>
      <c r="C46" s="27"/>
      <c r="D46" s="27">
        <f>0.772486772486772*$A$2</f>
        <v>77.248677248677197</v>
      </c>
      <c r="E46" s="27"/>
      <c r="F46" s="27">
        <f>0.775132275132275*$A$2</f>
        <v>77.513227513227505</v>
      </c>
      <c r="G46" s="27"/>
      <c r="H46" s="27">
        <f>0.76984126984127*$A$2</f>
        <v>76.984126984127002</v>
      </c>
      <c r="I46" s="27"/>
      <c r="J46" s="27">
        <f>0.764550264550265*$A$2</f>
        <v>76.455026455026498</v>
      </c>
      <c r="K46" s="27"/>
    </row>
    <row r="47" spans="1:11" x14ac:dyDescent="0.35">
      <c r="A47" s="31"/>
      <c r="B47" s="27">
        <f>0.790450928381963*$A$2</f>
        <v>79.045092838196297</v>
      </c>
      <c r="C47" s="27"/>
      <c r="D47" s="27">
        <f>0.782493368700265*$A$2</f>
        <v>78.249336870026497</v>
      </c>
      <c r="E47" s="27"/>
      <c r="F47" s="27">
        <f>0.785145888594165*$A$2</f>
        <v>78.514588859416506</v>
      </c>
      <c r="G47" s="27"/>
      <c r="H47" s="27">
        <f>0.785145888594165*$A$2</f>
        <v>78.514588859416506</v>
      </c>
      <c r="I47" s="27"/>
      <c r="J47" s="27">
        <f>0.785145888594165*$A$2</f>
        <v>78.514588859416506</v>
      </c>
      <c r="K47" s="27"/>
    </row>
    <row r="48" spans="1:11" x14ac:dyDescent="0.35">
      <c r="A48" s="31"/>
      <c r="B48" s="27">
        <f>0.761273209549072*$A$2</f>
        <v>76.127320954907191</v>
      </c>
      <c r="C48" s="27"/>
      <c r="D48" s="27">
        <f>0.758620689655172*$A$2</f>
        <v>75.86206896551721</v>
      </c>
      <c r="E48" s="27"/>
      <c r="F48" s="27">
        <f>0.758620689655172*$A$2</f>
        <v>75.86206896551721</v>
      </c>
      <c r="G48" s="27"/>
      <c r="H48" s="27">
        <f>0.761273209549072*$A$2</f>
        <v>76.127320954907191</v>
      </c>
      <c r="I48" s="27"/>
      <c r="J48" s="27">
        <f>0.761273209549072*$A$2</f>
        <v>76.127320954907191</v>
      </c>
      <c r="K48" s="27"/>
    </row>
    <row r="49" spans="1:11" x14ac:dyDescent="0.35">
      <c r="A49" s="31"/>
      <c r="B49" s="27">
        <f>0.795755968169761*$A$2</f>
        <v>79.575596816976102</v>
      </c>
      <c r="C49" s="27"/>
      <c r="D49" s="27">
        <f>0.793103448275862*$A$2</f>
        <v>79.310344827586192</v>
      </c>
      <c r="E49" s="27"/>
      <c r="F49" s="27">
        <f>0.795755968169761*$A$2</f>
        <v>79.575596816976102</v>
      </c>
      <c r="G49" s="27"/>
      <c r="H49" s="27">
        <f>0.795755968169761*$A$2</f>
        <v>79.575596816976102</v>
      </c>
      <c r="I49" s="27"/>
      <c r="J49" s="27">
        <f>0.790450928381963*$A$2</f>
        <v>79.045092838196297</v>
      </c>
      <c r="K49" s="27"/>
    </row>
    <row r="50" spans="1:11" x14ac:dyDescent="0.35">
      <c r="A50" s="31"/>
      <c r="B50" s="27">
        <f>0.73209549071618*$A$2</f>
        <v>73.209549071618</v>
      </c>
      <c r="C50" s="27"/>
      <c r="D50" s="27">
        <f>0.740053050397878*$A$2</f>
        <v>74.0053050397878</v>
      </c>
      <c r="E50" s="27"/>
      <c r="F50" s="27">
        <f>0.73474801061008*$A$2</f>
        <v>73.474801061007994</v>
      </c>
      <c r="G50" s="27"/>
      <c r="H50" s="27">
        <f>0.740053050397878*$A$2</f>
        <v>74.0053050397878</v>
      </c>
      <c r="I50" s="27"/>
      <c r="J50" s="27">
        <f>0.737400530503979*$A$2</f>
        <v>73.740053050397904</v>
      </c>
      <c r="K50" s="27"/>
    </row>
    <row r="51" spans="1:11" x14ac:dyDescent="0.35">
      <c r="A51" s="31"/>
      <c r="B51" s="27">
        <f>0.822281167108753*$A$2</f>
        <v>82.228116710875298</v>
      </c>
      <c r="C51" s="27"/>
      <c r="D51" s="27">
        <f>0.827586206896552*$A$2</f>
        <v>82.758620689655203</v>
      </c>
      <c r="E51" s="27"/>
      <c r="F51" s="27">
        <f>0.822281167108753*$A$2</f>
        <v>82.228116710875298</v>
      </c>
      <c r="G51" s="27"/>
      <c r="H51" s="27">
        <f>0.827586206896552*$A$2</f>
        <v>82.758620689655203</v>
      </c>
      <c r="I51" s="27"/>
      <c r="J51" s="27">
        <f>0.824933687002653*$A$2</f>
        <v>82.493368700265307</v>
      </c>
      <c r="K51" s="27"/>
    </row>
    <row r="52" spans="1:11" x14ac:dyDescent="0.35">
      <c r="A52" s="4" t="s">
        <v>8</v>
      </c>
      <c r="B52" s="28">
        <f>AVERAGE(B42:C51)</f>
        <v>77.510631131320778</v>
      </c>
      <c r="C52" s="28"/>
      <c r="D52" s="28">
        <f>AVERAGE(D42:E51)</f>
        <v>77.431266051955703</v>
      </c>
      <c r="E52" s="28"/>
      <c r="F52" s="28">
        <f>AVERAGE(F42:G51)</f>
        <v>77.431125706987785</v>
      </c>
      <c r="G52" s="28"/>
      <c r="H52" s="29">
        <f>AVERAGE(H42:I51)</f>
        <v>77.643116781047823</v>
      </c>
      <c r="I52" s="29"/>
      <c r="J52" s="28">
        <f>AVERAGE(J42:K51)</f>
        <v>77.378285826561708</v>
      </c>
      <c r="K52" s="30"/>
    </row>
  </sheetData>
  <mergeCells count="249">
    <mergeCell ref="D1:E1"/>
    <mergeCell ref="F1:G1"/>
    <mergeCell ref="H1:I1"/>
    <mergeCell ref="D11:E11"/>
    <mergeCell ref="D12:E12"/>
    <mergeCell ref="F3:G3"/>
    <mergeCell ref="F4:G4"/>
    <mergeCell ref="B6:C6"/>
    <mergeCell ref="B7:C7"/>
    <mergeCell ref="B8:C8"/>
    <mergeCell ref="B9:C9"/>
    <mergeCell ref="B10:C10"/>
    <mergeCell ref="B11:C11"/>
    <mergeCell ref="B1:C1"/>
    <mergeCell ref="B3:C3"/>
    <mergeCell ref="B4:C4"/>
    <mergeCell ref="B5:C5"/>
    <mergeCell ref="H9:I9"/>
    <mergeCell ref="H10:I10"/>
    <mergeCell ref="F5:G5"/>
    <mergeCell ref="F6:G6"/>
    <mergeCell ref="F7:G7"/>
    <mergeCell ref="F8:G8"/>
    <mergeCell ref="F9:G9"/>
    <mergeCell ref="A16:A25"/>
    <mergeCell ref="D3:E3"/>
    <mergeCell ref="D4:E4"/>
    <mergeCell ref="D5:E5"/>
    <mergeCell ref="D6:E6"/>
    <mergeCell ref="D7:E7"/>
    <mergeCell ref="D8:E8"/>
    <mergeCell ref="D9:E9"/>
    <mergeCell ref="D10:E10"/>
    <mergeCell ref="B12:C12"/>
    <mergeCell ref="A3:A12"/>
    <mergeCell ref="B13:C13"/>
    <mergeCell ref="B14:C14"/>
    <mergeCell ref="D14:E14"/>
    <mergeCell ref="F10:G10"/>
    <mergeCell ref="J1:K1"/>
    <mergeCell ref="J11:K11"/>
    <mergeCell ref="J12:K12"/>
    <mergeCell ref="D13:E13"/>
    <mergeCell ref="F13:G13"/>
    <mergeCell ref="H13:I13"/>
    <mergeCell ref="J13:K13"/>
    <mergeCell ref="H11:I11"/>
    <mergeCell ref="H12:I12"/>
    <mergeCell ref="J3:K3"/>
    <mergeCell ref="J4:K4"/>
    <mergeCell ref="J5:K5"/>
    <mergeCell ref="J6:K6"/>
    <mergeCell ref="J7:K7"/>
    <mergeCell ref="J8:K8"/>
    <mergeCell ref="J9:K9"/>
    <mergeCell ref="J10:K10"/>
    <mergeCell ref="F11:G11"/>
    <mergeCell ref="F12:G12"/>
    <mergeCell ref="H3:I3"/>
    <mergeCell ref="H4:I4"/>
    <mergeCell ref="H5:I5"/>
    <mergeCell ref="H6:I6"/>
    <mergeCell ref="H7:I7"/>
    <mergeCell ref="H8:I8"/>
    <mergeCell ref="D25:E25"/>
    <mergeCell ref="D26:E26"/>
    <mergeCell ref="B22:C22"/>
    <mergeCell ref="B23:C23"/>
    <mergeCell ref="B24:C24"/>
    <mergeCell ref="B25:C25"/>
    <mergeCell ref="B26:C26"/>
    <mergeCell ref="D16:E16"/>
    <mergeCell ref="D17:E17"/>
    <mergeCell ref="D18:E18"/>
    <mergeCell ref="D19:E19"/>
    <mergeCell ref="D20:E20"/>
    <mergeCell ref="B16:C16"/>
    <mergeCell ref="B17:C17"/>
    <mergeCell ref="B18:C18"/>
    <mergeCell ref="B19:C19"/>
    <mergeCell ref="B20:C20"/>
    <mergeCell ref="B21:C21"/>
    <mergeCell ref="F16:G16"/>
    <mergeCell ref="F17:G17"/>
    <mergeCell ref="F18:G18"/>
    <mergeCell ref="F19:G19"/>
    <mergeCell ref="F20:G20"/>
    <mergeCell ref="F21:G21"/>
    <mergeCell ref="D21:E21"/>
    <mergeCell ref="D22:E22"/>
    <mergeCell ref="D23:E23"/>
    <mergeCell ref="J16:K16"/>
    <mergeCell ref="J17:K17"/>
    <mergeCell ref="J18:K18"/>
    <mergeCell ref="J19:K19"/>
    <mergeCell ref="J20:K20"/>
    <mergeCell ref="J21:K21"/>
    <mergeCell ref="H21:I21"/>
    <mergeCell ref="H22:I22"/>
    <mergeCell ref="H23:I23"/>
    <mergeCell ref="H16:I16"/>
    <mergeCell ref="H17:I17"/>
    <mergeCell ref="H18:I18"/>
    <mergeCell ref="H19:I19"/>
    <mergeCell ref="H20:I20"/>
    <mergeCell ref="J22:K22"/>
    <mergeCell ref="J23:K23"/>
    <mergeCell ref="F22:G22"/>
    <mergeCell ref="F23:G23"/>
    <mergeCell ref="J24:K24"/>
    <mergeCell ref="J25:K25"/>
    <mergeCell ref="J26:K26"/>
    <mergeCell ref="B29:C29"/>
    <mergeCell ref="D29:E29"/>
    <mergeCell ref="F29:G29"/>
    <mergeCell ref="H29:I29"/>
    <mergeCell ref="H24:I24"/>
    <mergeCell ref="H25:I25"/>
    <mergeCell ref="H26:I26"/>
    <mergeCell ref="F24:G24"/>
    <mergeCell ref="F25:G25"/>
    <mergeCell ref="F26:G26"/>
    <mergeCell ref="D24:E24"/>
    <mergeCell ref="F31:G31"/>
    <mergeCell ref="H31:I31"/>
    <mergeCell ref="J31:K31"/>
    <mergeCell ref="B32:C32"/>
    <mergeCell ref="D32:E32"/>
    <mergeCell ref="F32:G32"/>
    <mergeCell ref="H32:I32"/>
    <mergeCell ref="J32:K32"/>
    <mergeCell ref="J29:K29"/>
    <mergeCell ref="B30:C30"/>
    <mergeCell ref="D30:E30"/>
    <mergeCell ref="F30:G30"/>
    <mergeCell ref="H30:I30"/>
    <mergeCell ref="J30:K30"/>
    <mergeCell ref="A29:A38"/>
    <mergeCell ref="B44:C44"/>
    <mergeCell ref="D44:E44"/>
    <mergeCell ref="F44:G44"/>
    <mergeCell ref="H44:I44"/>
    <mergeCell ref="B33:C33"/>
    <mergeCell ref="D33:E33"/>
    <mergeCell ref="F33:G33"/>
    <mergeCell ref="H33:I33"/>
    <mergeCell ref="B39:C39"/>
    <mergeCell ref="D39:E39"/>
    <mergeCell ref="F39:G39"/>
    <mergeCell ref="H39:I39"/>
    <mergeCell ref="B38:C38"/>
    <mergeCell ref="D38:E38"/>
    <mergeCell ref="F38:G38"/>
    <mergeCell ref="H38:I38"/>
    <mergeCell ref="B35:C35"/>
    <mergeCell ref="D35:E35"/>
    <mergeCell ref="F35:G35"/>
    <mergeCell ref="H35:I35"/>
    <mergeCell ref="A42:A51"/>
    <mergeCell ref="B42:C42"/>
    <mergeCell ref="D42:E42"/>
    <mergeCell ref="B48:C48"/>
    <mergeCell ref="D48:E48"/>
    <mergeCell ref="D46:E46"/>
    <mergeCell ref="F46:G46"/>
    <mergeCell ref="H46:I46"/>
    <mergeCell ref="B43:C43"/>
    <mergeCell ref="D43:E43"/>
    <mergeCell ref="F43:G43"/>
    <mergeCell ref="H43:I43"/>
    <mergeCell ref="F48:G48"/>
    <mergeCell ref="H48:I48"/>
    <mergeCell ref="J42:K42"/>
    <mergeCell ref="J43:K43"/>
    <mergeCell ref="J37:K37"/>
    <mergeCell ref="J38:K38"/>
    <mergeCell ref="F42:G42"/>
    <mergeCell ref="H42:I42"/>
    <mergeCell ref="B47:C47"/>
    <mergeCell ref="D47:E47"/>
    <mergeCell ref="F47:G47"/>
    <mergeCell ref="H47:I47"/>
    <mergeCell ref="B37:C37"/>
    <mergeCell ref="D37:E37"/>
    <mergeCell ref="F37:G37"/>
    <mergeCell ref="H37:I37"/>
    <mergeCell ref="J48:K48"/>
    <mergeCell ref="B49:C49"/>
    <mergeCell ref="D49:E49"/>
    <mergeCell ref="F49:G49"/>
    <mergeCell ref="H49:I49"/>
    <mergeCell ref="J49:K49"/>
    <mergeCell ref="F14:G14"/>
    <mergeCell ref="H14:I14"/>
    <mergeCell ref="J14:K14"/>
    <mergeCell ref="B27:C27"/>
    <mergeCell ref="D27:E27"/>
    <mergeCell ref="F27:G27"/>
    <mergeCell ref="H27:I27"/>
    <mergeCell ref="J27:K27"/>
    <mergeCell ref="J47:K47"/>
    <mergeCell ref="J44:K44"/>
    <mergeCell ref="B45:C45"/>
    <mergeCell ref="D45:E45"/>
    <mergeCell ref="F45:G45"/>
    <mergeCell ref="H45:I45"/>
    <mergeCell ref="J45:K45"/>
    <mergeCell ref="B46:C46"/>
    <mergeCell ref="J39:K39"/>
    <mergeCell ref="J46:K46"/>
    <mergeCell ref="B52:C52"/>
    <mergeCell ref="D52:E52"/>
    <mergeCell ref="F52:G52"/>
    <mergeCell ref="H52:I52"/>
    <mergeCell ref="J52:K52"/>
    <mergeCell ref="B50:C50"/>
    <mergeCell ref="D50:E50"/>
    <mergeCell ref="F50:G50"/>
    <mergeCell ref="H50:I50"/>
    <mergeCell ref="J50:K50"/>
    <mergeCell ref="B51:C51"/>
    <mergeCell ref="D51:E51"/>
    <mergeCell ref="F51:G51"/>
    <mergeCell ref="H51:I51"/>
    <mergeCell ref="J51:K51"/>
    <mergeCell ref="M1:R1"/>
    <mergeCell ref="M3:M7"/>
    <mergeCell ref="P3:P7"/>
    <mergeCell ref="M9:M13"/>
    <mergeCell ref="P9:P13"/>
    <mergeCell ref="B40:C40"/>
    <mergeCell ref="D40:E40"/>
    <mergeCell ref="F40:G40"/>
    <mergeCell ref="H40:I40"/>
    <mergeCell ref="J40:K40"/>
    <mergeCell ref="J35:K35"/>
    <mergeCell ref="B36:C36"/>
    <mergeCell ref="D36:E36"/>
    <mergeCell ref="F36:G36"/>
    <mergeCell ref="H36:I36"/>
    <mergeCell ref="J36:K36"/>
    <mergeCell ref="J33:K33"/>
    <mergeCell ref="B34:C34"/>
    <mergeCell ref="D34:E34"/>
    <mergeCell ref="F34:G34"/>
    <mergeCell ref="H34:I34"/>
    <mergeCell ref="J34:K34"/>
    <mergeCell ref="B31:C31"/>
    <mergeCell ref="D31:E31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40AB0-5F41-4FB8-B0ED-372105B99C26}">
  <dimension ref="A1:R52"/>
  <sheetViews>
    <sheetView tabSelected="1" zoomScaleNormal="100" workbookViewId="0">
      <selection activeCell="R14" sqref="R14"/>
    </sheetView>
  </sheetViews>
  <sheetFormatPr defaultRowHeight="14.5" x14ac:dyDescent="0.35"/>
  <cols>
    <col min="11" max="11" width="10.26953125" customWidth="1"/>
    <col min="14" max="14" width="16" customWidth="1"/>
    <col min="15" max="15" width="12.1796875" customWidth="1"/>
  </cols>
  <sheetData>
    <row r="1" spans="1:18" x14ac:dyDescent="0.35">
      <c r="A1" s="2">
        <v>100</v>
      </c>
      <c r="B1" s="26" t="s">
        <v>1</v>
      </c>
      <c r="C1" s="26"/>
      <c r="D1" s="26" t="s">
        <v>2</v>
      </c>
      <c r="E1" s="26"/>
      <c r="F1" s="26" t="s">
        <v>3</v>
      </c>
      <c r="G1" s="26"/>
      <c r="H1" s="26" t="s">
        <v>4</v>
      </c>
      <c r="I1" s="26"/>
      <c r="J1" s="26" t="s">
        <v>5</v>
      </c>
      <c r="K1" s="26"/>
      <c r="M1" s="21" t="s">
        <v>25</v>
      </c>
      <c r="N1" s="21"/>
      <c r="O1" s="21"/>
      <c r="P1" s="21"/>
      <c r="Q1" s="21"/>
      <c r="R1" s="21"/>
    </row>
    <row r="2" spans="1:18" x14ac:dyDescent="0.35">
      <c r="A2" s="2">
        <v>100</v>
      </c>
      <c r="B2" s="3" t="s">
        <v>22</v>
      </c>
      <c r="C2" s="3" t="s">
        <v>36</v>
      </c>
      <c r="D2" s="3" t="s">
        <v>22</v>
      </c>
      <c r="E2" s="3" t="s">
        <v>36</v>
      </c>
      <c r="F2" s="3" t="s">
        <v>22</v>
      </c>
      <c r="G2" s="3" t="s">
        <v>37</v>
      </c>
      <c r="H2" s="3" t="s">
        <v>17</v>
      </c>
      <c r="I2" s="3" t="s">
        <v>36</v>
      </c>
      <c r="J2" s="3" t="s">
        <v>15</v>
      </c>
      <c r="K2" s="3" t="s">
        <v>36</v>
      </c>
      <c r="M2" s="13" t="s">
        <v>30</v>
      </c>
      <c r="N2" s="13" t="s">
        <v>26</v>
      </c>
      <c r="O2" s="13" t="s">
        <v>27</v>
      </c>
      <c r="P2" s="13" t="s">
        <v>30</v>
      </c>
      <c r="Q2" s="13" t="s">
        <v>26</v>
      </c>
      <c r="R2" s="13" t="s">
        <v>27</v>
      </c>
    </row>
    <row r="3" spans="1:18" x14ac:dyDescent="0.35">
      <c r="A3" s="31" t="s">
        <v>0</v>
      </c>
      <c r="B3" s="27">
        <f>0.84071630537229*$A$2</f>
        <v>84.071630537228998</v>
      </c>
      <c r="C3" s="27"/>
      <c r="D3" s="27">
        <f>0.838831291234684*$A$2</f>
        <v>83.883129123468407</v>
      </c>
      <c r="E3" s="27"/>
      <c r="F3" s="27">
        <f>0.834118755890669*$A$2</f>
        <v>83.411875589066895</v>
      </c>
      <c r="G3" s="27"/>
      <c r="H3" s="27">
        <f>0.8294*$A$2</f>
        <v>82.94</v>
      </c>
      <c r="I3" s="27"/>
      <c r="J3" s="27">
        <f>0.836003770028275*$A$2</f>
        <v>83.6003770028275</v>
      </c>
      <c r="K3" s="27"/>
      <c r="M3" s="22" t="s">
        <v>0</v>
      </c>
      <c r="N3" s="14">
        <v>85.0088649013924</v>
      </c>
      <c r="O3" s="14" t="s">
        <v>1</v>
      </c>
      <c r="P3" s="23" t="s">
        <v>9</v>
      </c>
      <c r="Q3" s="6">
        <v>84.914285206195643</v>
      </c>
      <c r="R3" s="7" t="s">
        <v>2</v>
      </c>
    </row>
    <row r="4" spans="1:18" x14ac:dyDescent="0.35">
      <c r="A4" s="31"/>
      <c r="B4" s="27">
        <f>0.835061262959472*$A$2</f>
        <v>83.506126295947197</v>
      </c>
      <c r="C4" s="27"/>
      <c r="D4" s="27">
        <f>0.839773798303487*$A$2</f>
        <v>83.977379830348696</v>
      </c>
      <c r="E4" s="27"/>
      <c r="F4" s="27">
        <f>0.839773798303487*$A$2</f>
        <v>83.977379830348696</v>
      </c>
      <c r="G4" s="27"/>
      <c r="H4" s="27">
        <f>0.8388*$A$2</f>
        <v>83.88</v>
      </c>
      <c r="I4" s="27"/>
      <c r="J4" s="27">
        <f>0.836003770028275*$A$2</f>
        <v>83.6003770028275</v>
      </c>
      <c r="K4" s="27"/>
      <c r="M4" s="22"/>
      <c r="N4" s="6">
        <v>84.744829548485768</v>
      </c>
      <c r="O4" s="6" t="s">
        <v>2</v>
      </c>
      <c r="P4" s="23"/>
      <c r="Q4" s="6">
        <v>84.905100208062876</v>
      </c>
      <c r="R4" s="7" t="s">
        <v>1</v>
      </c>
    </row>
    <row r="5" spans="1:18" x14ac:dyDescent="0.35">
      <c r="A5" s="31"/>
      <c r="B5" s="27">
        <f>0.84071630537229*$A$2</f>
        <v>84.071630537228998</v>
      </c>
      <c r="C5" s="27"/>
      <c r="D5" s="27">
        <f>0.834118755890669*$A$2</f>
        <v>83.411875589066895</v>
      </c>
      <c r="E5" s="27"/>
      <c r="F5" s="27">
        <f>0.84071630537229*$A$2</f>
        <v>84.071630537228998</v>
      </c>
      <c r="G5" s="27"/>
      <c r="H5" s="27">
        <f>0.8435*$A$2</f>
        <v>84.350000000000009</v>
      </c>
      <c r="I5" s="27"/>
      <c r="J5" s="27">
        <f>0.839773798303487*$A$2</f>
        <v>83.977379830348696</v>
      </c>
      <c r="K5" s="27"/>
      <c r="M5" s="22"/>
      <c r="N5" s="6">
        <v>84.678845162093438</v>
      </c>
      <c r="O5" s="6" t="s">
        <v>5</v>
      </c>
      <c r="P5" s="23"/>
      <c r="Q5" s="20">
        <v>84.905100208062876</v>
      </c>
      <c r="R5" s="7" t="s">
        <v>3</v>
      </c>
    </row>
    <row r="6" spans="1:18" x14ac:dyDescent="0.35">
      <c r="A6" s="31"/>
      <c r="B6" s="27">
        <f>0.851083883129123*$A$2</f>
        <v>85.108388312912297</v>
      </c>
      <c r="C6" s="27"/>
      <c r="D6" s="27">
        <f>0.851083883129123*$A$2</f>
        <v>85.108388312912297</v>
      </c>
      <c r="E6" s="27"/>
      <c r="F6" s="27">
        <f>0.848256361922715*$A$2</f>
        <v>84.825636192271503</v>
      </c>
      <c r="G6" s="27"/>
      <c r="H6" s="27">
        <f>0.8501*$A$2</f>
        <v>85.009999999999991</v>
      </c>
      <c r="I6" s="27"/>
      <c r="J6" s="27">
        <f>0.848256361922715*$A$2</f>
        <v>84.825636192271503</v>
      </c>
      <c r="K6" s="27"/>
      <c r="M6" s="22"/>
      <c r="N6" s="6">
        <v>84.612851884124964</v>
      </c>
      <c r="O6" s="6" t="s">
        <v>3</v>
      </c>
      <c r="P6" s="23"/>
      <c r="Q6" s="6">
        <v>84.886027777283772</v>
      </c>
      <c r="R6" s="7" t="s">
        <v>5</v>
      </c>
    </row>
    <row r="7" spans="1:18" x14ac:dyDescent="0.35">
      <c r="A7" s="31"/>
      <c r="B7" s="27">
        <f>0.834118755890669*$A$2</f>
        <v>83.411875589066895</v>
      </c>
      <c r="C7" s="27"/>
      <c r="D7" s="27">
        <f>0.836003770028275*$A$2</f>
        <v>83.6003770028275</v>
      </c>
      <c r="E7" s="27"/>
      <c r="F7" s="27">
        <f>0.833176248821866*$A$2</f>
        <v>83.317624882186607</v>
      </c>
      <c r="G7" s="27"/>
      <c r="H7" s="27">
        <f>0.8351*$A$2</f>
        <v>83.509999999999991</v>
      </c>
      <c r="I7" s="27"/>
      <c r="J7" s="27">
        <f>0.832233741753063*$A$2</f>
        <v>83.223374175306304</v>
      </c>
      <c r="K7" s="27"/>
      <c r="M7" s="22"/>
      <c r="N7" s="6">
        <v>84.582999999999998</v>
      </c>
      <c r="O7" s="6" t="s">
        <v>4</v>
      </c>
      <c r="P7" s="23"/>
      <c r="Q7" s="6">
        <v>84.687976810769484</v>
      </c>
      <c r="R7" s="7" t="s">
        <v>4</v>
      </c>
    </row>
    <row r="8" spans="1:18" x14ac:dyDescent="0.35">
      <c r="A8" s="31"/>
      <c r="B8" s="27">
        <f>0.858623939679548*$A$2</f>
        <v>85.862393967954802</v>
      </c>
      <c r="C8" s="27"/>
      <c r="D8" s="27">
        <f>0.848256361922715*$A$2</f>
        <v>84.825636192271503</v>
      </c>
      <c r="E8" s="27"/>
      <c r="F8" s="27">
        <f>0.841658812441093*$A$2</f>
        <v>84.1658812441093</v>
      </c>
      <c r="G8" s="27"/>
      <c r="H8" s="27">
        <f>0.8473*$A$2</f>
        <v>84.73</v>
      </c>
      <c r="I8" s="27"/>
      <c r="J8" s="27">
        <f>0.850141376060321*$A$2</f>
        <v>85.014137606032108</v>
      </c>
      <c r="K8" s="27"/>
      <c r="M8" s="8"/>
      <c r="N8" s="9"/>
      <c r="O8" s="9"/>
      <c r="P8" s="9"/>
      <c r="Q8" s="9"/>
      <c r="R8" s="10"/>
    </row>
    <row r="9" spans="1:18" x14ac:dyDescent="0.35">
      <c r="A9" s="31"/>
      <c r="B9" s="27">
        <f>0.856603773584906*$A$2</f>
        <v>85.660377358490607</v>
      </c>
      <c r="C9" s="27"/>
      <c r="D9" s="27">
        <f>0.85377358490566*$A$2</f>
        <v>85.377358490565996</v>
      </c>
      <c r="E9" s="27"/>
      <c r="F9" s="27">
        <f>0.856603773584906*$A$2</f>
        <v>85.660377358490607</v>
      </c>
      <c r="G9" s="27"/>
      <c r="H9" s="27">
        <f>0.8547*$A$2</f>
        <v>85.47</v>
      </c>
      <c r="I9" s="27"/>
      <c r="J9" s="27">
        <f>0.85377358490566*$A$2</f>
        <v>85.377358490565996</v>
      </c>
      <c r="K9" s="27"/>
      <c r="M9" s="22" t="s">
        <v>11</v>
      </c>
      <c r="N9" s="6">
        <v>84.556096953746021</v>
      </c>
      <c r="O9" s="6" t="s">
        <v>4</v>
      </c>
      <c r="P9" s="23" t="s">
        <v>12</v>
      </c>
      <c r="Q9" s="6">
        <v>84.801184357939292</v>
      </c>
      <c r="R9" s="7" t="s">
        <v>5</v>
      </c>
    </row>
    <row r="10" spans="1:18" x14ac:dyDescent="0.35">
      <c r="A10" s="31"/>
      <c r="B10" s="27">
        <f>0.861320754716981*$A$2</f>
        <v>86.132075471698101</v>
      </c>
      <c r="C10" s="27"/>
      <c r="D10" s="27">
        <f>0.865094339622642*$A$2</f>
        <v>86.509433962264211</v>
      </c>
      <c r="E10" s="27"/>
      <c r="F10" s="27">
        <f>0.85377358490566*$A$2</f>
        <v>85.377358490565996</v>
      </c>
      <c r="G10" s="27"/>
      <c r="H10" s="27">
        <f>0.8528*$A$2</f>
        <v>85.28</v>
      </c>
      <c r="I10" s="27"/>
      <c r="J10" s="27">
        <f>0.859433962264151*$A$2</f>
        <v>85.943396226415103</v>
      </c>
      <c r="K10" s="27"/>
      <c r="M10" s="22"/>
      <c r="N10" s="6">
        <v>84.442844948695594</v>
      </c>
      <c r="O10" s="6" t="s">
        <v>1</v>
      </c>
      <c r="P10" s="23"/>
      <c r="Q10" s="6">
        <v>84.716305372290293</v>
      </c>
      <c r="R10" s="7" t="s">
        <v>3</v>
      </c>
    </row>
    <row r="11" spans="1:18" x14ac:dyDescent="0.35">
      <c r="A11" s="31"/>
      <c r="B11" s="27">
        <f>0.852830188679245*$A$2</f>
        <v>85.283018867924497</v>
      </c>
      <c r="C11" s="27"/>
      <c r="D11" s="27">
        <f>0.85*$A$2</f>
        <v>85</v>
      </c>
      <c r="E11" s="27"/>
      <c r="F11" s="27">
        <f>0.85*$A$2</f>
        <v>85</v>
      </c>
      <c r="G11" s="27"/>
      <c r="H11" s="27">
        <f>0.8443*$A$2</f>
        <v>84.43</v>
      </c>
      <c r="I11" s="27"/>
      <c r="J11" s="27">
        <f>0.85377358490566*$A$2</f>
        <v>85.377358490565996</v>
      </c>
      <c r="K11" s="27"/>
      <c r="M11" s="22"/>
      <c r="N11" s="6">
        <v>84.357974854622697</v>
      </c>
      <c r="O11" s="6" t="s">
        <v>2</v>
      </c>
      <c r="P11" s="23"/>
      <c r="Q11" s="6">
        <v>84.659737165009858</v>
      </c>
      <c r="R11" s="7" t="s">
        <v>4</v>
      </c>
    </row>
    <row r="12" spans="1:18" x14ac:dyDescent="0.35">
      <c r="A12" s="31"/>
      <c r="B12" s="27">
        <f>0.869811320754717*$A$2</f>
        <v>86.981132075471706</v>
      </c>
      <c r="C12" s="27"/>
      <c r="D12" s="27">
        <f>0.857547169811321*$A$2</f>
        <v>85.754716981132091</v>
      </c>
      <c r="E12" s="27"/>
      <c r="F12" s="27">
        <f>0.863207547169811*$A$2</f>
        <v>86.320754716981099</v>
      </c>
      <c r="G12" s="27"/>
      <c r="H12" s="27">
        <f>0.8623*$A$2</f>
        <v>86.22999999999999</v>
      </c>
      <c r="I12" s="27"/>
      <c r="J12" s="27">
        <f>0.858490566037736*$A$2</f>
        <v>85.849056603773604</v>
      </c>
      <c r="K12" s="27"/>
      <c r="M12" s="22"/>
      <c r="N12" s="6">
        <v>84.310840609606473</v>
      </c>
      <c r="O12" s="6" t="s">
        <v>5</v>
      </c>
      <c r="P12" s="23"/>
      <c r="Q12" s="6">
        <v>84.584327707929489</v>
      </c>
      <c r="R12" s="7" t="s">
        <v>1</v>
      </c>
    </row>
    <row r="13" spans="1:18" ht="15" thickBot="1" x14ac:dyDescent="0.4">
      <c r="A13" s="4" t="s">
        <v>8</v>
      </c>
      <c r="B13" s="28">
        <f>AVERAGE(B3:C12)</f>
        <v>85.0088649013924</v>
      </c>
      <c r="C13" s="28"/>
      <c r="D13" s="28">
        <f>AVERAGE(D3:E12)</f>
        <v>84.744829548485768</v>
      </c>
      <c r="E13" s="28"/>
      <c r="F13" s="28">
        <f>AVERAGE(F3:G12)</f>
        <v>84.612851884124964</v>
      </c>
      <c r="G13" s="28"/>
      <c r="H13" s="28">
        <f>AVERAGE(H3:I12)</f>
        <v>84.582999999999998</v>
      </c>
      <c r="I13" s="28"/>
      <c r="J13" s="28">
        <f>AVERAGE(J3:K12)</f>
        <v>84.678845162093438</v>
      </c>
      <c r="K13" s="30"/>
      <c r="M13" s="24"/>
      <c r="N13" s="11">
        <v>84.216554336421652</v>
      </c>
      <c r="O13" s="11" t="s">
        <v>3</v>
      </c>
      <c r="P13" s="25"/>
      <c r="Q13" s="11">
        <v>84.565397542368345</v>
      </c>
      <c r="R13" s="12" t="s">
        <v>2</v>
      </c>
    </row>
    <row r="14" spans="1:18" x14ac:dyDescent="0.35">
      <c r="A14" s="2">
        <v>100</v>
      </c>
      <c r="B14" s="26" t="s">
        <v>1</v>
      </c>
      <c r="C14" s="26"/>
      <c r="D14" s="26" t="s">
        <v>2</v>
      </c>
      <c r="E14" s="26"/>
      <c r="F14" s="26" t="s">
        <v>3</v>
      </c>
      <c r="G14" s="26"/>
      <c r="H14" s="26" t="s">
        <v>4</v>
      </c>
      <c r="I14" s="26"/>
      <c r="J14" s="26" t="s">
        <v>5</v>
      </c>
      <c r="K14" s="26"/>
    </row>
    <row r="15" spans="1:18" x14ac:dyDescent="0.35">
      <c r="A15" s="2">
        <v>100</v>
      </c>
      <c r="B15" s="3" t="s">
        <v>17</v>
      </c>
      <c r="C15" s="3" t="s">
        <v>37</v>
      </c>
      <c r="D15" s="3" t="s">
        <v>17</v>
      </c>
      <c r="E15" s="3" t="s">
        <v>36</v>
      </c>
      <c r="F15" s="3" t="s">
        <v>38</v>
      </c>
      <c r="G15" s="3" t="s">
        <v>36</v>
      </c>
      <c r="H15" s="3" t="s">
        <v>22</v>
      </c>
      <c r="I15" s="3" t="s">
        <v>36</v>
      </c>
      <c r="J15" s="3" t="s">
        <v>38</v>
      </c>
      <c r="K15" s="3" t="s">
        <v>36</v>
      </c>
    </row>
    <row r="16" spans="1:18" x14ac:dyDescent="0.35">
      <c r="A16" s="31" t="s">
        <v>9</v>
      </c>
      <c r="B16" s="27">
        <f>0.853911404335533*$A$2</f>
        <v>85.391140433553304</v>
      </c>
      <c r="C16" s="27"/>
      <c r="D16" s="27">
        <f>0.850141376060321*$A$2</f>
        <v>85.014137606032108</v>
      </c>
      <c r="E16" s="27"/>
      <c r="F16" s="27">
        <f>0.85296889726673*$A$2</f>
        <v>85.296889726673001</v>
      </c>
      <c r="G16" s="27"/>
      <c r="H16" s="27">
        <f>0.854853911404336*$A$2</f>
        <v>85.485391140433592</v>
      </c>
      <c r="I16" s="27"/>
      <c r="J16" s="27">
        <f>0.847313854853911*$A$2</f>
        <v>84.731385485391101</v>
      </c>
      <c r="K16" s="27"/>
    </row>
    <row r="17" spans="1:11" x14ac:dyDescent="0.35">
      <c r="A17" s="31"/>
      <c r="B17" s="27">
        <f>0.830348727615457*$A$2</f>
        <v>83.034872761545699</v>
      </c>
      <c r="C17" s="27"/>
      <c r="D17" s="27">
        <f>0.835061262959472*$A$2</f>
        <v>83.506126295947197</v>
      </c>
      <c r="E17" s="27"/>
      <c r="F17" s="27">
        <f>0.835061262959472*$A$2</f>
        <v>83.506126295947197</v>
      </c>
      <c r="G17" s="27"/>
      <c r="H17" s="27">
        <f>0.83129123468426*$A$2</f>
        <v>83.129123468426002</v>
      </c>
      <c r="I17" s="27"/>
      <c r="J17" s="27">
        <f>0.841658812441093*$A$2</f>
        <v>84.1658812441093</v>
      </c>
      <c r="K17" s="27"/>
    </row>
    <row r="18" spans="1:11" x14ac:dyDescent="0.35">
      <c r="A18" s="31"/>
      <c r="B18" s="27">
        <f>0.842601319509896*$A$2</f>
        <v>84.260131950989603</v>
      </c>
      <c r="C18" s="27"/>
      <c r="D18" s="27">
        <f>0.846371347785108*$A$2</f>
        <v>84.637134778510799</v>
      </c>
      <c r="E18" s="27"/>
      <c r="F18" s="27">
        <f>0.852026390197927*$A$2</f>
        <v>85.202639019792699</v>
      </c>
      <c r="G18" s="27"/>
      <c r="H18" s="27">
        <f>0.843543826578699*$A$2</f>
        <v>84.354382657869891</v>
      </c>
      <c r="I18" s="27"/>
      <c r="J18" s="27">
        <f>0.849198868991517*$A$2</f>
        <v>84.919886899151692</v>
      </c>
      <c r="K18" s="27"/>
    </row>
    <row r="19" spans="1:11" x14ac:dyDescent="0.35">
      <c r="A19" s="31"/>
      <c r="B19" s="27">
        <f>0.852026390197927*$A$2</f>
        <v>85.202639019792699</v>
      </c>
      <c r="C19" s="27"/>
      <c r="D19" s="27">
        <f>0.858623939679548*$A$2</f>
        <v>85.862393967954802</v>
      </c>
      <c r="E19" s="27"/>
      <c r="F19" s="27">
        <f>0.855796418473139*$A$2</f>
        <v>85.579641847313908</v>
      </c>
      <c r="G19" s="27"/>
      <c r="H19" s="27">
        <f>0.850141376060321*$A$2</f>
        <v>85.014137606032108</v>
      </c>
      <c r="I19" s="27"/>
      <c r="J19" s="27">
        <f>0.851083883129123*$A$2</f>
        <v>85.108388312912297</v>
      </c>
      <c r="K19" s="27"/>
    </row>
    <row r="20" spans="1:11" x14ac:dyDescent="0.35">
      <c r="A20" s="31"/>
      <c r="B20" s="27">
        <f>0.849198868991517*$A$2</f>
        <v>84.919886899151692</v>
      </c>
      <c r="C20" s="27"/>
      <c r="D20" s="27">
        <f>0.851083883129123*$A$2</f>
        <v>85.108388312912297</v>
      </c>
      <c r="E20" s="27"/>
      <c r="F20" s="27">
        <f>0.851083883129123*$A$2</f>
        <v>85.108388312912297</v>
      </c>
      <c r="G20" s="27"/>
      <c r="H20" s="27">
        <f>0.854853911404336*$A$2</f>
        <v>85.485391140433592</v>
      </c>
      <c r="I20" s="27"/>
      <c r="J20" s="27">
        <f>0.849198868991517*$A$2</f>
        <v>84.919886899151692</v>
      </c>
      <c r="K20" s="27"/>
    </row>
    <row r="21" spans="1:11" x14ac:dyDescent="0.35">
      <c r="A21" s="31"/>
      <c r="B21" s="27">
        <f>0.83129123468426*$A$2</f>
        <v>83.129123468426002</v>
      </c>
      <c r="C21" s="27"/>
      <c r="D21" s="27">
        <f>0.844486333647502*$A$2</f>
        <v>84.448633364750208</v>
      </c>
      <c r="E21" s="27"/>
      <c r="F21" s="27">
        <f>0.842601319509896*$A$2</f>
        <v>84.260131950989603</v>
      </c>
      <c r="G21" s="27"/>
      <c r="H21" s="27">
        <f>0.839773798303487*$A$2</f>
        <v>83.977379830348696</v>
      </c>
      <c r="I21" s="27"/>
      <c r="J21" s="27">
        <f>0.842601319509896*$A$2</f>
        <v>84.260131950989603</v>
      </c>
      <c r="K21" s="27"/>
    </row>
    <row r="22" spans="1:11" x14ac:dyDescent="0.35">
      <c r="A22" s="31"/>
      <c r="B22" s="27">
        <f>0.865094339622642*$A$2</f>
        <v>86.509433962264211</v>
      </c>
      <c r="C22" s="27"/>
      <c r="D22" s="27">
        <f>0.861320754716981*$A$2</f>
        <v>86.132075471698101</v>
      </c>
      <c r="E22" s="27"/>
      <c r="F22" s="27">
        <f>0.866981132075472*$A$2</f>
        <v>86.698113207547195</v>
      </c>
      <c r="G22" s="27"/>
      <c r="H22" s="27">
        <f>0.861320754716981*$A$2</f>
        <v>86.132075471698101</v>
      </c>
      <c r="I22" s="27"/>
      <c r="J22" s="27">
        <f>0.862264150943396*$A$2</f>
        <v>86.2264150943396</v>
      </c>
      <c r="K22" s="27"/>
    </row>
    <row r="23" spans="1:11" x14ac:dyDescent="0.35">
      <c r="A23" s="31"/>
      <c r="B23" s="27">
        <f t="shared" ref="B23" si="0">0.852830188679245*$A$2</f>
        <v>85.283018867924497</v>
      </c>
      <c r="C23" s="27"/>
      <c r="D23" s="27">
        <f>0.85*$A$2</f>
        <v>85</v>
      </c>
      <c r="E23" s="27"/>
      <c r="F23" s="27">
        <f>0.854716981132076*$A$2</f>
        <v>85.471698113207594</v>
      </c>
      <c r="G23" s="27"/>
      <c r="H23" s="27">
        <f>0.847169811320755*$A$2</f>
        <v>84.716981132075503</v>
      </c>
      <c r="I23" s="27"/>
      <c r="J23" s="27">
        <f>0.85*$A$2</f>
        <v>85</v>
      </c>
      <c r="K23" s="27"/>
    </row>
    <row r="24" spans="1:11" x14ac:dyDescent="0.35">
      <c r="A24" s="31"/>
      <c r="B24" s="27">
        <f t="shared" ref="B24" si="1">0.863207547169811*$A$2</f>
        <v>86.320754716981099</v>
      </c>
      <c r="C24" s="27"/>
      <c r="D24" s="27">
        <f>0.852830188679245*$A$2</f>
        <v>85.283018867924497</v>
      </c>
      <c r="E24" s="27"/>
      <c r="F24" s="27">
        <f>0.845283018867925*$A$2</f>
        <v>84.528301886792505</v>
      </c>
      <c r="G24" s="27"/>
      <c r="H24" s="27">
        <f>0.84811320754717*$A$2</f>
        <v>84.811320754717002</v>
      </c>
      <c r="I24" s="27"/>
      <c r="J24" s="27">
        <f>0.856603773584906*$A$2</f>
        <v>85.660377358490607</v>
      </c>
      <c r="K24" s="27"/>
    </row>
    <row r="25" spans="1:11" x14ac:dyDescent="0.35">
      <c r="A25" s="31"/>
      <c r="B25" s="27">
        <f>0.85*$A$2</f>
        <v>85</v>
      </c>
      <c r="C25" s="27"/>
      <c r="D25" s="27">
        <f>0.841509433962264*$A$2</f>
        <v>84.150943396226396</v>
      </c>
      <c r="E25" s="27"/>
      <c r="F25" s="27">
        <f>0.833962264150943*$A$2</f>
        <v>83.396226415094304</v>
      </c>
      <c r="G25" s="27"/>
      <c r="H25" s="27">
        <f>0.837735849056604*$A$2</f>
        <v>83.7735849056604</v>
      </c>
      <c r="I25" s="27"/>
      <c r="J25" s="27">
        <f>0.838679245283019*$A$2</f>
        <v>83.867924528301899</v>
      </c>
      <c r="K25" s="27"/>
    </row>
    <row r="26" spans="1:11" x14ac:dyDescent="0.35">
      <c r="A26" s="4" t="s">
        <v>8</v>
      </c>
      <c r="B26" s="28">
        <f>AVERAGE(B16:C25)</f>
        <v>84.905100208062876</v>
      </c>
      <c r="C26" s="28"/>
      <c r="D26" s="28">
        <f>AVERAGE(D16:E25)</f>
        <v>84.914285206195643</v>
      </c>
      <c r="E26" s="28"/>
      <c r="F26" s="28">
        <f>AVERAGE(F16:G25)</f>
        <v>84.904815677627042</v>
      </c>
      <c r="G26" s="28"/>
      <c r="H26" s="28">
        <f>AVERAGE(H16:I25)</f>
        <v>84.687976810769484</v>
      </c>
      <c r="I26" s="28"/>
      <c r="J26" s="28">
        <f>AVERAGE(J16:K25)</f>
        <v>84.886027777283772</v>
      </c>
      <c r="K26" s="30"/>
    </row>
    <row r="27" spans="1:11" x14ac:dyDescent="0.35">
      <c r="A27" s="2">
        <v>100</v>
      </c>
      <c r="B27" s="26" t="s">
        <v>1</v>
      </c>
      <c r="C27" s="26"/>
      <c r="D27" s="26" t="s">
        <v>2</v>
      </c>
      <c r="E27" s="26"/>
      <c r="F27" s="26" t="s">
        <v>3</v>
      </c>
      <c r="G27" s="26"/>
      <c r="H27" s="26" t="s">
        <v>4</v>
      </c>
      <c r="I27" s="26"/>
      <c r="J27" s="26" t="s">
        <v>5</v>
      </c>
      <c r="K27" s="26"/>
    </row>
    <row r="28" spans="1:11" x14ac:dyDescent="0.35">
      <c r="A28" s="2">
        <v>100</v>
      </c>
      <c r="B28" s="3" t="s">
        <v>22</v>
      </c>
      <c r="C28" s="3" t="s">
        <v>33</v>
      </c>
      <c r="D28" s="3" t="s">
        <v>17</v>
      </c>
      <c r="E28" s="3" t="s">
        <v>33</v>
      </c>
      <c r="F28" s="3" t="s">
        <v>19</v>
      </c>
      <c r="G28" s="3" t="s">
        <v>33</v>
      </c>
      <c r="H28" s="3" t="s">
        <v>38</v>
      </c>
      <c r="I28" s="3" t="s">
        <v>33</v>
      </c>
      <c r="J28" s="3" t="s">
        <v>38</v>
      </c>
      <c r="K28" s="3" t="s">
        <v>33</v>
      </c>
    </row>
    <row r="29" spans="1:11" x14ac:dyDescent="0.35">
      <c r="A29" s="31" t="s">
        <v>11</v>
      </c>
      <c r="B29" s="27">
        <f>0.819981149858624*$A$2</f>
        <v>81.998114985862401</v>
      </c>
      <c r="C29" s="27"/>
      <c r="D29" s="27">
        <f>0.816211121583412*$A$2</f>
        <v>81.621112158341205</v>
      </c>
      <c r="E29" s="27"/>
      <c r="F29" s="27">
        <f>0.814326107445806*$A$2</f>
        <v>81.4326107445806</v>
      </c>
      <c r="G29" s="27"/>
      <c r="H29" s="27">
        <f>0.810556079170594*$A$2</f>
        <v>81.055607917059405</v>
      </c>
      <c r="I29" s="27"/>
      <c r="J29" s="27">
        <f>0.815268614514609*$A$2</f>
        <v>81.526861451460903</v>
      </c>
      <c r="K29" s="27"/>
    </row>
    <row r="30" spans="1:11" x14ac:dyDescent="0.35">
      <c r="A30" s="31"/>
      <c r="B30" s="27">
        <f>0.857681432610745*$A$2</f>
        <v>85.768143261074499</v>
      </c>
      <c r="C30" s="27"/>
      <c r="D30" s="27">
        <f>0.857681432610745*$A$2</f>
        <v>85.768143261074499</v>
      </c>
      <c r="E30" s="27"/>
      <c r="F30" s="27">
        <f>0.856738925541942*$A$2</f>
        <v>85.673892554194197</v>
      </c>
      <c r="G30" s="27"/>
      <c r="H30" s="27">
        <f>0.86239396795476*$A$2</f>
        <v>86.239396795475997</v>
      </c>
      <c r="I30" s="27"/>
      <c r="J30" s="27">
        <f>0.855796418473139*$A$2</f>
        <v>85.579641847313908</v>
      </c>
      <c r="K30" s="27"/>
    </row>
    <row r="31" spans="1:11" x14ac:dyDescent="0.35">
      <c r="A31" s="31"/>
      <c r="B31" s="27">
        <f>0.838831291234684*$A$2</f>
        <v>83.883129123468407</v>
      </c>
      <c r="C31" s="27"/>
      <c r="D31" s="27">
        <f>0.841658812441093*$A$2</f>
        <v>84.1658812441093</v>
      </c>
      <c r="E31" s="27"/>
      <c r="F31" s="27">
        <f>0.841658812441093*$A$2</f>
        <v>84.1658812441093</v>
      </c>
      <c r="G31" s="27"/>
      <c r="H31" s="27">
        <f>0.843543826578699*$A$2</f>
        <v>84.354382657869891</v>
      </c>
      <c r="I31" s="27"/>
      <c r="J31" s="27">
        <f>0.844486333647502*$A$2</f>
        <v>84.448633364750208</v>
      </c>
      <c r="K31" s="27"/>
    </row>
    <row r="32" spans="1:11" x14ac:dyDescent="0.35">
      <c r="A32" s="31"/>
      <c r="B32" s="27">
        <f>0.842601319509896*$A$2</f>
        <v>84.260131950989603</v>
      </c>
      <c r="C32" s="27"/>
      <c r="D32" s="27">
        <f>0.838831291234684*$A$2</f>
        <v>83.883129123468407</v>
      </c>
      <c r="E32" s="27"/>
      <c r="F32" s="27">
        <f>0.836946277097078*$A$2</f>
        <v>83.694627709707802</v>
      </c>
      <c r="G32" s="27"/>
      <c r="H32" s="27">
        <f>0.842601319509896*$A$2</f>
        <v>84.260131950989603</v>
      </c>
      <c r="I32" s="27"/>
      <c r="J32" s="27">
        <f>0.844486333647502*$A$2</f>
        <v>84.448633364750208</v>
      </c>
      <c r="K32" s="27"/>
    </row>
    <row r="33" spans="1:11" x14ac:dyDescent="0.35">
      <c r="A33" s="31"/>
      <c r="B33" s="27">
        <f>0.844486333647502*$A$2</f>
        <v>84.448633364750208</v>
      </c>
      <c r="C33" s="27"/>
      <c r="D33" s="27">
        <f>0.849198868991517*$A$2</f>
        <v>84.919886899151692</v>
      </c>
      <c r="E33" s="27"/>
      <c r="F33" s="27">
        <f>0.844486333647502*$A$2</f>
        <v>84.448633364750208</v>
      </c>
      <c r="G33" s="27"/>
      <c r="H33" s="27">
        <f>0.843543826578699*$A$2</f>
        <v>84.354382657869891</v>
      </c>
      <c r="I33" s="27"/>
      <c r="J33" s="27">
        <f>0.84071630537229*$A$2</f>
        <v>84.071630537228998</v>
      </c>
      <c r="K33" s="27"/>
    </row>
    <row r="34" spans="1:11" x14ac:dyDescent="0.35">
      <c r="A34" s="31"/>
      <c r="B34" s="27">
        <f>0.854853911404336*$A$2</f>
        <v>85.485391140433592</v>
      </c>
      <c r="C34" s="27"/>
      <c r="D34" s="27">
        <f>0.851083883129123*$A$2</f>
        <v>85.108388312912297</v>
      </c>
      <c r="E34" s="27"/>
      <c r="F34" s="27">
        <f>0.851083883129123*$A$2</f>
        <v>85.108388312912297</v>
      </c>
      <c r="G34" s="27"/>
      <c r="H34" s="27">
        <f>0.851083883129123*$A$2</f>
        <v>85.108388312912297</v>
      </c>
      <c r="I34" s="27"/>
      <c r="J34" s="27">
        <f>0.850141376060321*$A$2</f>
        <v>85.014137606032108</v>
      </c>
      <c r="K34" s="27"/>
    </row>
    <row r="35" spans="1:11" x14ac:dyDescent="0.35">
      <c r="A35" s="31"/>
      <c r="B35" s="27">
        <f>0.834905660377359*$A$2</f>
        <v>83.490566037735903</v>
      </c>
      <c r="C35" s="27"/>
      <c r="D35" s="27">
        <f>0.833962264150943*$A$2</f>
        <v>83.396226415094304</v>
      </c>
      <c r="E35" s="27"/>
      <c r="F35" s="27">
        <f>0.833962264150943*$A$2</f>
        <v>83.396226415094304</v>
      </c>
      <c r="G35" s="27"/>
      <c r="H35" s="27">
        <f>0.843396226415094*$A$2</f>
        <v>84.339622641509408</v>
      </c>
      <c r="I35" s="27"/>
      <c r="J35" s="27">
        <f>0.834905660377359*$A$2</f>
        <v>83.490566037735903</v>
      </c>
      <c r="K35" s="27"/>
    </row>
    <row r="36" spans="1:11" x14ac:dyDescent="0.35">
      <c r="A36" s="31"/>
      <c r="B36" s="27">
        <f>0.842452830188679*$A$2</f>
        <v>84.245283018867894</v>
      </c>
      <c r="C36" s="27"/>
      <c r="D36" s="27">
        <f>0.834905660377359*$A$2</f>
        <v>83.490566037735903</v>
      </c>
      <c r="E36" s="27"/>
      <c r="F36" s="27">
        <f>0.836792452830189*$A$2</f>
        <v>83.679245283018901</v>
      </c>
      <c r="G36" s="27"/>
      <c r="H36" s="27">
        <f>0.840566037735849*$A$2</f>
        <v>84.056603773584897</v>
      </c>
      <c r="I36" s="27"/>
      <c r="J36" s="27">
        <f>0.836792452830189*$A$2</f>
        <v>83.679245283018901</v>
      </c>
      <c r="K36" s="27"/>
    </row>
    <row r="37" spans="1:11" x14ac:dyDescent="0.35">
      <c r="A37" s="31"/>
      <c r="B37" s="27">
        <f>0.866981132075472*$A$2</f>
        <v>86.698113207547195</v>
      </c>
      <c r="C37" s="27"/>
      <c r="D37" s="27">
        <f>0.868867924528302*$A$2</f>
        <v>86.886792452830193</v>
      </c>
      <c r="E37" s="27"/>
      <c r="F37" s="27">
        <f>0.866037735849057*$A$2</f>
        <v>86.603773584905696</v>
      </c>
      <c r="G37" s="27"/>
      <c r="H37" s="27">
        <f>0.870754716981132*$A$2</f>
        <v>87.075471698113205</v>
      </c>
      <c r="I37" s="27"/>
      <c r="J37" s="27">
        <f>0.865094339622642*$A$2</f>
        <v>86.509433962264211</v>
      </c>
      <c r="K37" s="27"/>
    </row>
    <row r="38" spans="1:11" x14ac:dyDescent="0.35">
      <c r="A38" s="31"/>
      <c r="B38" s="27">
        <f>0.841509433962264*$A$2</f>
        <v>84.150943396226396</v>
      </c>
      <c r="C38" s="27"/>
      <c r="D38" s="27">
        <f>0.843396226415094*$A$2</f>
        <v>84.339622641509408</v>
      </c>
      <c r="E38" s="27"/>
      <c r="F38" s="27">
        <f>0.839622641509434*$A$2</f>
        <v>83.962264150943398</v>
      </c>
      <c r="G38" s="27"/>
      <c r="H38" s="27">
        <f>0.847169811320755*$A$2</f>
        <v>84.716981132075503</v>
      </c>
      <c r="I38" s="27"/>
      <c r="J38" s="27">
        <f>0.843396226415094*$A$2</f>
        <v>84.339622641509408</v>
      </c>
      <c r="K38" s="27"/>
    </row>
    <row r="39" spans="1:11" x14ac:dyDescent="0.35">
      <c r="A39" s="4" t="s">
        <v>8</v>
      </c>
      <c r="B39" s="28">
        <f>AVERAGE(B29:C38)</f>
        <v>84.442844948695594</v>
      </c>
      <c r="C39" s="28"/>
      <c r="D39" s="28">
        <f>AVERAGE(D29:E38)</f>
        <v>84.357974854622711</v>
      </c>
      <c r="E39" s="28"/>
      <c r="F39" s="28">
        <f>AVERAGE(F29:G38)</f>
        <v>84.216554336421652</v>
      </c>
      <c r="G39" s="28"/>
      <c r="H39" s="28">
        <f>AVERAGE(H29:I38)</f>
        <v>84.556096953746021</v>
      </c>
      <c r="I39" s="28"/>
      <c r="J39" s="28">
        <f>AVERAGE(J29:K38)</f>
        <v>84.310840609606473</v>
      </c>
      <c r="K39" s="30"/>
    </row>
    <row r="40" spans="1:11" x14ac:dyDescent="0.35">
      <c r="A40" s="2">
        <v>100</v>
      </c>
      <c r="B40" s="26" t="s">
        <v>1</v>
      </c>
      <c r="C40" s="26"/>
      <c r="D40" s="26" t="s">
        <v>2</v>
      </c>
      <c r="E40" s="26"/>
      <c r="F40" s="26" t="s">
        <v>3</v>
      </c>
      <c r="G40" s="26"/>
      <c r="H40" s="26" t="s">
        <v>4</v>
      </c>
      <c r="I40" s="26"/>
      <c r="J40" s="26" t="s">
        <v>5</v>
      </c>
      <c r="K40" s="26"/>
    </row>
    <row r="41" spans="1:11" x14ac:dyDescent="0.35">
      <c r="A41" s="2">
        <v>100</v>
      </c>
      <c r="B41" s="3" t="s">
        <v>20</v>
      </c>
      <c r="C41" s="3" t="s">
        <v>39</v>
      </c>
      <c r="D41" s="3" t="s">
        <v>13</v>
      </c>
      <c r="E41" s="3" t="s">
        <v>39</v>
      </c>
      <c r="F41" s="3" t="s">
        <v>20</v>
      </c>
      <c r="G41" s="3" t="s">
        <v>39</v>
      </c>
      <c r="H41" s="3" t="s">
        <v>19</v>
      </c>
      <c r="I41" s="3" t="s">
        <v>39</v>
      </c>
      <c r="J41" s="3" t="s">
        <v>16</v>
      </c>
      <c r="K41" s="3" t="s">
        <v>39</v>
      </c>
    </row>
    <row r="42" spans="1:11" x14ac:dyDescent="0.35">
      <c r="A42" s="31" t="s">
        <v>12</v>
      </c>
      <c r="B42" s="27">
        <f>0.850141376060321*$A$2</f>
        <v>85.014137606032108</v>
      </c>
      <c r="C42" s="27"/>
      <c r="D42" s="27">
        <f>0.851083883129123*$A$2</f>
        <v>85.108388312912297</v>
      </c>
      <c r="E42" s="27"/>
      <c r="F42" s="27">
        <f>0.852026390197927*$A$2</f>
        <v>85.202639019792699</v>
      </c>
      <c r="G42" s="27"/>
      <c r="H42" s="27">
        <f>0.853911404335533*$A$2</f>
        <v>85.391140433553304</v>
      </c>
      <c r="I42" s="27"/>
      <c r="J42" s="27">
        <f>0.847313854853911*$A$2</f>
        <v>84.731385485391101</v>
      </c>
      <c r="K42" s="27"/>
    </row>
    <row r="43" spans="1:11" x14ac:dyDescent="0.35">
      <c r="A43" s="31"/>
      <c r="B43" s="27">
        <f>0.847313854853911*$A$2</f>
        <v>84.731385485391101</v>
      </c>
      <c r="C43" s="27"/>
      <c r="D43" s="27">
        <f>0.845428840716305*$A$2</f>
        <v>84.542884071630496</v>
      </c>
      <c r="E43" s="27"/>
      <c r="F43" s="27">
        <f>0.850141376060321*$A$2</f>
        <v>85.014137606032108</v>
      </c>
      <c r="G43" s="27"/>
      <c r="H43" s="27">
        <f>0.845428840716305*$A$2</f>
        <v>84.542884071630496</v>
      </c>
      <c r="I43" s="27"/>
      <c r="J43" s="27">
        <f>0.843543826578699*$A$2</f>
        <v>84.354382657869891</v>
      </c>
      <c r="K43" s="27"/>
    </row>
    <row r="44" spans="1:11" x14ac:dyDescent="0.35">
      <c r="A44" s="31"/>
      <c r="B44" s="27">
        <f>0.833176248821866*$A$2</f>
        <v>83.317624882186607</v>
      </c>
      <c r="C44" s="27"/>
      <c r="D44" s="27">
        <f>0.834118755890669*$A$2</f>
        <v>83.411875589066895</v>
      </c>
      <c r="E44" s="27"/>
      <c r="F44" s="27">
        <f>0.836003770028275*$A$2</f>
        <v>83.6003770028275</v>
      </c>
      <c r="G44" s="27"/>
      <c r="H44" s="27">
        <f>0.834118755890669*$A$2</f>
        <v>83.411875589066895</v>
      </c>
      <c r="I44" s="27"/>
      <c r="J44" s="27">
        <f>0.838831291234684*$A$2</f>
        <v>83.883129123468407</v>
      </c>
      <c r="K44" s="27"/>
    </row>
    <row r="45" spans="1:11" x14ac:dyDescent="0.35">
      <c r="A45" s="31"/>
      <c r="B45" s="27">
        <f>0.844486333647502*$A$2</f>
        <v>84.448633364750208</v>
      </c>
      <c r="C45" s="27"/>
      <c r="D45" s="27">
        <f>0.84071630537229*$A$2</f>
        <v>84.071630537228998</v>
      </c>
      <c r="E45" s="27"/>
      <c r="F45" s="27">
        <f>0.845428840716305*$A$2</f>
        <v>84.542884071630496</v>
      </c>
      <c r="G45" s="27"/>
      <c r="H45" s="27">
        <f>0.846371347785108*$A$2</f>
        <v>84.637134778510799</v>
      </c>
      <c r="I45" s="27"/>
      <c r="J45" s="27">
        <f>0.848256361922715*$A$2</f>
        <v>84.825636192271503</v>
      </c>
      <c r="K45" s="27"/>
    </row>
    <row r="46" spans="1:11" x14ac:dyDescent="0.35">
      <c r="A46" s="31"/>
      <c r="B46" s="27">
        <f>0.846371347785108*$A$2</f>
        <v>84.637134778510799</v>
      </c>
      <c r="C46" s="27"/>
      <c r="D46" s="27">
        <f>0.856738925541942*$A$2</f>
        <v>85.673892554194197</v>
      </c>
      <c r="E46" s="27"/>
      <c r="F46" s="27">
        <f>0.848256361922715*$A$2</f>
        <v>84.825636192271503</v>
      </c>
      <c r="G46" s="27"/>
      <c r="H46" s="27">
        <f>0.848256361922715*$A$2</f>
        <v>84.825636192271503</v>
      </c>
      <c r="I46" s="27"/>
      <c r="J46" s="27">
        <f>0.850141376060321*$A$2</f>
        <v>85.014137606032108</v>
      </c>
      <c r="K46" s="27"/>
    </row>
    <row r="47" spans="1:11" x14ac:dyDescent="0.35">
      <c r="A47" s="31"/>
      <c r="B47" s="27">
        <f>0.839773798303487*$A$2</f>
        <v>83.977379830348696</v>
      </c>
      <c r="C47" s="27"/>
      <c r="D47" s="27">
        <f>0.839773798303487*$A$2</f>
        <v>83.977379830348696</v>
      </c>
      <c r="E47" s="27"/>
      <c r="F47" s="27">
        <f>0.839773798303487*$A$2</f>
        <v>83.977379830348696</v>
      </c>
      <c r="G47" s="27"/>
      <c r="H47" s="27">
        <f>0.839773798303487*$A$2</f>
        <v>83.977379830348696</v>
      </c>
      <c r="I47" s="27"/>
      <c r="J47" s="27">
        <f>0.846371347785108*$A$2</f>
        <v>84.637134778510799</v>
      </c>
      <c r="K47" s="27"/>
    </row>
    <row r="48" spans="1:11" x14ac:dyDescent="0.35">
      <c r="A48" s="31"/>
      <c r="B48" s="27">
        <f>0.863207547169811*$A$2</f>
        <v>86.320754716981099</v>
      </c>
      <c r="C48" s="27"/>
      <c r="D48" s="27">
        <f>0.856603773584906*$A$2</f>
        <v>85.660377358490607</v>
      </c>
      <c r="E48" s="27"/>
      <c r="F48" s="27">
        <f>0.861320754716981*$A$2</f>
        <v>86.132075471698101</v>
      </c>
      <c r="G48" s="27"/>
      <c r="H48" s="27">
        <f>0.858490566037736*$A$2</f>
        <v>85.849056603773604</v>
      </c>
      <c r="I48" s="27"/>
      <c r="J48" s="27">
        <f>0.860377358490566*$A$2</f>
        <v>86.037735849056602</v>
      </c>
      <c r="K48" s="27"/>
    </row>
    <row r="49" spans="1:11" x14ac:dyDescent="0.35">
      <c r="A49" s="31"/>
      <c r="B49" s="27">
        <f>0.842452830188679*$A$2</f>
        <v>84.245283018867894</v>
      </c>
      <c r="C49" s="27"/>
      <c r="D49" s="27">
        <f>0.844339622641509*$A$2</f>
        <v>84.433962264150892</v>
      </c>
      <c r="E49" s="27"/>
      <c r="F49" s="27">
        <f>0.84622641509434*$A$2</f>
        <v>84.622641509434004</v>
      </c>
      <c r="G49" s="27"/>
      <c r="H49" s="27">
        <f>0.843396226415094*$A$2</f>
        <v>84.339622641509408</v>
      </c>
      <c r="I49" s="27"/>
      <c r="J49" s="27">
        <f>0.85*$A$2</f>
        <v>85</v>
      </c>
      <c r="K49" s="27"/>
    </row>
    <row r="50" spans="1:11" x14ac:dyDescent="0.35">
      <c r="A50" s="31"/>
      <c r="B50" s="27">
        <f>0.839622641509434*$A$2</f>
        <v>83.962264150943398</v>
      </c>
      <c r="C50" s="27"/>
      <c r="D50" s="27">
        <f>0.839622641509434*$A$2</f>
        <v>83.962264150943398</v>
      </c>
      <c r="E50" s="27"/>
      <c r="F50" s="27">
        <f>0.841509433962264*$A$2</f>
        <v>84.150943396226396</v>
      </c>
      <c r="G50" s="27"/>
      <c r="H50" s="27">
        <f>0.844339622641509*$A$2</f>
        <v>84.433962264150892</v>
      </c>
      <c r="I50" s="27"/>
      <c r="J50" s="27">
        <f>0.841509433962264*$A$2</f>
        <v>84.150943396226396</v>
      </c>
      <c r="K50" s="27"/>
    </row>
    <row r="51" spans="1:11" x14ac:dyDescent="0.35">
      <c r="A51" s="31"/>
      <c r="B51" s="27">
        <f>0.85188679245283*$A$2</f>
        <v>85.188679245283012</v>
      </c>
      <c r="C51" s="27"/>
      <c r="D51" s="27">
        <f>0.84811320754717*$A$2</f>
        <v>84.811320754717002</v>
      </c>
      <c r="E51" s="27"/>
      <c r="F51" s="27">
        <f>0.850943396226415*$A$2</f>
        <v>85.094339622641499</v>
      </c>
      <c r="G51" s="27"/>
      <c r="H51" s="27">
        <f>0.85188679245283*$A$2</f>
        <v>85.188679245283012</v>
      </c>
      <c r="I51" s="27"/>
      <c r="J51" s="27">
        <f>0.85377358490566*$A$2</f>
        <v>85.377358490565996</v>
      </c>
      <c r="K51" s="27"/>
    </row>
    <row r="52" spans="1:11" x14ac:dyDescent="0.35">
      <c r="A52" s="4" t="s">
        <v>8</v>
      </c>
      <c r="B52" s="28">
        <f>AVERAGE(B42:C51)</f>
        <v>84.584327707929489</v>
      </c>
      <c r="C52" s="28"/>
      <c r="D52" s="28">
        <f>AVERAGE(D42:E51)</f>
        <v>84.565397542368345</v>
      </c>
      <c r="E52" s="28"/>
      <c r="F52" s="28">
        <f>AVERAGE(F42:G51)</f>
        <v>84.716305372290293</v>
      </c>
      <c r="G52" s="28"/>
      <c r="H52" s="28">
        <f>AVERAGE(H42:I51)</f>
        <v>84.659737165009858</v>
      </c>
      <c r="I52" s="28"/>
      <c r="J52" s="28">
        <f>AVERAGE(J42:K51)</f>
        <v>84.801184357939292</v>
      </c>
      <c r="K52" s="30"/>
    </row>
  </sheetData>
  <mergeCells count="249">
    <mergeCell ref="J3:K3"/>
    <mergeCell ref="B4:C4"/>
    <mergeCell ref="D4:E4"/>
    <mergeCell ref="F4:G4"/>
    <mergeCell ref="H4:I4"/>
    <mergeCell ref="J4:K4"/>
    <mergeCell ref="B1:C1"/>
    <mergeCell ref="D1:E1"/>
    <mergeCell ref="F1:G1"/>
    <mergeCell ref="H1:I1"/>
    <mergeCell ref="J1:K1"/>
    <mergeCell ref="B3:C3"/>
    <mergeCell ref="D3:E3"/>
    <mergeCell ref="F3:G3"/>
    <mergeCell ref="H3:I3"/>
    <mergeCell ref="F7:G7"/>
    <mergeCell ref="H7:I7"/>
    <mergeCell ref="J7:K7"/>
    <mergeCell ref="B8:C8"/>
    <mergeCell ref="D8:E8"/>
    <mergeCell ref="F8:G8"/>
    <mergeCell ref="H8:I8"/>
    <mergeCell ref="J8:K8"/>
    <mergeCell ref="B5:C5"/>
    <mergeCell ref="D5:E5"/>
    <mergeCell ref="F5:G5"/>
    <mergeCell ref="H5:I5"/>
    <mergeCell ref="J5:K5"/>
    <mergeCell ref="B6:C6"/>
    <mergeCell ref="D6:E6"/>
    <mergeCell ref="F6:G6"/>
    <mergeCell ref="H6:I6"/>
    <mergeCell ref="J6:K6"/>
    <mergeCell ref="J11:K11"/>
    <mergeCell ref="B12:C12"/>
    <mergeCell ref="D12:E12"/>
    <mergeCell ref="F12:G12"/>
    <mergeCell ref="H12:I12"/>
    <mergeCell ref="J12:K12"/>
    <mergeCell ref="B9:C9"/>
    <mergeCell ref="D9:E9"/>
    <mergeCell ref="F9:G9"/>
    <mergeCell ref="H9:I9"/>
    <mergeCell ref="J9:K9"/>
    <mergeCell ref="B10:C10"/>
    <mergeCell ref="D10:E10"/>
    <mergeCell ref="F10:G10"/>
    <mergeCell ref="H10:I10"/>
    <mergeCell ref="J10:K10"/>
    <mergeCell ref="A16:A25"/>
    <mergeCell ref="B16:C16"/>
    <mergeCell ref="D16:E16"/>
    <mergeCell ref="F16:G16"/>
    <mergeCell ref="H16:I16"/>
    <mergeCell ref="B11:C11"/>
    <mergeCell ref="D11:E11"/>
    <mergeCell ref="F11:G11"/>
    <mergeCell ref="H11:I11"/>
    <mergeCell ref="A3:A12"/>
    <mergeCell ref="B18:C18"/>
    <mergeCell ref="D18:E18"/>
    <mergeCell ref="F18:G18"/>
    <mergeCell ref="H18:I18"/>
    <mergeCell ref="B21:C21"/>
    <mergeCell ref="D21:E21"/>
    <mergeCell ref="F21:G21"/>
    <mergeCell ref="H21:I21"/>
    <mergeCell ref="B24:C24"/>
    <mergeCell ref="D24:E24"/>
    <mergeCell ref="F24:G24"/>
    <mergeCell ref="H24:I24"/>
    <mergeCell ref="B7:C7"/>
    <mergeCell ref="D7:E7"/>
    <mergeCell ref="J16:K16"/>
    <mergeCell ref="B17:C17"/>
    <mergeCell ref="D17:E17"/>
    <mergeCell ref="F17:G17"/>
    <mergeCell ref="H17:I17"/>
    <mergeCell ref="J17:K17"/>
    <mergeCell ref="B13:C13"/>
    <mergeCell ref="D13:E13"/>
    <mergeCell ref="F13:G13"/>
    <mergeCell ref="H13:I13"/>
    <mergeCell ref="J13:K13"/>
    <mergeCell ref="B14:C14"/>
    <mergeCell ref="D14:E14"/>
    <mergeCell ref="F14:G14"/>
    <mergeCell ref="H14:I14"/>
    <mergeCell ref="J14:K14"/>
    <mergeCell ref="J18:K18"/>
    <mergeCell ref="B19:C19"/>
    <mergeCell ref="D19:E19"/>
    <mergeCell ref="F19:G19"/>
    <mergeCell ref="H19:I19"/>
    <mergeCell ref="J19:K19"/>
    <mergeCell ref="B20:C20"/>
    <mergeCell ref="D20:E20"/>
    <mergeCell ref="F20:G20"/>
    <mergeCell ref="H20:I20"/>
    <mergeCell ref="J20:K20"/>
    <mergeCell ref="B29:C29"/>
    <mergeCell ref="B27:C27"/>
    <mergeCell ref="D27:E27"/>
    <mergeCell ref="F27:G27"/>
    <mergeCell ref="J21:K21"/>
    <mergeCell ref="B22:C22"/>
    <mergeCell ref="D22:E22"/>
    <mergeCell ref="F22:G22"/>
    <mergeCell ref="H22:I22"/>
    <mergeCell ref="J22:K22"/>
    <mergeCell ref="B23:C23"/>
    <mergeCell ref="D23:E23"/>
    <mergeCell ref="F23:G23"/>
    <mergeCell ref="H23:I23"/>
    <mergeCell ref="J23:K23"/>
    <mergeCell ref="J36:K36"/>
    <mergeCell ref="J31:K31"/>
    <mergeCell ref="B32:C32"/>
    <mergeCell ref="D32:E32"/>
    <mergeCell ref="F32:G32"/>
    <mergeCell ref="H32:I32"/>
    <mergeCell ref="J32:K32"/>
    <mergeCell ref="J24:K24"/>
    <mergeCell ref="B25:C25"/>
    <mergeCell ref="D25:E25"/>
    <mergeCell ref="F25:G25"/>
    <mergeCell ref="H25:I25"/>
    <mergeCell ref="J25:K25"/>
    <mergeCell ref="J29:K29"/>
    <mergeCell ref="B30:C30"/>
    <mergeCell ref="D30:E30"/>
    <mergeCell ref="F30:G30"/>
    <mergeCell ref="H30:I30"/>
    <mergeCell ref="J30:K30"/>
    <mergeCell ref="B26:C26"/>
    <mergeCell ref="D26:E26"/>
    <mergeCell ref="F26:G26"/>
    <mergeCell ref="H26:I26"/>
    <mergeCell ref="J26:K26"/>
    <mergeCell ref="H31:I31"/>
    <mergeCell ref="D29:E29"/>
    <mergeCell ref="F29:G29"/>
    <mergeCell ref="H29:I29"/>
    <mergeCell ref="J38:K38"/>
    <mergeCell ref="B35:C35"/>
    <mergeCell ref="B37:C37"/>
    <mergeCell ref="D37:E37"/>
    <mergeCell ref="F37:G37"/>
    <mergeCell ref="H37:I37"/>
    <mergeCell ref="J33:K33"/>
    <mergeCell ref="B34:C34"/>
    <mergeCell ref="D34:E34"/>
    <mergeCell ref="F34:G34"/>
    <mergeCell ref="H34:I34"/>
    <mergeCell ref="J34:K34"/>
    <mergeCell ref="D35:E35"/>
    <mergeCell ref="F35:G35"/>
    <mergeCell ref="H35:I35"/>
    <mergeCell ref="J35:K35"/>
    <mergeCell ref="B36:C36"/>
    <mergeCell ref="D36:E36"/>
    <mergeCell ref="F36:G36"/>
    <mergeCell ref="H36:I36"/>
    <mergeCell ref="F49:G49"/>
    <mergeCell ref="H49:I49"/>
    <mergeCell ref="H48:I48"/>
    <mergeCell ref="B49:C49"/>
    <mergeCell ref="A29:A38"/>
    <mergeCell ref="B44:C44"/>
    <mergeCell ref="D44:E44"/>
    <mergeCell ref="F44:G44"/>
    <mergeCell ref="H44:I44"/>
    <mergeCell ref="B33:C33"/>
    <mergeCell ref="D33:E33"/>
    <mergeCell ref="F33:G33"/>
    <mergeCell ref="H33:I33"/>
    <mergeCell ref="B39:C39"/>
    <mergeCell ref="D39:E39"/>
    <mergeCell ref="F39:G39"/>
    <mergeCell ref="H39:I39"/>
    <mergeCell ref="B38:C38"/>
    <mergeCell ref="D38:E38"/>
    <mergeCell ref="F38:G38"/>
    <mergeCell ref="H38:I38"/>
    <mergeCell ref="B31:C31"/>
    <mergeCell ref="D31:E31"/>
    <mergeCell ref="F31:G31"/>
    <mergeCell ref="J39:K39"/>
    <mergeCell ref="J46:K46"/>
    <mergeCell ref="J42:K42"/>
    <mergeCell ref="J43:K43"/>
    <mergeCell ref="J48:K48"/>
    <mergeCell ref="J37:K37"/>
    <mergeCell ref="A42:A51"/>
    <mergeCell ref="B42:C42"/>
    <mergeCell ref="D42:E42"/>
    <mergeCell ref="F42:G42"/>
    <mergeCell ref="H42:I42"/>
    <mergeCell ref="B47:C47"/>
    <mergeCell ref="D47:E47"/>
    <mergeCell ref="F47:G47"/>
    <mergeCell ref="H47:I47"/>
    <mergeCell ref="D48:E48"/>
    <mergeCell ref="F48:G48"/>
    <mergeCell ref="F46:G46"/>
    <mergeCell ref="H46:I46"/>
    <mergeCell ref="B43:C43"/>
    <mergeCell ref="D43:E43"/>
    <mergeCell ref="F43:G43"/>
    <mergeCell ref="H43:I43"/>
    <mergeCell ref="D49:E49"/>
    <mergeCell ref="D40:E40"/>
    <mergeCell ref="F40:G40"/>
    <mergeCell ref="H40:I40"/>
    <mergeCell ref="J40:K40"/>
    <mergeCell ref="J47:K47"/>
    <mergeCell ref="B48:C48"/>
    <mergeCell ref="J44:K44"/>
    <mergeCell ref="B45:C45"/>
    <mergeCell ref="D45:E45"/>
    <mergeCell ref="F45:G45"/>
    <mergeCell ref="H45:I45"/>
    <mergeCell ref="J45:K45"/>
    <mergeCell ref="B46:C46"/>
    <mergeCell ref="D46:E46"/>
    <mergeCell ref="M1:R1"/>
    <mergeCell ref="M3:M7"/>
    <mergeCell ref="P3:P7"/>
    <mergeCell ref="M9:M13"/>
    <mergeCell ref="P9:P13"/>
    <mergeCell ref="B52:C52"/>
    <mergeCell ref="D52:E52"/>
    <mergeCell ref="F52:G52"/>
    <mergeCell ref="H52:I52"/>
    <mergeCell ref="J52:K52"/>
    <mergeCell ref="B50:C50"/>
    <mergeCell ref="D50:E50"/>
    <mergeCell ref="F50:G50"/>
    <mergeCell ref="H50:I50"/>
    <mergeCell ref="J50:K50"/>
    <mergeCell ref="B51:C51"/>
    <mergeCell ref="D51:E51"/>
    <mergeCell ref="F51:G51"/>
    <mergeCell ref="H51:I51"/>
    <mergeCell ref="J51:K51"/>
    <mergeCell ref="J49:K49"/>
    <mergeCell ref="H27:I27"/>
    <mergeCell ref="J27:K27"/>
    <mergeCell ref="B40:C40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7308E-E9C1-4043-9E4B-8864647610B4}">
  <dimension ref="A1:R52"/>
  <sheetViews>
    <sheetView workbookViewId="0">
      <selection activeCell="L20" sqref="L20"/>
    </sheetView>
  </sheetViews>
  <sheetFormatPr defaultRowHeight="14.5" x14ac:dyDescent="0.35"/>
  <sheetData>
    <row r="1" spans="1:18" x14ac:dyDescent="0.35">
      <c r="A1" s="2">
        <v>100</v>
      </c>
      <c r="B1" s="26" t="s">
        <v>1</v>
      </c>
      <c r="C1" s="26"/>
      <c r="D1" s="26" t="s">
        <v>2</v>
      </c>
      <c r="E1" s="26"/>
      <c r="F1" s="26" t="s">
        <v>3</v>
      </c>
      <c r="G1" s="26"/>
      <c r="H1" s="26" t="s">
        <v>4</v>
      </c>
      <c r="I1" s="26"/>
      <c r="J1" s="26" t="s">
        <v>5</v>
      </c>
      <c r="K1" s="26"/>
      <c r="M1" s="21" t="s">
        <v>25</v>
      </c>
      <c r="N1" s="21"/>
      <c r="O1" s="21"/>
      <c r="P1" s="21"/>
      <c r="Q1" s="21"/>
      <c r="R1" s="21"/>
    </row>
    <row r="2" spans="1:18" x14ac:dyDescent="0.35">
      <c r="A2" s="2">
        <v>100</v>
      </c>
      <c r="B2" s="3" t="s">
        <v>6</v>
      </c>
      <c r="C2" s="3" t="s">
        <v>7</v>
      </c>
      <c r="D2" s="3" t="s">
        <v>6</v>
      </c>
      <c r="E2" s="3" t="s">
        <v>18</v>
      </c>
      <c r="F2" s="3" t="s">
        <v>6</v>
      </c>
      <c r="G2" s="3" t="s">
        <v>7</v>
      </c>
      <c r="H2" s="3" t="s">
        <v>6</v>
      </c>
      <c r="I2" s="3" t="s">
        <v>7</v>
      </c>
      <c r="J2" s="3" t="s">
        <v>6</v>
      </c>
      <c r="K2" s="3" t="s">
        <v>7</v>
      </c>
      <c r="M2" s="13" t="s">
        <v>30</v>
      </c>
      <c r="N2" s="13" t="s">
        <v>26</v>
      </c>
      <c r="O2" s="13" t="s">
        <v>27</v>
      </c>
      <c r="P2" s="13" t="s">
        <v>30</v>
      </c>
      <c r="Q2" s="13" t="s">
        <v>26</v>
      </c>
      <c r="R2" s="13" t="s">
        <v>27</v>
      </c>
    </row>
    <row r="3" spans="1:18" x14ac:dyDescent="0.35">
      <c r="A3" s="31" t="s">
        <v>0</v>
      </c>
      <c r="B3" s="27">
        <f>0.742268041237113*$A$2</f>
        <v>74.226804123711304</v>
      </c>
      <c r="C3" s="27"/>
      <c r="D3" s="27">
        <f>0.74601686972821*$A$2</f>
        <v>74.601686972821</v>
      </c>
      <c r="E3" s="27"/>
      <c r="F3" s="27">
        <f>1*$A$2</f>
        <v>100</v>
      </c>
      <c r="G3" s="27"/>
      <c r="H3" s="27">
        <f>1*$A$2</f>
        <v>100</v>
      </c>
      <c r="I3" s="27"/>
      <c r="J3" s="27">
        <f>1*$A$2</f>
        <v>100</v>
      </c>
      <c r="K3" s="27"/>
      <c r="M3" s="22" t="s">
        <v>0</v>
      </c>
      <c r="N3" s="14"/>
      <c r="O3" s="14"/>
      <c r="P3" s="23" t="s">
        <v>9</v>
      </c>
      <c r="Q3" s="6"/>
      <c r="R3" s="7"/>
    </row>
    <row r="4" spans="1:18" x14ac:dyDescent="0.35">
      <c r="A4" s="31"/>
      <c r="B4" s="27">
        <f>0.751640112464855*$A$2</f>
        <v>75.164011246485501</v>
      </c>
      <c r="C4" s="27"/>
      <c r="D4" s="27">
        <f>0.765698219306467*$A$2</f>
        <v>76.569821930646697</v>
      </c>
      <c r="E4" s="27"/>
      <c r="F4" s="27">
        <f t="shared" ref="F4:J12" si="0">1*$A$2</f>
        <v>100</v>
      </c>
      <c r="G4" s="27"/>
      <c r="H4" s="27">
        <f t="shared" si="0"/>
        <v>100</v>
      </c>
      <c r="I4" s="27"/>
      <c r="J4" s="27">
        <f t="shared" si="0"/>
        <v>100</v>
      </c>
      <c r="K4" s="27"/>
      <c r="M4" s="22"/>
      <c r="N4" s="6"/>
      <c r="O4" s="6"/>
      <c r="P4" s="23"/>
      <c r="Q4" s="6"/>
      <c r="R4" s="7"/>
    </row>
    <row r="5" spans="1:18" x14ac:dyDescent="0.35">
      <c r="A5" s="31"/>
      <c r="B5" s="27">
        <f>0.770168855534709*$A$2</f>
        <v>77.0168855534709</v>
      </c>
      <c r="C5" s="27"/>
      <c r="D5" s="27">
        <f>0.774859287054409*$A$2</f>
        <v>77.485928705440898</v>
      </c>
      <c r="E5" s="27"/>
      <c r="F5" s="27">
        <f t="shared" si="0"/>
        <v>100</v>
      </c>
      <c r="G5" s="27"/>
      <c r="H5" s="27">
        <f t="shared" si="0"/>
        <v>100</v>
      </c>
      <c r="I5" s="27"/>
      <c r="J5" s="27">
        <f t="shared" si="0"/>
        <v>100</v>
      </c>
      <c r="K5" s="27"/>
      <c r="M5" s="22"/>
      <c r="N5" s="6"/>
      <c r="O5" s="6"/>
      <c r="P5" s="23"/>
      <c r="Q5" s="6"/>
      <c r="R5" s="7"/>
    </row>
    <row r="6" spans="1:18" x14ac:dyDescent="0.35">
      <c r="A6" s="31"/>
      <c r="B6" s="27">
        <f>0.74296435272045*$A$2</f>
        <v>74.296435272045002</v>
      </c>
      <c r="C6" s="27"/>
      <c r="D6" s="27">
        <f>0.74671669793621*$A$2</f>
        <v>74.671669793620993</v>
      </c>
      <c r="E6" s="27"/>
      <c r="F6" s="27">
        <f t="shared" si="0"/>
        <v>100</v>
      </c>
      <c r="G6" s="27"/>
      <c r="H6" s="27">
        <f t="shared" si="0"/>
        <v>100</v>
      </c>
      <c r="I6" s="27"/>
      <c r="J6" s="27">
        <f t="shared" si="0"/>
        <v>100</v>
      </c>
      <c r="K6" s="27"/>
      <c r="M6" s="22"/>
      <c r="N6" s="6"/>
      <c r="O6" s="6"/>
      <c r="P6" s="23"/>
      <c r="Q6" s="6"/>
      <c r="R6" s="7"/>
    </row>
    <row r="7" spans="1:18" x14ac:dyDescent="0.35">
      <c r="A7" s="31"/>
      <c r="B7" s="27">
        <f>0.74202626641651*$A$2</f>
        <v>74.202626641651008</v>
      </c>
      <c r="C7" s="27"/>
      <c r="D7" s="27">
        <f>0.74484052532833*$A$2</f>
        <v>74.484052532833005</v>
      </c>
      <c r="E7" s="27"/>
      <c r="F7" s="27">
        <f t="shared" si="0"/>
        <v>100</v>
      </c>
      <c r="G7" s="27"/>
      <c r="H7" s="27">
        <f t="shared" si="0"/>
        <v>100</v>
      </c>
      <c r="I7" s="27"/>
      <c r="J7" s="27">
        <f t="shared" si="0"/>
        <v>100</v>
      </c>
      <c r="K7" s="27"/>
      <c r="M7" s="22"/>
      <c r="N7" s="6"/>
      <c r="O7" s="6"/>
      <c r="P7" s="23"/>
      <c r="Q7" s="6"/>
      <c r="R7" s="7"/>
    </row>
    <row r="8" spans="1:18" x14ac:dyDescent="0.35">
      <c r="A8" s="31"/>
      <c r="B8" s="27">
        <f>0.767354596622889*$A$2</f>
        <v>76.735459662288889</v>
      </c>
      <c r="C8" s="27"/>
      <c r="D8" s="27">
        <f>0.770168855534709*$A$2</f>
        <v>77.0168855534709</v>
      </c>
      <c r="E8" s="27"/>
      <c r="F8" s="27">
        <f t="shared" si="0"/>
        <v>100</v>
      </c>
      <c r="G8" s="27"/>
      <c r="H8" s="27">
        <f t="shared" si="0"/>
        <v>100</v>
      </c>
      <c r="I8" s="27"/>
      <c r="J8" s="27">
        <f t="shared" si="0"/>
        <v>100</v>
      </c>
      <c r="K8" s="27"/>
      <c r="M8" s="8"/>
      <c r="N8" s="9"/>
      <c r="O8" s="9"/>
      <c r="P8" s="9"/>
      <c r="Q8" s="9"/>
      <c r="R8" s="10"/>
    </row>
    <row r="9" spans="1:18" x14ac:dyDescent="0.35">
      <c r="A9" s="31"/>
      <c r="B9" s="27">
        <f>0.74859287054409*$A$2</f>
        <v>74.859287054408995</v>
      </c>
      <c r="C9" s="27"/>
      <c r="D9" s="27">
        <f>0.75422138836773*$A$2</f>
        <v>75.422138836773001</v>
      </c>
      <c r="E9" s="27"/>
      <c r="F9" s="27">
        <f t="shared" si="0"/>
        <v>100</v>
      </c>
      <c r="G9" s="27"/>
      <c r="H9" s="27">
        <f t="shared" si="0"/>
        <v>100</v>
      </c>
      <c r="I9" s="27"/>
      <c r="J9" s="27">
        <f t="shared" si="0"/>
        <v>100</v>
      </c>
      <c r="K9" s="27"/>
      <c r="M9" s="22" t="s">
        <v>11</v>
      </c>
      <c r="N9" s="6"/>
      <c r="O9" s="6"/>
      <c r="P9" s="23" t="s">
        <v>12</v>
      </c>
      <c r="Q9" s="6"/>
      <c r="R9" s="7"/>
    </row>
    <row r="10" spans="1:18" x14ac:dyDescent="0.35">
      <c r="A10" s="31"/>
      <c r="B10" s="27">
        <f>0.75515947467167*$A$2</f>
        <v>75.515947467166995</v>
      </c>
      <c r="C10" s="27"/>
      <c r="D10" s="27">
        <f>0.75046904315197*$A$2</f>
        <v>75.046904315197011</v>
      </c>
      <c r="E10" s="27"/>
      <c r="F10" s="27">
        <f t="shared" si="0"/>
        <v>100</v>
      </c>
      <c r="G10" s="27"/>
      <c r="H10" s="27">
        <f t="shared" si="0"/>
        <v>100</v>
      </c>
      <c r="I10" s="27"/>
      <c r="J10" s="27">
        <f t="shared" si="0"/>
        <v>100</v>
      </c>
      <c r="K10" s="27"/>
      <c r="M10" s="22"/>
      <c r="N10" s="6"/>
      <c r="O10" s="6"/>
      <c r="P10" s="23"/>
      <c r="Q10" s="6"/>
      <c r="R10" s="7"/>
    </row>
    <row r="11" spans="1:18" x14ac:dyDescent="0.35">
      <c r="A11" s="31"/>
      <c r="B11" s="27">
        <f>0.768292682926829*$A$2</f>
        <v>76.829268292682897</v>
      </c>
      <c r="C11" s="27"/>
      <c r="D11" s="27">
        <f>0.773921200750469*$A$2</f>
        <v>77.392120075046904</v>
      </c>
      <c r="E11" s="27"/>
      <c r="F11" s="27">
        <f t="shared" si="0"/>
        <v>100</v>
      </c>
      <c r="G11" s="27"/>
      <c r="H11" s="27">
        <f t="shared" si="0"/>
        <v>100</v>
      </c>
      <c r="I11" s="27"/>
      <c r="J11" s="27">
        <f t="shared" si="0"/>
        <v>100</v>
      </c>
      <c r="K11" s="27"/>
      <c r="M11" s="22"/>
      <c r="N11" s="6"/>
      <c r="O11" s="6"/>
      <c r="P11" s="23"/>
      <c r="Q11" s="6"/>
      <c r="R11" s="7"/>
    </row>
    <row r="12" spans="1:18" x14ac:dyDescent="0.35">
      <c r="A12" s="31"/>
      <c r="B12" s="27">
        <f>0.75140712945591*$A$2</f>
        <v>75.140712945591005</v>
      </c>
      <c r="C12" s="27"/>
      <c r="D12" s="27">
        <f>0.769230769230769*$A$2</f>
        <v>76.923076923076906</v>
      </c>
      <c r="E12" s="27"/>
      <c r="F12" s="27">
        <f t="shared" si="0"/>
        <v>100</v>
      </c>
      <c r="G12" s="27"/>
      <c r="H12" s="27">
        <f t="shared" si="0"/>
        <v>100</v>
      </c>
      <c r="I12" s="27"/>
      <c r="J12" s="27">
        <f t="shared" si="0"/>
        <v>100</v>
      </c>
      <c r="K12" s="27"/>
      <c r="M12" s="22"/>
      <c r="N12" s="6"/>
      <c r="O12" s="6"/>
      <c r="P12" s="23"/>
      <c r="Q12" s="6"/>
      <c r="R12" s="7"/>
    </row>
    <row r="13" spans="1:18" ht="15" thickBot="1" x14ac:dyDescent="0.4">
      <c r="A13" s="4" t="s">
        <v>8</v>
      </c>
      <c r="B13" s="28">
        <f>AVERAGE(B3:C12)</f>
        <v>75.398743825950248</v>
      </c>
      <c r="C13" s="28"/>
      <c r="D13" s="28">
        <f>AVERAGE(D3:E12)</f>
        <v>75.961428563892738</v>
      </c>
      <c r="E13" s="28"/>
      <c r="F13" s="34" t="s">
        <v>10</v>
      </c>
      <c r="G13" s="34"/>
      <c r="H13" s="34" t="s">
        <v>10</v>
      </c>
      <c r="I13" s="34"/>
      <c r="J13" s="34" t="s">
        <v>10</v>
      </c>
      <c r="K13" s="35"/>
      <c r="M13" s="24"/>
      <c r="N13" s="11"/>
      <c r="O13" s="11"/>
      <c r="P13" s="25"/>
      <c r="Q13" s="11"/>
      <c r="R13" s="12"/>
    </row>
    <row r="14" spans="1:18" x14ac:dyDescent="0.35">
      <c r="A14" s="2">
        <v>100</v>
      </c>
      <c r="B14" s="26" t="s">
        <v>1</v>
      </c>
      <c r="C14" s="26"/>
      <c r="D14" s="26" t="s">
        <v>2</v>
      </c>
      <c r="E14" s="26"/>
      <c r="F14" s="26" t="s">
        <v>3</v>
      </c>
      <c r="G14" s="26"/>
      <c r="H14" s="26" t="s">
        <v>4</v>
      </c>
      <c r="I14" s="26"/>
      <c r="J14" s="26" t="s">
        <v>5</v>
      </c>
      <c r="K14" s="26"/>
    </row>
    <row r="15" spans="1:18" x14ac:dyDescent="0.35">
      <c r="A15" s="2">
        <v>100</v>
      </c>
      <c r="B15" s="3" t="s">
        <v>6</v>
      </c>
      <c r="C15" s="3" t="s">
        <v>7</v>
      </c>
      <c r="D15" s="3" t="s">
        <v>13</v>
      </c>
      <c r="E15" s="3" t="s">
        <v>7</v>
      </c>
      <c r="F15" s="3" t="s">
        <v>6</v>
      </c>
      <c r="G15" s="3" t="s">
        <v>7</v>
      </c>
      <c r="H15" s="3" t="s">
        <v>6</v>
      </c>
      <c r="I15" s="3" t="s">
        <v>7</v>
      </c>
      <c r="J15" s="3" t="s">
        <v>6</v>
      </c>
      <c r="K15" s="3" t="s">
        <v>7</v>
      </c>
    </row>
    <row r="16" spans="1:18" x14ac:dyDescent="0.35">
      <c r="A16" s="31" t="s">
        <v>9</v>
      </c>
      <c r="B16" s="27">
        <f>1*$A$2</f>
        <v>100</v>
      </c>
      <c r="C16" s="27"/>
      <c r="D16" s="27">
        <f>1*$A$2</f>
        <v>100</v>
      </c>
      <c r="E16" s="27"/>
      <c r="F16" s="27">
        <f>1*$A$2</f>
        <v>100</v>
      </c>
      <c r="G16" s="27"/>
      <c r="H16" s="27">
        <f>1*$A$2</f>
        <v>100</v>
      </c>
      <c r="I16" s="27"/>
      <c r="J16" s="27">
        <f>1*$A$2</f>
        <v>100</v>
      </c>
      <c r="K16" s="27"/>
    </row>
    <row r="17" spans="1:11" x14ac:dyDescent="0.35">
      <c r="A17" s="31"/>
      <c r="B17" s="27">
        <f t="shared" ref="B17:B25" si="1">1*$A$2</f>
        <v>100</v>
      </c>
      <c r="C17" s="27"/>
      <c r="D17" s="27">
        <f t="shared" ref="D17:D25" si="2">1*$A$2</f>
        <v>100</v>
      </c>
      <c r="E17" s="27"/>
      <c r="F17" s="27">
        <f t="shared" ref="F17:F25" si="3">1*$A$2</f>
        <v>100</v>
      </c>
      <c r="G17" s="27"/>
      <c r="H17" s="27">
        <f t="shared" ref="H17:H25" si="4">1*$A$2</f>
        <v>100</v>
      </c>
      <c r="I17" s="27"/>
      <c r="J17" s="27">
        <f t="shared" ref="J17:J25" si="5">1*$A$2</f>
        <v>100</v>
      </c>
      <c r="K17" s="27"/>
    </row>
    <row r="18" spans="1:11" x14ac:dyDescent="0.35">
      <c r="A18" s="31"/>
      <c r="B18" s="27">
        <f t="shared" si="1"/>
        <v>100</v>
      </c>
      <c r="C18" s="27"/>
      <c r="D18" s="27">
        <f t="shared" si="2"/>
        <v>100</v>
      </c>
      <c r="E18" s="27"/>
      <c r="F18" s="27">
        <f>1*$A$2</f>
        <v>100</v>
      </c>
      <c r="G18" s="27"/>
      <c r="H18" s="27">
        <f t="shared" si="4"/>
        <v>100</v>
      </c>
      <c r="I18" s="27"/>
      <c r="J18" s="27">
        <f t="shared" si="5"/>
        <v>100</v>
      </c>
      <c r="K18" s="27"/>
    </row>
    <row r="19" spans="1:11" x14ac:dyDescent="0.35">
      <c r="A19" s="31"/>
      <c r="B19" s="27">
        <f t="shared" si="1"/>
        <v>100</v>
      </c>
      <c r="C19" s="27"/>
      <c r="D19" s="27">
        <f t="shared" si="2"/>
        <v>100</v>
      </c>
      <c r="E19" s="27"/>
      <c r="F19" s="27">
        <f t="shared" si="3"/>
        <v>100</v>
      </c>
      <c r="G19" s="27"/>
      <c r="H19" s="27">
        <f t="shared" si="4"/>
        <v>100</v>
      </c>
      <c r="I19" s="27"/>
      <c r="J19" s="27">
        <f t="shared" si="5"/>
        <v>100</v>
      </c>
      <c r="K19" s="27"/>
    </row>
    <row r="20" spans="1:11" x14ac:dyDescent="0.35">
      <c r="A20" s="31"/>
      <c r="B20" s="27">
        <f t="shared" si="1"/>
        <v>100</v>
      </c>
      <c r="C20" s="27"/>
      <c r="D20" s="27">
        <f t="shared" si="2"/>
        <v>100</v>
      </c>
      <c r="E20" s="27"/>
      <c r="F20" s="27">
        <f t="shared" si="3"/>
        <v>100</v>
      </c>
      <c r="G20" s="27"/>
      <c r="H20" s="27">
        <f t="shared" si="4"/>
        <v>100</v>
      </c>
      <c r="I20" s="27"/>
      <c r="J20" s="27">
        <f t="shared" si="5"/>
        <v>100</v>
      </c>
      <c r="K20" s="27"/>
    </row>
    <row r="21" spans="1:11" x14ac:dyDescent="0.35">
      <c r="A21" s="31"/>
      <c r="B21" s="27">
        <f t="shared" si="1"/>
        <v>100</v>
      </c>
      <c r="C21" s="27"/>
      <c r="D21" s="27">
        <f t="shared" si="2"/>
        <v>100</v>
      </c>
      <c r="E21" s="27"/>
      <c r="F21" s="27">
        <f t="shared" si="3"/>
        <v>100</v>
      </c>
      <c r="G21" s="27"/>
      <c r="H21" s="27">
        <f t="shared" si="4"/>
        <v>100</v>
      </c>
      <c r="I21" s="27"/>
      <c r="J21" s="27">
        <f t="shared" si="5"/>
        <v>100</v>
      </c>
      <c r="K21" s="27"/>
    </row>
    <row r="22" spans="1:11" x14ac:dyDescent="0.35">
      <c r="A22" s="31"/>
      <c r="B22" s="27">
        <f t="shared" si="1"/>
        <v>100</v>
      </c>
      <c r="C22" s="27"/>
      <c r="D22" s="27">
        <f t="shared" si="2"/>
        <v>100</v>
      </c>
      <c r="E22" s="27"/>
      <c r="F22" s="27">
        <f t="shared" si="3"/>
        <v>100</v>
      </c>
      <c r="G22" s="27"/>
      <c r="H22" s="27">
        <f t="shared" si="4"/>
        <v>100</v>
      </c>
      <c r="I22" s="27"/>
      <c r="J22" s="27">
        <f t="shared" si="5"/>
        <v>100</v>
      </c>
      <c r="K22" s="27"/>
    </row>
    <row r="23" spans="1:11" x14ac:dyDescent="0.35">
      <c r="A23" s="31"/>
      <c r="B23" s="27">
        <f t="shared" si="1"/>
        <v>100</v>
      </c>
      <c r="C23" s="27"/>
      <c r="D23" s="27">
        <f t="shared" si="2"/>
        <v>100</v>
      </c>
      <c r="E23" s="27"/>
      <c r="F23" s="27">
        <f t="shared" si="3"/>
        <v>100</v>
      </c>
      <c r="G23" s="27"/>
      <c r="H23" s="27">
        <f t="shared" si="4"/>
        <v>100</v>
      </c>
      <c r="I23" s="27"/>
      <c r="J23" s="27">
        <f t="shared" si="5"/>
        <v>100</v>
      </c>
      <c r="K23" s="27"/>
    </row>
    <row r="24" spans="1:11" x14ac:dyDescent="0.35">
      <c r="A24" s="31"/>
      <c r="B24" s="27">
        <f t="shared" si="1"/>
        <v>100</v>
      </c>
      <c r="C24" s="27"/>
      <c r="D24" s="27">
        <f t="shared" si="2"/>
        <v>100</v>
      </c>
      <c r="E24" s="27"/>
      <c r="F24" s="27">
        <f t="shared" si="3"/>
        <v>100</v>
      </c>
      <c r="G24" s="27"/>
      <c r="H24" s="27">
        <f t="shared" si="4"/>
        <v>100</v>
      </c>
      <c r="I24" s="27"/>
      <c r="J24" s="27">
        <f t="shared" si="5"/>
        <v>100</v>
      </c>
      <c r="K24" s="27"/>
    </row>
    <row r="25" spans="1:11" x14ac:dyDescent="0.35">
      <c r="A25" s="31"/>
      <c r="B25" s="27">
        <f t="shared" si="1"/>
        <v>100</v>
      </c>
      <c r="C25" s="27"/>
      <c r="D25" s="27">
        <f t="shared" si="2"/>
        <v>100</v>
      </c>
      <c r="E25" s="27"/>
      <c r="F25" s="27">
        <f t="shared" si="3"/>
        <v>100</v>
      </c>
      <c r="G25" s="27"/>
      <c r="H25" s="27">
        <f t="shared" si="4"/>
        <v>100</v>
      </c>
      <c r="I25" s="27"/>
      <c r="J25" s="27">
        <f t="shared" si="5"/>
        <v>100</v>
      </c>
      <c r="K25" s="27"/>
    </row>
    <row r="26" spans="1:11" x14ac:dyDescent="0.35">
      <c r="A26" s="4" t="s">
        <v>8</v>
      </c>
      <c r="B26" s="28" t="s">
        <v>10</v>
      </c>
      <c r="C26" s="28"/>
      <c r="D26" s="34" t="s">
        <v>10</v>
      </c>
      <c r="E26" s="34"/>
      <c r="F26" s="34" t="s">
        <v>10</v>
      </c>
      <c r="G26" s="34"/>
      <c r="H26" s="34" t="s">
        <v>10</v>
      </c>
      <c r="I26" s="34"/>
      <c r="J26" s="34" t="s">
        <v>10</v>
      </c>
      <c r="K26" s="35"/>
    </row>
    <row r="27" spans="1:11" x14ac:dyDescent="0.35">
      <c r="A27" s="2">
        <v>100</v>
      </c>
      <c r="B27" s="26" t="s">
        <v>1</v>
      </c>
      <c r="C27" s="26"/>
      <c r="D27" s="26" t="s">
        <v>2</v>
      </c>
      <c r="E27" s="26"/>
      <c r="F27" s="26" t="s">
        <v>3</v>
      </c>
      <c r="G27" s="26"/>
      <c r="H27" s="26" t="s">
        <v>4</v>
      </c>
      <c r="I27" s="26"/>
      <c r="J27" s="26" t="s">
        <v>5</v>
      </c>
      <c r="K27" s="26"/>
    </row>
    <row r="28" spans="1:11" x14ac:dyDescent="0.35">
      <c r="A28" s="2">
        <v>100</v>
      </c>
      <c r="B28" s="3" t="s">
        <v>6</v>
      </c>
      <c r="C28" s="3" t="s">
        <v>7</v>
      </c>
      <c r="D28" s="3" t="s">
        <v>13</v>
      </c>
      <c r="E28" s="3" t="s">
        <v>7</v>
      </c>
      <c r="F28" s="3" t="s">
        <v>6</v>
      </c>
      <c r="G28" s="3" t="s">
        <v>7</v>
      </c>
      <c r="H28" s="3" t="s">
        <v>13</v>
      </c>
      <c r="I28" s="3" t="s">
        <v>33</v>
      </c>
      <c r="J28" s="3" t="s">
        <v>13</v>
      </c>
      <c r="K28" s="3" t="s">
        <v>33</v>
      </c>
    </row>
    <row r="29" spans="1:11" x14ac:dyDescent="0.35">
      <c r="A29" s="31" t="s">
        <v>11</v>
      </c>
      <c r="B29" s="27">
        <f>1*$A$2</f>
        <v>100</v>
      </c>
      <c r="C29" s="27"/>
      <c r="D29" s="27">
        <f>1*$A$2</f>
        <v>100</v>
      </c>
      <c r="E29" s="27"/>
      <c r="F29" s="27">
        <f>1*$A$2</f>
        <v>100</v>
      </c>
      <c r="G29" s="27"/>
      <c r="H29" s="27">
        <f>0.725398313027179*$A$2</f>
        <v>72.5398313027179</v>
      </c>
      <c r="I29" s="27"/>
      <c r="J29" s="27">
        <f>0.717900656044986*$A$2</f>
        <v>71.790065604498594</v>
      </c>
      <c r="K29" s="27"/>
    </row>
    <row r="30" spans="1:11" x14ac:dyDescent="0.35">
      <c r="A30" s="31"/>
      <c r="B30" s="27">
        <f t="shared" ref="B30:B38" si="6">1*$A$2</f>
        <v>100</v>
      </c>
      <c r="C30" s="27"/>
      <c r="D30" s="27">
        <f t="shared" ref="D30:D38" si="7">1*$A$2</f>
        <v>100</v>
      </c>
      <c r="E30" s="27"/>
      <c r="F30" s="27">
        <f t="shared" ref="F30:F38" si="8">1*$A$2</f>
        <v>100</v>
      </c>
      <c r="G30" s="27"/>
      <c r="H30" s="27">
        <f>0.720712277413308*$A$2</f>
        <v>72.071227741330802</v>
      </c>
      <c r="I30" s="27"/>
      <c r="J30" s="27">
        <f>0.726335520149953*$A$2</f>
        <v>72.633552014995288</v>
      </c>
      <c r="K30" s="27"/>
    </row>
    <row r="31" spans="1:11" x14ac:dyDescent="0.35">
      <c r="A31" s="31"/>
      <c r="B31" s="27">
        <f t="shared" si="6"/>
        <v>100</v>
      </c>
      <c r="C31" s="27"/>
      <c r="D31" s="27">
        <f t="shared" si="7"/>
        <v>100</v>
      </c>
      <c r="E31" s="27"/>
      <c r="F31" s="27">
        <f t="shared" si="8"/>
        <v>100</v>
      </c>
      <c r="G31" s="27"/>
      <c r="H31" s="27">
        <f>0.725140712945591*$A$2</f>
        <v>72.514071294559102</v>
      </c>
      <c r="I31" s="27"/>
      <c r="J31" s="27">
        <f>0.724202626641651*$A$2</f>
        <v>72.420262664165108</v>
      </c>
      <c r="K31" s="27"/>
    </row>
    <row r="32" spans="1:11" x14ac:dyDescent="0.35">
      <c r="A32" s="31"/>
      <c r="B32" s="27">
        <f t="shared" si="6"/>
        <v>100</v>
      </c>
      <c r="C32" s="27"/>
      <c r="D32" s="27">
        <f t="shared" si="7"/>
        <v>100</v>
      </c>
      <c r="E32" s="27"/>
      <c r="F32" s="27">
        <f t="shared" si="8"/>
        <v>100</v>
      </c>
      <c r="G32" s="27"/>
      <c r="H32" s="27">
        <f>0.719512195121951*$A$2</f>
        <v>71.951219512195095</v>
      </c>
      <c r="I32" s="27"/>
      <c r="J32" s="27">
        <f>0.723264540337711*$A$2</f>
        <v>72.3264540337711</v>
      </c>
      <c r="K32" s="27"/>
    </row>
    <row r="33" spans="1:11" x14ac:dyDescent="0.35">
      <c r="A33" s="31"/>
      <c r="B33" s="27">
        <f t="shared" si="6"/>
        <v>100</v>
      </c>
      <c r="C33" s="27"/>
      <c r="D33" s="27">
        <f t="shared" si="7"/>
        <v>100</v>
      </c>
      <c r="E33" s="27"/>
      <c r="F33" s="27">
        <f t="shared" si="8"/>
        <v>100</v>
      </c>
      <c r="G33" s="27"/>
      <c r="H33" s="27">
        <f>0.729831144465291*$A$2</f>
        <v>72.9831144465291</v>
      </c>
      <c r="I33" s="27"/>
      <c r="J33" s="27">
        <f>0.729831144465291*$A$2</f>
        <v>72.9831144465291</v>
      </c>
      <c r="K33" s="27"/>
    </row>
    <row r="34" spans="1:11" x14ac:dyDescent="0.35">
      <c r="A34" s="31"/>
      <c r="B34" s="27">
        <f t="shared" si="6"/>
        <v>100</v>
      </c>
      <c r="C34" s="27"/>
      <c r="D34" s="27">
        <f t="shared" si="7"/>
        <v>100</v>
      </c>
      <c r="E34" s="27"/>
      <c r="F34" s="27">
        <f t="shared" si="8"/>
        <v>100</v>
      </c>
      <c r="G34" s="27"/>
      <c r="H34" s="27">
        <f>0.722326454033771*$A$2</f>
        <v>72.232645403377106</v>
      </c>
      <c r="I34" s="27"/>
      <c r="J34" s="27">
        <f>0.717636022514071*$A$2</f>
        <v>71.763602251407093</v>
      </c>
      <c r="K34" s="27"/>
    </row>
    <row r="35" spans="1:11" x14ac:dyDescent="0.35">
      <c r="A35" s="31"/>
      <c r="B35" s="27">
        <f t="shared" si="6"/>
        <v>100</v>
      </c>
      <c r="C35" s="27"/>
      <c r="D35" s="27">
        <f t="shared" si="7"/>
        <v>100</v>
      </c>
      <c r="E35" s="27"/>
      <c r="F35" s="27">
        <f t="shared" si="8"/>
        <v>100</v>
      </c>
      <c r="G35" s="27"/>
      <c r="H35" s="27">
        <f>0.712007504690432*$A$2</f>
        <v>71.2007504690432</v>
      </c>
      <c r="I35" s="27"/>
      <c r="J35" s="27">
        <f>0.710131332082552*$A$2</f>
        <v>71.013133208255198</v>
      </c>
      <c r="K35" s="27"/>
    </row>
    <row r="36" spans="1:11" x14ac:dyDescent="0.35">
      <c r="A36" s="31"/>
      <c r="B36" s="27">
        <f t="shared" si="6"/>
        <v>100</v>
      </c>
      <c r="C36" s="27"/>
      <c r="D36" s="27">
        <f t="shared" si="7"/>
        <v>100</v>
      </c>
      <c r="E36" s="27"/>
      <c r="F36" s="27">
        <f t="shared" si="8"/>
        <v>100</v>
      </c>
      <c r="G36" s="27"/>
      <c r="H36" s="27">
        <f>0.728893058161351*$A$2</f>
        <v>72.889305816135092</v>
      </c>
      <c r="I36" s="27"/>
      <c r="J36" s="27">
        <f>0.73921200750469*$A$2</f>
        <v>73.921200750468998</v>
      </c>
      <c r="K36" s="27"/>
    </row>
    <row r="37" spans="1:11" x14ac:dyDescent="0.35">
      <c r="A37" s="31"/>
      <c r="B37" s="27">
        <f t="shared" si="6"/>
        <v>100</v>
      </c>
      <c r="C37" s="27"/>
      <c r="D37" s="27">
        <f t="shared" si="7"/>
        <v>100</v>
      </c>
      <c r="E37" s="27"/>
      <c r="F37" s="27">
        <f t="shared" si="8"/>
        <v>100</v>
      </c>
      <c r="G37" s="27"/>
      <c r="H37" s="27">
        <f>0.722326454033771*$A$2</f>
        <v>72.232645403377106</v>
      </c>
      <c r="I37" s="27"/>
      <c r="J37" s="27">
        <f>0.728893058161351*$A$2</f>
        <v>72.889305816135092</v>
      </c>
      <c r="K37" s="27"/>
    </row>
    <row r="38" spans="1:11" x14ac:dyDescent="0.35">
      <c r="A38" s="31"/>
      <c r="B38" s="27">
        <f t="shared" si="6"/>
        <v>100</v>
      </c>
      <c r="C38" s="27"/>
      <c r="D38" s="27">
        <f t="shared" si="7"/>
        <v>100</v>
      </c>
      <c r="E38" s="27"/>
      <c r="F38" s="27">
        <f t="shared" si="8"/>
        <v>100</v>
      </c>
      <c r="G38" s="27"/>
      <c r="H38" s="27">
        <f>0.730769230769231*$A$2</f>
        <v>73.076923076923094</v>
      </c>
      <c r="I38" s="27"/>
      <c r="J38" s="27">
        <f>0.718574108818011*$A$2</f>
        <v>71.857410881801101</v>
      </c>
      <c r="K38" s="27"/>
    </row>
    <row r="39" spans="1:11" x14ac:dyDescent="0.35">
      <c r="A39" s="4" t="s">
        <v>8</v>
      </c>
      <c r="B39" s="28" t="s">
        <v>10</v>
      </c>
      <c r="C39" s="28"/>
      <c r="D39" s="34" t="s">
        <v>10</v>
      </c>
      <c r="E39" s="34"/>
      <c r="F39" s="34" t="s">
        <v>10</v>
      </c>
      <c r="G39" s="34"/>
      <c r="H39" s="34">
        <f>AVERAGE(H29:I38)</f>
        <v>72.36917344661876</v>
      </c>
      <c r="I39" s="34"/>
      <c r="J39" s="34">
        <f>AVERAGE(J29:K38)</f>
        <v>72.359810167202667</v>
      </c>
      <c r="K39" s="35"/>
    </row>
    <row r="40" spans="1:11" x14ac:dyDescent="0.35">
      <c r="A40" s="2">
        <v>100</v>
      </c>
      <c r="B40" s="26" t="s">
        <v>1</v>
      </c>
      <c r="C40" s="26"/>
      <c r="D40" s="26" t="s">
        <v>2</v>
      </c>
      <c r="E40" s="26"/>
      <c r="F40" s="26" t="s">
        <v>3</v>
      </c>
      <c r="G40" s="26"/>
      <c r="H40" s="26" t="s">
        <v>4</v>
      </c>
      <c r="I40" s="26"/>
      <c r="J40" s="26" t="s">
        <v>5</v>
      </c>
      <c r="K40" s="26"/>
    </row>
    <row r="41" spans="1:11" x14ac:dyDescent="0.35">
      <c r="A41" s="2">
        <v>100</v>
      </c>
      <c r="B41" s="3" t="s">
        <v>6</v>
      </c>
      <c r="C41" s="3" t="s">
        <v>7</v>
      </c>
      <c r="D41" s="3" t="s">
        <v>13</v>
      </c>
      <c r="E41" s="3" t="s">
        <v>7</v>
      </c>
      <c r="F41" s="3" t="s">
        <v>6</v>
      </c>
      <c r="G41" s="3" t="s">
        <v>7</v>
      </c>
      <c r="H41" s="3" t="s">
        <v>6</v>
      </c>
      <c r="I41" s="3" t="s">
        <v>7</v>
      </c>
      <c r="J41" s="3" t="s">
        <v>6</v>
      </c>
      <c r="K41" s="3" t="s">
        <v>7</v>
      </c>
    </row>
    <row r="42" spans="1:11" x14ac:dyDescent="0.35">
      <c r="A42" s="31" t="s">
        <v>12</v>
      </c>
      <c r="B42" s="27">
        <f>1*$A$2</f>
        <v>100</v>
      </c>
      <c r="C42" s="27"/>
      <c r="D42" s="27">
        <f>1*$A$2</f>
        <v>100</v>
      </c>
      <c r="E42" s="27"/>
      <c r="F42" s="27">
        <f>1*$A$2</f>
        <v>100</v>
      </c>
      <c r="G42" s="27"/>
      <c r="H42" s="27">
        <f>1*$A$2</f>
        <v>100</v>
      </c>
      <c r="I42" s="27"/>
      <c r="J42" s="27">
        <f>1*$A$2</f>
        <v>100</v>
      </c>
      <c r="K42" s="27"/>
    </row>
    <row r="43" spans="1:11" x14ac:dyDescent="0.35">
      <c r="A43" s="31"/>
      <c r="B43" s="27">
        <f t="shared" ref="B43:B51" si="9">1*$A$2</f>
        <v>100</v>
      </c>
      <c r="C43" s="27"/>
      <c r="D43" s="27">
        <f t="shared" ref="D43:D51" si="10">1*$A$2</f>
        <v>100</v>
      </c>
      <c r="E43" s="27"/>
      <c r="F43" s="27">
        <f t="shared" ref="F43:F51" si="11">1*$A$2</f>
        <v>100</v>
      </c>
      <c r="G43" s="27"/>
      <c r="H43" s="27">
        <f t="shared" ref="H43:H51" si="12">1*$A$2</f>
        <v>100</v>
      </c>
      <c r="I43" s="27"/>
      <c r="J43" s="27">
        <f t="shared" ref="J43:J51" si="13">1*$A$2</f>
        <v>100</v>
      </c>
      <c r="K43" s="27"/>
    </row>
    <row r="44" spans="1:11" x14ac:dyDescent="0.35">
      <c r="A44" s="31"/>
      <c r="B44" s="27">
        <f t="shared" si="9"/>
        <v>100</v>
      </c>
      <c r="C44" s="27"/>
      <c r="D44" s="27">
        <f t="shared" si="10"/>
        <v>100</v>
      </c>
      <c r="E44" s="27"/>
      <c r="F44" s="27">
        <f t="shared" si="11"/>
        <v>100</v>
      </c>
      <c r="G44" s="27"/>
      <c r="H44" s="27">
        <f t="shared" si="12"/>
        <v>100</v>
      </c>
      <c r="I44" s="27"/>
      <c r="J44" s="27">
        <f t="shared" si="13"/>
        <v>100</v>
      </c>
      <c r="K44" s="27"/>
    </row>
    <row r="45" spans="1:11" x14ac:dyDescent="0.35">
      <c r="A45" s="31"/>
      <c r="B45" s="27">
        <f t="shared" si="9"/>
        <v>100</v>
      </c>
      <c r="C45" s="27"/>
      <c r="D45" s="27">
        <f t="shared" si="10"/>
        <v>100</v>
      </c>
      <c r="E45" s="27"/>
      <c r="F45" s="27">
        <f t="shared" si="11"/>
        <v>100</v>
      </c>
      <c r="G45" s="27"/>
      <c r="H45" s="27">
        <f t="shared" si="12"/>
        <v>100</v>
      </c>
      <c r="I45" s="27"/>
      <c r="J45" s="27">
        <f t="shared" si="13"/>
        <v>100</v>
      </c>
      <c r="K45" s="27"/>
    </row>
    <row r="46" spans="1:11" x14ac:dyDescent="0.35">
      <c r="A46" s="31"/>
      <c r="B46" s="27">
        <f t="shared" si="9"/>
        <v>100</v>
      </c>
      <c r="C46" s="27"/>
      <c r="D46" s="27">
        <f t="shared" si="10"/>
        <v>100</v>
      </c>
      <c r="E46" s="27"/>
      <c r="F46" s="27">
        <f t="shared" si="11"/>
        <v>100</v>
      </c>
      <c r="G46" s="27"/>
      <c r="H46" s="27">
        <f t="shared" si="12"/>
        <v>100</v>
      </c>
      <c r="I46" s="27"/>
      <c r="J46" s="27">
        <f t="shared" si="13"/>
        <v>100</v>
      </c>
      <c r="K46" s="27"/>
    </row>
    <row r="47" spans="1:11" x14ac:dyDescent="0.35">
      <c r="A47" s="31"/>
      <c r="B47" s="27">
        <f t="shared" si="9"/>
        <v>100</v>
      </c>
      <c r="C47" s="27"/>
      <c r="D47" s="27">
        <f t="shared" si="10"/>
        <v>100</v>
      </c>
      <c r="E47" s="27"/>
      <c r="F47" s="27">
        <f t="shared" si="11"/>
        <v>100</v>
      </c>
      <c r="G47" s="27"/>
      <c r="H47" s="27">
        <f t="shared" si="12"/>
        <v>100</v>
      </c>
      <c r="I47" s="27"/>
      <c r="J47" s="27">
        <f t="shared" si="13"/>
        <v>100</v>
      </c>
      <c r="K47" s="27"/>
    </row>
    <row r="48" spans="1:11" x14ac:dyDescent="0.35">
      <c r="A48" s="31"/>
      <c r="B48" s="27">
        <f t="shared" si="9"/>
        <v>100</v>
      </c>
      <c r="C48" s="27"/>
      <c r="D48" s="27">
        <f t="shared" si="10"/>
        <v>100</v>
      </c>
      <c r="E48" s="27"/>
      <c r="F48" s="27">
        <f t="shared" si="11"/>
        <v>100</v>
      </c>
      <c r="G48" s="27"/>
      <c r="H48" s="27">
        <f t="shared" si="12"/>
        <v>100</v>
      </c>
      <c r="I48" s="27"/>
      <c r="J48" s="27">
        <f t="shared" si="13"/>
        <v>100</v>
      </c>
      <c r="K48" s="27"/>
    </row>
    <row r="49" spans="1:11" x14ac:dyDescent="0.35">
      <c r="A49" s="31"/>
      <c r="B49" s="27">
        <f t="shared" si="9"/>
        <v>100</v>
      </c>
      <c r="C49" s="27"/>
      <c r="D49" s="27">
        <f t="shared" si="10"/>
        <v>100</v>
      </c>
      <c r="E49" s="27"/>
      <c r="F49" s="27">
        <f t="shared" si="11"/>
        <v>100</v>
      </c>
      <c r="G49" s="27"/>
      <c r="H49" s="27">
        <f t="shared" si="12"/>
        <v>100</v>
      </c>
      <c r="I49" s="27"/>
      <c r="J49" s="27">
        <f t="shared" si="13"/>
        <v>100</v>
      </c>
      <c r="K49" s="27"/>
    </row>
    <row r="50" spans="1:11" x14ac:dyDescent="0.35">
      <c r="A50" s="31"/>
      <c r="B50" s="27">
        <f t="shared" si="9"/>
        <v>100</v>
      </c>
      <c r="C50" s="27"/>
      <c r="D50" s="27">
        <f t="shared" si="10"/>
        <v>100</v>
      </c>
      <c r="E50" s="27"/>
      <c r="F50" s="27">
        <f t="shared" si="11"/>
        <v>100</v>
      </c>
      <c r="G50" s="27"/>
      <c r="H50" s="27">
        <f t="shared" si="12"/>
        <v>100</v>
      </c>
      <c r="I50" s="27"/>
      <c r="J50" s="27">
        <f t="shared" si="13"/>
        <v>100</v>
      </c>
      <c r="K50" s="27"/>
    </row>
    <row r="51" spans="1:11" x14ac:dyDescent="0.35">
      <c r="A51" s="31"/>
      <c r="B51" s="27">
        <f t="shared" si="9"/>
        <v>100</v>
      </c>
      <c r="C51" s="27"/>
      <c r="D51" s="27">
        <f t="shared" si="10"/>
        <v>100</v>
      </c>
      <c r="E51" s="27"/>
      <c r="F51" s="27">
        <f t="shared" si="11"/>
        <v>100</v>
      </c>
      <c r="G51" s="27"/>
      <c r="H51" s="27">
        <f t="shared" si="12"/>
        <v>100</v>
      </c>
      <c r="I51" s="27"/>
      <c r="J51" s="27">
        <f t="shared" si="13"/>
        <v>100</v>
      </c>
      <c r="K51" s="27"/>
    </row>
    <row r="52" spans="1:11" x14ac:dyDescent="0.35">
      <c r="A52" s="4" t="s">
        <v>8</v>
      </c>
      <c r="B52" s="28" t="s">
        <v>10</v>
      </c>
      <c r="C52" s="28"/>
      <c r="D52" s="34" t="s">
        <v>10</v>
      </c>
      <c r="E52" s="34"/>
      <c r="F52" s="34" t="s">
        <v>10</v>
      </c>
      <c r="G52" s="34"/>
      <c r="H52" s="34" t="s">
        <v>10</v>
      </c>
      <c r="I52" s="34"/>
      <c r="J52" s="34" t="s">
        <v>10</v>
      </c>
      <c r="K52" s="35"/>
    </row>
  </sheetData>
  <mergeCells count="249">
    <mergeCell ref="J3:K3"/>
    <mergeCell ref="B4:C4"/>
    <mergeCell ref="D4:E4"/>
    <mergeCell ref="F4:G4"/>
    <mergeCell ref="H4:I4"/>
    <mergeCell ref="J4:K4"/>
    <mergeCell ref="B1:C1"/>
    <mergeCell ref="D1:E1"/>
    <mergeCell ref="F1:G1"/>
    <mergeCell ref="H1:I1"/>
    <mergeCell ref="J1:K1"/>
    <mergeCell ref="B3:C3"/>
    <mergeCell ref="D3:E3"/>
    <mergeCell ref="F3:G3"/>
    <mergeCell ref="H3:I3"/>
    <mergeCell ref="J7:K7"/>
    <mergeCell ref="B8:C8"/>
    <mergeCell ref="D8:E8"/>
    <mergeCell ref="F8:G8"/>
    <mergeCell ref="H8:I8"/>
    <mergeCell ref="J8:K8"/>
    <mergeCell ref="B5:C5"/>
    <mergeCell ref="D5:E5"/>
    <mergeCell ref="F5:G5"/>
    <mergeCell ref="H5:I5"/>
    <mergeCell ref="J5:K5"/>
    <mergeCell ref="B6:C6"/>
    <mergeCell ref="D6:E6"/>
    <mergeCell ref="F6:G6"/>
    <mergeCell ref="H6:I6"/>
    <mergeCell ref="J6:K6"/>
    <mergeCell ref="J11:K11"/>
    <mergeCell ref="B12:C12"/>
    <mergeCell ref="D12:E12"/>
    <mergeCell ref="F12:G12"/>
    <mergeCell ref="H12:I12"/>
    <mergeCell ref="J12:K12"/>
    <mergeCell ref="B9:C9"/>
    <mergeCell ref="D9:E9"/>
    <mergeCell ref="F9:G9"/>
    <mergeCell ref="H9:I9"/>
    <mergeCell ref="J9:K9"/>
    <mergeCell ref="B10:C10"/>
    <mergeCell ref="D10:E10"/>
    <mergeCell ref="F10:G10"/>
    <mergeCell ref="H10:I10"/>
    <mergeCell ref="J10:K10"/>
    <mergeCell ref="B11:C11"/>
    <mergeCell ref="D11:E11"/>
    <mergeCell ref="F11:G11"/>
    <mergeCell ref="H11:I11"/>
    <mergeCell ref="A3:A12"/>
    <mergeCell ref="B16:C16"/>
    <mergeCell ref="D16:E16"/>
    <mergeCell ref="F16:G16"/>
    <mergeCell ref="H16:I16"/>
    <mergeCell ref="B7:C7"/>
    <mergeCell ref="D7:E7"/>
    <mergeCell ref="F7:G7"/>
    <mergeCell ref="H7:I7"/>
    <mergeCell ref="A16:A25"/>
    <mergeCell ref="F25:G25"/>
    <mergeCell ref="H25:I25"/>
    <mergeCell ref="B22:C22"/>
    <mergeCell ref="D22:E22"/>
    <mergeCell ref="F22:G22"/>
    <mergeCell ref="H22:I22"/>
    <mergeCell ref="J14:K14"/>
    <mergeCell ref="B13:C13"/>
    <mergeCell ref="D13:E13"/>
    <mergeCell ref="F13:G13"/>
    <mergeCell ref="H13:I13"/>
    <mergeCell ref="J13:K13"/>
    <mergeCell ref="B14:C14"/>
    <mergeCell ref="D14:E14"/>
    <mergeCell ref="F14:G14"/>
    <mergeCell ref="H14:I14"/>
    <mergeCell ref="J16:K16"/>
    <mergeCell ref="B17:C17"/>
    <mergeCell ref="D17:E17"/>
    <mergeCell ref="F17:G17"/>
    <mergeCell ref="H17:I17"/>
    <mergeCell ref="J17:K17"/>
    <mergeCell ref="B18:C18"/>
    <mergeCell ref="D18:E18"/>
    <mergeCell ref="F18:G18"/>
    <mergeCell ref="H18:I18"/>
    <mergeCell ref="J18:K18"/>
    <mergeCell ref="J19:K19"/>
    <mergeCell ref="B20:C20"/>
    <mergeCell ref="D20:E20"/>
    <mergeCell ref="F20:G20"/>
    <mergeCell ref="H20:I20"/>
    <mergeCell ref="J20:K20"/>
    <mergeCell ref="B21:C21"/>
    <mergeCell ref="D21:E21"/>
    <mergeCell ref="F21:G21"/>
    <mergeCell ref="H21:I21"/>
    <mergeCell ref="J21:K21"/>
    <mergeCell ref="B19:C19"/>
    <mergeCell ref="D19:E19"/>
    <mergeCell ref="F19:G19"/>
    <mergeCell ref="H19:I19"/>
    <mergeCell ref="B27:C27"/>
    <mergeCell ref="D27:E27"/>
    <mergeCell ref="F27:G27"/>
    <mergeCell ref="H27:I27"/>
    <mergeCell ref="J27:K27"/>
    <mergeCell ref="J22:K22"/>
    <mergeCell ref="B23:C23"/>
    <mergeCell ref="D23:E23"/>
    <mergeCell ref="F23:G23"/>
    <mergeCell ref="H23:I23"/>
    <mergeCell ref="J23:K23"/>
    <mergeCell ref="J25:K25"/>
    <mergeCell ref="B26:C26"/>
    <mergeCell ref="D26:E26"/>
    <mergeCell ref="F26:G26"/>
    <mergeCell ref="H26:I26"/>
    <mergeCell ref="J26:K26"/>
    <mergeCell ref="B24:C24"/>
    <mergeCell ref="D24:E24"/>
    <mergeCell ref="F24:G24"/>
    <mergeCell ref="H24:I24"/>
    <mergeCell ref="J24:K24"/>
    <mergeCell ref="B25:C25"/>
    <mergeCell ref="D25:E25"/>
    <mergeCell ref="A29:A38"/>
    <mergeCell ref="J33:K33"/>
    <mergeCell ref="B34:C34"/>
    <mergeCell ref="D34:E34"/>
    <mergeCell ref="F34:G34"/>
    <mergeCell ref="H34:I34"/>
    <mergeCell ref="J34:K34"/>
    <mergeCell ref="B31:C31"/>
    <mergeCell ref="D31:E31"/>
    <mergeCell ref="F31:G31"/>
    <mergeCell ref="H31:I31"/>
    <mergeCell ref="J31:K31"/>
    <mergeCell ref="B32:C32"/>
    <mergeCell ref="D32:E32"/>
    <mergeCell ref="F32:G32"/>
    <mergeCell ref="H32:I32"/>
    <mergeCell ref="J32:K32"/>
    <mergeCell ref="J29:K29"/>
    <mergeCell ref="B30:C30"/>
    <mergeCell ref="D30:E30"/>
    <mergeCell ref="F30:G30"/>
    <mergeCell ref="H30:I30"/>
    <mergeCell ref="J30:K30"/>
    <mergeCell ref="B33:C33"/>
    <mergeCell ref="D33:E33"/>
    <mergeCell ref="F33:G33"/>
    <mergeCell ref="H33:I33"/>
    <mergeCell ref="B38:C38"/>
    <mergeCell ref="D38:E38"/>
    <mergeCell ref="F38:G38"/>
    <mergeCell ref="H38:I38"/>
    <mergeCell ref="B29:C29"/>
    <mergeCell ref="D29:E29"/>
    <mergeCell ref="F29:G29"/>
    <mergeCell ref="H29:I29"/>
    <mergeCell ref="J36:K36"/>
    <mergeCell ref="B37:C37"/>
    <mergeCell ref="D37:E37"/>
    <mergeCell ref="F37:G37"/>
    <mergeCell ref="H37:I37"/>
    <mergeCell ref="J37:K37"/>
    <mergeCell ref="B35:C35"/>
    <mergeCell ref="D35:E35"/>
    <mergeCell ref="F35:G35"/>
    <mergeCell ref="H35:I35"/>
    <mergeCell ref="J35:K35"/>
    <mergeCell ref="B36:C36"/>
    <mergeCell ref="D36:E36"/>
    <mergeCell ref="F36:G36"/>
    <mergeCell ref="H36:I36"/>
    <mergeCell ref="J38:K38"/>
    <mergeCell ref="B39:C39"/>
    <mergeCell ref="D39:E39"/>
    <mergeCell ref="F39:G39"/>
    <mergeCell ref="H39:I39"/>
    <mergeCell ref="J39:K39"/>
    <mergeCell ref="B40:C40"/>
    <mergeCell ref="D40:E40"/>
    <mergeCell ref="F40:G40"/>
    <mergeCell ref="H40:I40"/>
    <mergeCell ref="J40:K40"/>
    <mergeCell ref="F45:G45"/>
    <mergeCell ref="H45:I45"/>
    <mergeCell ref="J45:K45"/>
    <mergeCell ref="B42:C42"/>
    <mergeCell ref="D42:E42"/>
    <mergeCell ref="F42:G42"/>
    <mergeCell ref="H42:I42"/>
    <mergeCell ref="J42:K42"/>
    <mergeCell ref="B43:C43"/>
    <mergeCell ref="D43:E43"/>
    <mergeCell ref="F43:G43"/>
    <mergeCell ref="H43:I43"/>
    <mergeCell ref="J43:K43"/>
    <mergeCell ref="A42:A51"/>
    <mergeCell ref="B47:C47"/>
    <mergeCell ref="D47:E47"/>
    <mergeCell ref="F47:G47"/>
    <mergeCell ref="H47:I47"/>
    <mergeCell ref="J47:K47"/>
    <mergeCell ref="B48:C48"/>
    <mergeCell ref="D48:E48"/>
    <mergeCell ref="F48:G48"/>
    <mergeCell ref="H48:I48"/>
    <mergeCell ref="J48:K48"/>
    <mergeCell ref="B49:C49"/>
    <mergeCell ref="D49:E49"/>
    <mergeCell ref="F49:G49"/>
    <mergeCell ref="H49:I49"/>
    <mergeCell ref="J49:K49"/>
    <mergeCell ref="B50:C50"/>
    <mergeCell ref="D50:E50"/>
    <mergeCell ref="F50:G50"/>
    <mergeCell ref="H50:I50"/>
    <mergeCell ref="J50:K50"/>
    <mergeCell ref="B51:C51"/>
    <mergeCell ref="D51:E51"/>
    <mergeCell ref="F51:G51"/>
    <mergeCell ref="M1:R1"/>
    <mergeCell ref="M3:M7"/>
    <mergeCell ref="P3:P7"/>
    <mergeCell ref="M9:M13"/>
    <mergeCell ref="P9:P13"/>
    <mergeCell ref="B52:C52"/>
    <mergeCell ref="D52:E52"/>
    <mergeCell ref="F52:G52"/>
    <mergeCell ref="H52:I52"/>
    <mergeCell ref="J52:K52"/>
    <mergeCell ref="B46:C46"/>
    <mergeCell ref="D46:E46"/>
    <mergeCell ref="F46:G46"/>
    <mergeCell ref="H46:I46"/>
    <mergeCell ref="J46:K46"/>
    <mergeCell ref="H51:I51"/>
    <mergeCell ref="J51:K51"/>
    <mergeCell ref="B44:C44"/>
    <mergeCell ref="D44:E44"/>
    <mergeCell ref="F44:G44"/>
    <mergeCell ref="H44:I44"/>
    <mergeCell ref="J44:K44"/>
    <mergeCell ref="B45:C45"/>
    <mergeCell ref="D45:E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23946-E1B7-4CB3-8789-B4FD15B27E1D}">
  <dimension ref="A1:R52"/>
  <sheetViews>
    <sheetView workbookViewId="0">
      <selection activeCell="O15" sqref="O15"/>
    </sheetView>
  </sheetViews>
  <sheetFormatPr defaultRowHeight="14.5" x14ac:dyDescent="0.35"/>
  <cols>
    <col min="14" max="14" width="12.453125" customWidth="1"/>
    <col min="15" max="15" width="11.08984375" customWidth="1"/>
    <col min="17" max="17" width="13.1796875" customWidth="1"/>
    <col min="18" max="18" width="11.1796875" customWidth="1"/>
  </cols>
  <sheetData>
    <row r="1" spans="1:18" x14ac:dyDescent="0.35">
      <c r="A1" s="2">
        <v>100</v>
      </c>
      <c r="B1" s="26" t="s">
        <v>1</v>
      </c>
      <c r="C1" s="26"/>
      <c r="D1" s="26" t="s">
        <v>2</v>
      </c>
      <c r="E1" s="26"/>
      <c r="F1" s="26" t="s">
        <v>3</v>
      </c>
      <c r="G1" s="26"/>
      <c r="H1" s="26" t="s">
        <v>4</v>
      </c>
      <c r="I1" s="26"/>
      <c r="J1" s="26" t="s">
        <v>5</v>
      </c>
      <c r="K1" s="26"/>
      <c r="M1" s="21" t="s">
        <v>25</v>
      </c>
      <c r="N1" s="21"/>
      <c r="O1" s="21"/>
      <c r="P1" s="21"/>
      <c r="Q1" s="21"/>
      <c r="R1" s="21"/>
    </row>
    <row r="2" spans="1:18" x14ac:dyDescent="0.35">
      <c r="A2" s="2">
        <v>100</v>
      </c>
      <c r="B2" s="3" t="s">
        <v>16</v>
      </c>
      <c r="C2" s="3" t="s">
        <v>18</v>
      </c>
      <c r="D2" s="3" t="s">
        <v>16</v>
      </c>
      <c r="E2" s="3" t="s">
        <v>18</v>
      </c>
      <c r="F2" s="3" t="s">
        <v>20</v>
      </c>
      <c r="G2" s="3" t="s">
        <v>18</v>
      </c>
      <c r="H2" s="3" t="s">
        <v>16</v>
      </c>
      <c r="I2" s="3" t="s">
        <v>18</v>
      </c>
      <c r="J2" s="3" t="s">
        <v>35</v>
      </c>
      <c r="K2" s="3" t="s">
        <v>18</v>
      </c>
      <c r="M2" s="13" t="s">
        <v>30</v>
      </c>
      <c r="N2" s="13" t="s">
        <v>26</v>
      </c>
      <c r="O2" s="13" t="s">
        <v>27</v>
      </c>
      <c r="P2" s="13" t="s">
        <v>30</v>
      </c>
      <c r="Q2" s="13" t="s">
        <v>26</v>
      </c>
      <c r="R2" s="13" t="s">
        <v>27</v>
      </c>
    </row>
    <row r="3" spans="1:18" x14ac:dyDescent="0.35">
      <c r="A3" s="31" t="s">
        <v>0</v>
      </c>
      <c r="B3" s="27">
        <f>0.884*$A$2</f>
        <v>88.4</v>
      </c>
      <c r="C3" s="27"/>
      <c r="D3" s="27">
        <f>0.883*$A$2</f>
        <v>88.3</v>
      </c>
      <c r="E3" s="27"/>
      <c r="F3" s="27">
        <f>0.886*$A$2</f>
        <v>88.6</v>
      </c>
      <c r="G3" s="27"/>
      <c r="H3" s="27">
        <f>0.888*$A$2</f>
        <v>88.8</v>
      </c>
      <c r="I3" s="27"/>
      <c r="J3" s="27">
        <f>0.882*$A$2</f>
        <v>88.2</v>
      </c>
      <c r="K3" s="27"/>
      <c r="M3" s="22" t="s">
        <v>0</v>
      </c>
      <c r="N3" s="46">
        <v>88.9</v>
      </c>
      <c r="O3" s="46" t="s">
        <v>2</v>
      </c>
      <c r="P3" s="23" t="s">
        <v>9</v>
      </c>
      <c r="Q3" s="6">
        <v>88.85</v>
      </c>
      <c r="R3" s="7" t="s">
        <v>3</v>
      </c>
    </row>
    <row r="4" spans="1:18" x14ac:dyDescent="0.35">
      <c r="A4" s="31"/>
      <c r="B4" s="27">
        <f>0.895*$A$2</f>
        <v>89.5</v>
      </c>
      <c r="C4" s="27"/>
      <c r="D4" s="27">
        <f>0.897*$A$2</f>
        <v>89.7</v>
      </c>
      <c r="E4" s="27"/>
      <c r="F4" s="27">
        <f>0.893*$A$2</f>
        <v>89.3</v>
      </c>
      <c r="G4" s="27"/>
      <c r="H4" s="27">
        <f>0.893*$A$2</f>
        <v>89.3</v>
      </c>
      <c r="I4" s="27"/>
      <c r="J4" s="27">
        <f>0.893*$A$2</f>
        <v>89.3</v>
      </c>
      <c r="K4" s="27"/>
      <c r="M4" s="22"/>
      <c r="N4" s="6">
        <v>88.82</v>
      </c>
      <c r="O4" s="6" t="s">
        <v>3</v>
      </c>
      <c r="P4" s="23"/>
      <c r="Q4" s="6">
        <v>88.84</v>
      </c>
      <c r="R4" s="7" t="s">
        <v>4</v>
      </c>
    </row>
    <row r="5" spans="1:18" x14ac:dyDescent="0.35">
      <c r="A5" s="31"/>
      <c r="B5" s="27">
        <f>0.885*$A$2</f>
        <v>88.5</v>
      </c>
      <c r="C5" s="27"/>
      <c r="D5" s="27">
        <f>0.887*$A$2</f>
        <v>88.7</v>
      </c>
      <c r="E5" s="27"/>
      <c r="F5" s="27">
        <f>0.884*$A$2</f>
        <v>88.4</v>
      </c>
      <c r="G5" s="27"/>
      <c r="H5" s="27">
        <f>0.88*$A$2</f>
        <v>88</v>
      </c>
      <c r="I5" s="27"/>
      <c r="J5" s="27">
        <f>0.882*$A$2</f>
        <v>88.2</v>
      </c>
      <c r="K5" s="27"/>
      <c r="M5" s="22"/>
      <c r="N5" s="6">
        <v>88.73</v>
      </c>
      <c r="O5" s="6" t="s">
        <v>1</v>
      </c>
      <c r="P5" s="23"/>
      <c r="Q5" s="6">
        <v>88.84</v>
      </c>
      <c r="R5" s="7" t="s">
        <v>2</v>
      </c>
    </row>
    <row r="6" spans="1:18" x14ac:dyDescent="0.35">
      <c r="A6" s="31"/>
      <c r="B6" s="27">
        <f>0.891*$A$2</f>
        <v>89.1</v>
      </c>
      <c r="C6" s="27"/>
      <c r="D6" s="27">
        <f>0.891*$A$2</f>
        <v>89.1</v>
      </c>
      <c r="E6" s="27"/>
      <c r="F6" s="27">
        <f>0.889*$A$2</f>
        <v>88.9</v>
      </c>
      <c r="G6" s="27"/>
      <c r="H6" s="27">
        <f>0.887*$A$2</f>
        <v>88.7</v>
      </c>
      <c r="I6" s="27"/>
      <c r="J6" s="27">
        <f>0.875*$A$2</f>
        <v>87.5</v>
      </c>
      <c r="K6" s="27"/>
      <c r="M6" s="22"/>
      <c r="N6" s="6">
        <v>88.699999999999989</v>
      </c>
      <c r="O6" s="6" t="s">
        <v>4</v>
      </c>
      <c r="P6" s="23"/>
      <c r="Q6" s="6">
        <v>88.75</v>
      </c>
      <c r="R6" s="7" t="s">
        <v>1</v>
      </c>
    </row>
    <row r="7" spans="1:18" x14ac:dyDescent="0.35">
      <c r="A7" s="31"/>
      <c r="B7" s="27">
        <f>0.873*$A$2</f>
        <v>87.3</v>
      </c>
      <c r="C7" s="27"/>
      <c r="D7" s="27">
        <f>0.88*$A$2</f>
        <v>88</v>
      </c>
      <c r="E7" s="27"/>
      <c r="F7" s="27">
        <f>0.877*$A$2</f>
        <v>87.7</v>
      </c>
      <c r="G7" s="27"/>
      <c r="H7" s="27">
        <f>0.877*$A$2</f>
        <v>87.7</v>
      </c>
      <c r="I7" s="27"/>
      <c r="J7" s="27">
        <f>0.878*$A$2</f>
        <v>87.8</v>
      </c>
      <c r="K7" s="27"/>
      <c r="M7" s="22"/>
      <c r="N7" s="6">
        <v>88.58</v>
      </c>
      <c r="O7" s="6" t="s">
        <v>5</v>
      </c>
      <c r="P7" s="23"/>
      <c r="Q7" s="6">
        <v>88.68</v>
      </c>
      <c r="R7" s="7" t="s">
        <v>5</v>
      </c>
    </row>
    <row r="8" spans="1:18" x14ac:dyDescent="0.35">
      <c r="A8" s="31"/>
      <c r="B8" s="27">
        <f>0.881*$A$2</f>
        <v>88.1</v>
      </c>
      <c r="C8" s="27"/>
      <c r="D8" s="27">
        <f>0.886*$A$2</f>
        <v>88.6</v>
      </c>
      <c r="E8" s="27"/>
      <c r="F8" s="27">
        <f>0.886*$A$2</f>
        <v>88.6</v>
      </c>
      <c r="G8" s="27"/>
      <c r="H8" s="27">
        <f>0.883*$A$2</f>
        <v>88.3</v>
      </c>
      <c r="I8" s="27"/>
      <c r="J8" s="27">
        <f>0.889*$A$2</f>
        <v>88.9</v>
      </c>
      <c r="K8" s="27"/>
      <c r="M8" s="8"/>
      <c r="N8" s="9"/>
      <c r="O8" s="9"/>
      <c r="P8" s="9"/>
      <c r="Q8" s="9"/>
      <c r="R8" s="10"/>
    </row>
    <row r="9" spans="1:18" x14ac:dyDescent="0.35">
      <c r="A9" s="31"/>
      <c r="B9" s="27">
        <f>0.895*$A$2</f>
        <v>89.5</v>
      </c>
      <c r="C9" s="27"/>
      <c r="D9" s="27">
        <f>0.898*$A$2</f>
        <v>89.8</v>
      </c>
      <c r="E9" s="27"/>
      <c r="F9" s="27">
        <f>0.899*$A$2</f>
        <v>89.9</v>
      </c>
      <c r="G9" s="27"/>
      <c r="H9" s="27">
        <f>0.898*$A$2</f>
        <v>89.8</v>
      </c>
      <c r="I9" s="27"/>
      <c r="J9" s="27">
        <f>0.899*$A$2</f>
        <v>89.9</v>
      </c>
      <c r="K9" s="27"/>
      <c r="M9" s="22" t="s">
        <v>11</v>
      </c>
      <c r="N9" s="6">
        <v>84.399999999999991</v>
      </c>
      <c r="O9" s="6" t="s">
        <v>4</v>
      </c>
      <c r="P9" s="23" t="s">
        <v>12</v>
      </c>
      <c r="Q9" s="14">
        <v>89.42</v>
      </c>
      <c r="R9" s="47" t="s">
        <v>3</v>
      </c>
    </row>
    <row r="10" spans="1:18" x14ac:dyDescent="0.35">
      <c r="A10" s="31"/>
      <c r="B10" s="27">
        <f>0.882*$A$2</f>
        <v>88.2</v>
      </c>
      <c r="C10" s="27"/>
      <c r="D10" s="27">
        <f>0.88*$A$2</f>
        <v>88</v>
      </c>
      <c r="E10" s="27"/>
      <c r="F10" s="27">
        <f>0.881*$A$2</f>
        <v>88.1</v>
      </c>
      <c r="G10" s="27"/>
      <c r="H10" s="27">
        <f>0.877*$A$2</f>
        <v>87.7</v>
      </c>
      <c r="I10" s="27"/>
      <c r="J10" s="27">
        <f>0.88*$A$2</f>
        <v>88</v>
      </c>
      <c r="K10" s="27"/>
      <c r="M10" s="22"/>
      <c r="N10" s="6">
        <v>84.249999999999986</v>
      </c>
      <c r="O10" s="6" t="s">
        <v>5</v>
      </c>
      <c r="P10" s="23"/>
      <c r="Q10" s="6">
        <v>89.4</v>
      </c>
      <c r="R10" s="7" t="s">
        <v>4</v>
      </c>
    </row>
    <row r="11" spans="1:18" x14ac:dyDescent="0.35">
      <c r="A11" s="31"/>
      <c r="B11" s="27">
        <f>0.896*$A$2</f>
        <v>89.600000000000009</v>
      </c>
      <c r="C11" s="27"/>
      <c r="D11" s="27">
        <f>0.899*$A$2</f>
        <v>89.9</v>
      </c>
      <c r="E11" s="27"/>
      <c r="F11" s="27">
        <f>0.898*$A$2</f>
        <v>89.8</v>
      </c>
      <c r="G11" s="27"/>
      <c r="H11" s="27">
        <f>0.899*$A$2</f>
        <v>89.9</v>
      </c>
      <c r="I11" s="27"/>
      <c r="J11" s="27">
        <f>0.889*$A$2</f>
        <v>88.9</v>
      </c>
      <c r="K11" s="27"/>
      <c r="M11" s="22"/>
      <c r="N11" s="6">
        <v>84.24</v>
      </c>
      <c r="O11" s="6" t="s">
        <v>2</v>
      </c>
      <c r="P11" s="23"/>
      <c r="Q11" s="6">
        <v>89.370000000000019</v>
      </c>
      <c r="R11" s="7" t="s">
        <v>1</v>
      </c>
    </row>
    <row r="12" spans="1:18" x14ac:dyDescent="0.35">
      <c r="A12" s="31"/>
      <c r="B12" s="27">
        <f>0.891*$A$2</f>
        <v>89.1</v>
      </c>
      <c r="C12" s="27"/>
      <c r="D12" s="27">
        <f>0.889*$A$2</f>
        <v>88.9</v>
      </c>
      <c r="E12" s="27"/>
      <c r="F12" s="27">
        <f>0.889*$A$2</f>
        <v>88.9</v>
      </c>
      <c r="G12" s="27"/>
      <c r="H12" s="27">
        <f>0.888*$A$2</f>
        <v>88.8</v>
      </c>
      <c r="I12" s="27"/>
      <c r="J12" s="27">
        <f>0.891*$A$2</f>
        <v>89.1</v>
      </c>
      <c r="K12" s="27"/>
      <c r="M12" s="22"/>
      <c r="N12" s="6">
        <v>84.199999999999989</v>
      </c>
      <c r="O12" s="6" t="s">
        <v>1</v>
      </c>
      <c r="P12" s="23"/>
      <c r="Q12" s="6">
        <v>89.3</v>
      </c>
      <c r="R12" s="7" t="s">
        <v>2</v>
      </c>
    </row>
    <row r="13" spans="1:18" ht="15" thickBot="1" x14ac:dyDescent="0.4">
      <c r="A13" s="4" t="s">
        <v>8</v>
      </c>
      <c r="B13" s="28">
        <f>AVERAGE(B3:C12)</f>
        <v>88.73</v>
      </c>
      <c r="C13" s="28"/>
      <c r="D13" s="29">
        <f>AVERAGE(D3:E12)</f>
        <v>88.899999999999991</v>
      </c>
      <c r="E13" s="29"/>
      <c r="F13" s="28">
        <f>AVERAGE(F3:G12)</f>
        <v>88.819999999999979</v>
      </c>
      <c r="G13" s="28"/>
      <c r="H13" s="28">
        <f>AVERAGE(H3:I12)</f>
        <v>88.699999999999989</v>
      </c>
      <c r="I13" s="28"/>
      <c r="J13" s="28">
        <f>AVERAGE(J3:K12)</f>
        <v>88.58</v>
      </c>
      <c r="K13" s="30"/>
      <c r="M13" s="24"/>
      <c r="N13" s="19">
        <v>84.13000000000001</v>
      </c>
      <c r="O13" s="19" t="s">
        <v>3</v>
      </c>
      <c r="P13" s="25"/>
      <c r="Q13" s="48">
        <v>89.289999999999992</v>
      </c>
      <c r="R13" s="49" t="s">
        <v>5</v>
      </c>
    </row>
    <row r="14" spans="1:18" x14ac:dyDescent="0.35">
      <c r="A14" s="2">
        <v>100</v>
      </c>
      <c r="B14" s="26" t="s">
        <v>1</v>
      </c>
      <c r="C14" s="26"/>
      <c r="D14" s="26" t="s">
        <v>2</v>
      </c>
      <c r="E14" s="26"/>
      <c r="F14" s="26" t="s">
        <v>3</v>
      </c>
      <c r="G14" s="26"/>
      <c r="H14" s="26" t="s">
        <v>4</v>
      </c>
      <c r="I14" s="26"/>
      <c r="J14" s="26" t="s">
        <v>5</v>
      </c>
      <c r="K14" s="26"/>
    </row>
    <row r="15" spans="1:18" x14ac:dyDescent="0.35">
      <c r="A15" s="2">
        <v>100</v>
      </c>
      <c r="B15" s="3" t="s">
        <v>15</v>
      </c>
      <c r="C15" s="3" t="s">
        <v>18</v>
      </c>
      <c r="D15" s="3" t="s">
        <v>16</v>
      </c>
      <c r="E15" s="3" t="s">
        <v>18</v>
      </c>
      <c r="F15" s="3" t="s">
        <v>6</v>
      </c>
      <c r="G15" s="3" t="s">
        <v>18</v>
      </c>
      <c r="H15" s="3" t="s">
        <v>13</v>
      </c>
      <c r="I15" s="3" t="s">
        <v>18</v>
      </c>
      <c r="J15" s="3" t="s">
        <v>20</v>
      </c>
      <c r="K15" s="3" t="s">
        <v>18</v>
      </c>
    </row>
    <row r="16" spans="1:18" x14ac:dyDescent="0.35">
      <c r="A16" s="31" t="s">
        <v>9</v>
      </c>
      <c r="B16" s="27">
        <f>0.912*$A$2</f>
        <v>91.2</v>
      </c>
      <c r="C16" s="27"/>
      <c r="D16" s="27">
        <f>0.903*$A$2</f>
        <v>90.3</v>
      </c>
      <c r="E16" s="27"/>
      <c r="F16" s="27">
        <f>0.91*$A$2</f>
        <v>91</v>
      </c>
      <c r="G16" s="27"/>
      <c r="H16" s="27">
        <f>0.907*$A$2</f>
        <v>90.7</v>
      </c>
      <c r="I16" s="27"/>
      <c r="J16" s="27">
        <f>0.879*$A$2</f>
        <v>87.9</v>
      </c>
      <c r="K16" s="27"/>
    </row>
    <row r="17" spans="1:11" x14ac:dyDescent="0.35">
      <c r="A17" s="31"/>
      <c r="B17" s="27">
        <f>0.883*$A$2</f>
        <v>88.3</v>
      </c>
      <c r="C17" s="27"/>
      <c r="D17" s="27">
        <f>0.885*$A$2</f>
        <v>88.5</v>
      </c>
      <c r="E17" s="27"/>
      <c r="F17" s="27">
        <f>0.881*$A$2</f>
        <v>88.1</v>
      </c>
      <c r="G17" s="27"/>
      <c r="H17" s="27">
        <f>0.885*$A$2</f>
        <v>88.5</v>
      </c>
      <c r="I17" s="27"/>
      <c r="J17" s="27">
        <f>0.88*$A$2</f>
        <v>88</v>
      </c>
      <c r="K17" s="27"/>
    </row>
    <row r="18" spans="1:11" x14ac:dyDescent="0.35">
      <c r="A18" s="31"/>
      <c r="B18" s="27">
        <f>0.897*$A$2</f>
        <v>89.7</v>
      </c>
      <c r="C18" s="27"/>
      <c r="D18" s="27">
        <f>0.9*$A$2</f>
        <v>90</v>
      </c>
      <c r="E18" s="27"/>
      <c r="F18" s="27">
        <f>0.899*$A$2</f>
        <v>89.9</v>
      </c>
      <c r="G18" s="27"/>
      <c r="H18" s="27">
        <f>0.902*$A$2</f>
        <v>90.2</v>
      </c>
      <c r="I18" s="27"/>
      <c r="J18" s="27">
        <f>0.897*$A$2</f>
        <v>89.7</v>
      </c>
      <c r="K18" s="27"/>
    </row>
    <row r="19" spans="1:11" x14ac:dyDescent="0.35">
      <c r="A19" s="31"/>
      <c r="B19" s="27">
        <f>0.89*$A$2</f>
        <v>89</v>
      </c>
      <c r="C19" s="27"/>
      <c r="D19" s="27">
        <f>0.893*$A$2</f>
        <v>89.3</v>
      </c>
      <c r="E19" s="27"/>
      <c r="F19" s="27">
        <f>0.898*$A$2</f>
        <v>89.8</v>
      </c>
      <c r="G19" s="27"/>
      <c r="H19" s="27">
        <f>0.888*$A$2</f>
        <v>88.8</v>
      </c>
      <c r="I19" s="27"/>
      <c r="J19" s="27">
        <f>0.898*$A$2</f>
        <v>89.8</v>
      </c>
      <c r="K19" s="27"/>
    </row>
    <row r="20" spans="1:11" x14ac:dyDescent="0.35">
      <c r="A20" s="31"/>
      <c r="B20" s="27">
        <f>0.894*$A$2</f>
        <v>89.4</v>
      </c>
      <c r="C20" s="27"/>
      <c r="D20" s="27">
        <f>0.896*$A$2</f>
        <v>89.600000000000009</v>
      </c>
      <c r="E20" s="27"/>
      <c r="F20" s="27">
        <f>0.896*$A$2</f>
        <v>89.600000000000009</v>
      </c>
      <c r="G20" s="27"/>
      <c r="H20" s="27">
        <f>0.896*$A$2</f>
        <v>89.600000000000009</v>
      </c>
      <c r="I20" s="27"/>
      <c r="J20" s="27">
        <f>0.899*$A$2</f>
        <v>89.9</v>
      </c>
      <c r="K20" s="27"/>
    </row>
    <row r="21" spans="1:11" x14ac:dyDescent="0.35">
      <c r="A21" s="31"/>
      <c r="B21" s="27">
        <f>0.879*$A$2</f>
        <v>87.9</v>
      </c>
      <c r="C21" s="27"/>
      <c r="D21" s="27">
        <f>0.877*$A$2</f>
        <v>87.7</v>
      </c>
      <c r="E21" s="27"/>
      <c r="F21" s="27">
        <f>0.879*$A$2</f>
        <v>87.9</v>
      </c>
      <c r="G21" s="27"/>
      <c r="H21" s="27">
        <f>0.881*$A$2</f>
        <v>88.1</v>
      </c>
      <c r="I21" s="27"/>
      <c r="J21" s="27">
        <f>0.879*$A$2</f>
        <v>87.9</v>
      </c>
      <c r="K21" s="27"/>
    </row>
    <row r="22" spans="1:11" x14ac:dyDescent="0.35">
      <c r="A22" s="31"/>
      <c r="B22" s="27">
        <f>0.875*$A$2</f>
        <v>87.5</v>
      </c>
      <c r="C22" s="27"/>
      <c r="D22" s="27">
        <f>0.877*$A$2</f>
        <v>87.7</v>
      </c>
      <c r="E22" s="27"/>
      <c r="F22" s="27">
        <f>0.873*$A$2</f>
        <v>87.3</v>
      </c>
      <c r="G22" s="27"/>
      <c r="H22" s="27">
        <f>0.877*$A$2</f>
        <v>87.7</v>
      </c>
      <c r="I22" s="27"/>
      <c r="J22" s="27">
        <f>0.877*$A$2</f>
        <v>87.7</v>
      </c>
      <c r="K22" s="27"/>
    </row>
    <row r="23" spans="1:11" x14ac:dyDescent="0.35">
      <c r="A23" s="31"/>
      <c r="B23" s="27">
        <f>0.887*$A$2</f>
        <v>88.7</v>
      </c>
      <c r="C23" s="27"/>
      <c r="D23" s="27">
        <f>0.887*$A$2</f>
        <v>88.7</v>
      </c>
      <c r="E23" s="27"/>
      <c r="F23" s="27">
        <f>0.886*$A$2</f>
        <v>88.6</v>
      </c>
      <c r="G23" s="27"/>
      <c r="H23" s="27">
        <f>0.889*$A$2</f>
        <v>88.9</v>
      </c>
      <c r="I23" s="27"/>
      <c r="J23" s="27">
        <f>0.887*$A$2</f>
        <v>88.7</v>
      </c>
      <c r="K23" s="27"/>
    </row>
    <row r="24" spans="1:11" x14ac:dyDescent="0.35">
      <c r="A24" s="31"/>
      <c r="B24" s="27">
        <f>0.874*$A$2</f>
        <v>87.4</v>
      </c>
      <c r="C24" s="27"/>
      <c r="D24" s="27">
        <f>0.883*$A$2</f>
        <v>88.3</v>
      </c>
      <c r="E24" s="27"/>
      <c r="F24" s="27">
        <f>0.885*$A$2</f>
        <v>88.5</v>
      </c>
      <c r="G24" s="27"/>
      <c r="H24" s="27">
        <f>0.877*$A$2</f>
        <v>87.7</v>
      </c>
      <c r="I24" s="27"/>
      <c r="J24" s="27">
        <f>0.889*$A$2</f>
        <v>88.9</v>
      </c>
      <c r="K24" s="27"/>
    </row>
    <row r="25" spans="1:11" x14ac:dyDescent="0.35">
      <c r="A25" s="31"/>
      <c r="B25" s="27">
        <f>0.884*$A$2</f>
        <v>88.4</v>
      </c>
      <c r="C25" s="27"/>
      <c r="D25" s="27">
        <f>0.883*$A$2</f>
        <v>88.3</v>
      </c>
      <c r="E25" s="27"/>
      <c r="F25" s="27">
        <f>0.878*$A$2</f>
        <v>87.8</v>
      </c>
      <c r="G25" s="27"/>
      <c r="H25" s="27">
        <f>0.882*$A$2</f>
        <v>88.2</v>
      </c>
      <c r="I25" s="27"/>
      <c r="J25" s="27">
        <f>0.883*$A$2</f>
        <v>88.3</v>
      </c>
      <c r="K25" s="27"/>
    </row>
    <row r="26" spans="1:11" x14ac:dyDescent="0.35">
      <c r="A26" s="4" t="s">
        <v>8</v>
      </c>
      <c r="B26" s="28">
        <f>AVERAGE(B16:C25)</f>
        <v>88.75</v>
      </c>
      <c r="C26" s="28"/>
      <c r="D26" s="28">
        <f>AVERAGE(D16:E25)</f>
        <v>88.84</v>
      </c>
      <c r="E26" s="28"/>
      <c r="F26" s="28">
        <f>AVERAGE(F16:G25)</f>
        <v>88.85</v>
      </c>
      <c r="G26" s="28"/>
      <c r="H26" s="28">
        <f>AVERAGE(H16:I25)</f>
        <v>88.84</v>
      </c>
      <c r="I26" s="28"/>
      <c r="J26" s="28">
        <f>AVERAGE(J16:K25)</f>
        <v>88.68</v>
      </c>
      <c r="K26" s="30"/>
    </row>
    <row r="27" spans="1:11" x14ac:dyDescent="0.35">
      <c r="A27" s="2">
        <v>100</v>
      </c>
      <c r="B27" s="26" t="s">
        <v>1</v>
      </c>
      <c r="C27" s="26"/>
      <c r="D27" s="26" t="s">
        <v>2</v>
      </c>
      <c r="E27" s="26"/>
      <c r="F27" s="26" t="s">
        <v>3</v>
      </c>
      <c r="G27" s="26"/>
      <c r="H27" s="26" t="s">
        <v>4</v>
      </c>
      <c r="I27" s="26"/>
      <c r="J27" s="26" t="s">
        <v>5</v>
      </c>
      <c r="K27" s="26"/>
    </row>
    <row r="28" spans="1:11" x14ac:dyDescent="0.35">
      <c r="A28" s="2">
        <v>100</v>
      </c>
      <c r="B28" s="3" t="s">
        <v>20</v>
      </c>
      <c r="C28" s="3" t="s">
        <v>33</v>
      </c>
      <c r="D28" s="3" t="s">
        <v>6</v>
      </c>
      <c r="E28" s="3" t="s">
        <v>33</v>
      </c>
      <c r="F28" s="3" t="s">
        <v>20</v>
      </c>
      <c r="G28" s="3" t="s">
        <v>33</v>
      </c>
      <c r="H28" s="3" t="s">
        <v>35</v>
      </c>
      <c r="I28" s="3" t="s">
        <v>33</v>
      </c>
      <c r="J28" s="3" t="s">
        <v>6</v>
      </c>
      <c r="K28" s="3" t="s">
        <v>33</v>
      </c>
    </row>
    <row r="29" spans="1:11" x14ac:dyDescent="0.35">
      <c r="A29" s="31" t="s">
        <v>11</v>
      </c>
      <c r="B29" s="27">
        <f>0.848*$A$2</f>
        <v>84.8</v>
      </c>
      <c r="C29" s="27"/>
      <c r="D29" s="27">
        <f>0.848*$A$2</f>
        <v>84.8</v>
      </c>
      <c r="E29" s="27"/>
      <c r="F29" s="27">
        <f>0.847*$A$2</f>
        <v>84.7</v>
      </c>
      <c r="G29" s="27"/>
      <c r="H29" s="27">
        <f>0.853*$A$2</f>
        <v>85.3</v>
      </c>
      <c r="I29" s="27"/>
      <c r="J29" s="27">
        <f>0.848*$A$2</f>
        <v>84.8</v>
      </c>
      <c r="K29" s="27"/>
    </row>
    <row r="30" spans="1:11" x14ac:dyDescent="0.35">
      <c r="A30" s="31"/>
      <c r="B30" s="27">
        <f>0.83*$A$2</f>
        <v>83</v>
      </c>
      <c r="C30" s="27"/>
      <c r="D30" s="27">
        <f>0.832*$A$2</f>
        <v>83.2</v>
      </c>
      <c r="E30" s="27"/>
      <c r="F30" s="27">
        <f>0.829*$A$2</f>
        <v>82.899999999999991</v>
      </c>
      <c r="G30" s="27"/>
      <c r="H30" s="27">
        <f>0.828*$A$2</f>
        <v>82.8</v>
      </c>
      <c r="I30" s="27"/>
      <c r="J30" s="27">
        <f>0.829*$A$2</f>
        <v>82.899999999999991</v>
      </c>
      <c r="K30" s="27"/>
    </row>
    <row r="31" spans="1:11" x14ac:dyDescent="0.35">
      <c r="A31" s="31"/>
      <c r="B31" s="27">
        <f>0.832*$A$2</f>
        <v>83.2</v>
      </c>
      <c r="C31" s="27"/>
      <c r="D31" s="27">
        <f>0.836*$A$2</f>
        <v>83.6</v>
      </c>
      <c r="E31" s="27"/>
      <c r="F31" s="27">
        <f>0.832*$A$2</f>
        <v>83.2</v>
      </c>
      <c r="G31" s="27"/>
      <c r="H31" s="27">
        <f>0.831*$A$2</f>
        <v>83.1</v>
      </c>
      <c r="I31" s="27"/>
      <c r="J31" s="27">
        <f>0.835*$A$2</f>
        <v>83.5</v>
      </c>
      <c r="K31" s="27"/>
    </row>
    <row r="32" spans="1:11" x14ac:dyDescent="0.35">
      <c r="A32" s="31"/>
      <c r="B32" s="27">
        <f>0.85*$A$2</f>
        <v>85</v>
      </c>
      <c r="C32" s="27"/>
      <c r="D32" s="27">
        <f>0.851*$A$2</f>
        <v>85.1</v>
      </c>
      <c r="E32" s="27"/>
      <c r="F32" s="27">
        <f>0.849*$A$2</f>
        <v>84.899999999999991</v>
      </c>
      <c r="G32" s="27"/>
      <c r="H32" s="27">
        <f>0.854*$A$2</f>
        <v>85.399999999999991</v>
      </c>
      <c r="I32" s="27"/>
      <c r="J32" s="27">
        <f>0.851*$A$2</f>
        <v>85.1</v>
      </c>
      <c r="K32" s="27"/>
    </row>
    <row r="33" spans="1:11" x14ac:dyDescent="0.35">
      <c r="A33" s="31"/>
      <c r="B33" s="27">
        <f>0.839*$A$2</f>
        <v>83.899999999999991</v>
      </c>
      <c r="C33" s="27"/>
      <c r="D33" s="27">
        <f>0.838*$A$2</f>
        <v>83.8</v>
      </c>
      <c r="E33" s="27"/>
      <c r="F33" s="27">
        <f>0.837*$A$2</f>
        <v>83.7</v>
      </c>
      <c r="G33" s="27"/>
      <c r="H33" s="27">
        <f>0.836*$A$2</f>
        <v>83.6</v>
      </c>
      <c r="I33" s="27"/>
      <c r="J33" s="27">
        <f>0.84*$A$2</f>
        <v>84</v>
      </c>
      <c r="K33" s="27"/>
    </row>
    <row r="34" spans="1:11" x14ac:dyDescent="0.35">
      <c r="A34" s="31"/>
      <c r="B34" s="27">
        <f>0.84*$A$2</f>
        <v>84</v>
      </c>
      <c r="C34" s="27"/>
      <c r="D34" s="27">
        <f>0.84*$A$2</f>
        <v>84</v>
      </c>
      <c r="E34" s="27"/>
      <c r="F34" s="27">
        <f>0.838*$A$2</f>
        <v>83.8</v>
      </c>
      <c r="G34" s="27"/>
      <c r="H34" s="27">
        <f>0.845*$A$2</f>
        <v>84.5</v>
      </c>
      <c r="I34" s="27"/>
      <c r="J34" s="27">
        <f>0.838*$A$2</f>
        <v>83.8</v>
      </c>
      <c r="K34" s="27"/>
    </row>
    <row r="35" spans="1:11" x14ac:dyDescent="0.35">
      <c r="A35" s="31"/>
      <c r="B35" s="27">
        <f>0.849*$A$2</f>
        <v>84.899999999999991</v>
      </c>
      <c r="C35" s="27"/>
      <c r="D35" s="27">
        <f>0.848*$A$2</f>
        <v>84.8</v>
      </c>
      <c r="E35" s="27"/>
      <c r="F35" s="27">
        <f>0.849*$A$2</f>
        <v>84.899999999999991</v>
      </c>
      <c r="G35" s="27"/>
      <c r="H35" s="27">
        <f>0.848*$A$2</f>
        <v>84.8</v>
      </c>
      <c r="I35" s="27"/>
      <c r="J35" s="27">
        <f>0.849*$A$2</f>
        <v>84.899999999999991</v>
      </c>
      <c r="K35" s="27"/>
    </row>
    <row r="36" spans="1:11" x14ac:dyDescent="0.35">
      <c r="A36" s="31"/>
      <c r="B36" s="27">
        <f>0.843*$A$2</f>
        <v>84.3</v>
      </c>
      <c r="C36" s="27"/>
      <c r="D36" s="27">
        <f>0.842*$A$2</f>
        <v>84.2</v>
      </c>
      <c r="E36" s="27"/>
      <c r="F36" s="27">
        <f>0.844*$A$2</f>
        <v>84.399999999999991</v>
      </c>
      <c r="G36" s="27"/>
      <c r="H36" s="27">
        <f>0.846*$A$2</f>
        <v>84.6</v>
      </c>
      <c r="I36" s="27"/>
      <c r="J36" s="27">
        <f>0.843*$A$2</f>
        <v>84.3</v>
      </c>
      <c r="K36" s="27"/>
    </row>
    <row r="37" spans="1:11" x14ac:dyDescent="0.35">
      <c r="A37" s="31"/>
      <c r="B37" s="27">
        <f>0.845*$A$2</f>
        <v>84.5</v>
      </c>
      <c r="C37" s="27"/>
      <c r="D37" s="27">
        <f>0.845*$A$2</f>
        <v>84.5</v>
      </c>
      <c r="E37" s="27"/>
      <c r="F37" s="27">
        <f>0.846*$A$2</f>
        <v>84.6</v>
      </c>
      <c r="G37" s="27"/>
      <c r="H37" s="27">
        <f>0.85*$A$2</f>
        <v>85</v>
      </c>
      <c r="I37" s="27"/>
      <c r="J37" s="27">
        <f>0.848*$A$2</f>
        <v>84.8</v>
      </c>
      <c r="K37" s="27"/>
    </row>
    <row r="38" spans="1:11" x14ac:dyDescent="0.35">
      <c r="A38" s="31"/>
      <c r="B38" s="27">
        <f>0.844*$A$2</f>
        <v>84.399999999999991</v>
      </c>
      <c r="C38" s="27"/>
      <c r="D38" s="27">
        <f>0.844*$A$2</f>
        <v>84.399999999999991</v>
      </c>
      <c r="E38" s="27"/>
      <c r="F38" s="27">
        <f>0.842*$A$2</f>
        <v>84.2</v>
      </c>
      <c r="G38" s="27"/>
      <c r="H38" s="27">
        <f>0.849*$A$2</f>
        <v>84.899999999999991</v>
      </c>
      <c r="I38" s="27"/>
      <c r="J38" s="27">
        <f>0.844*$A$2</f>
        <v>84.399999999999991</v>
      </c>
      <c r="K38" s="27"/>
    </row>
    <row r="39" spans="1:11" x14ac:dyDescent="0.35">
      <c r="A39" s="4" t="s">
        <v>8</v>
      </c>
      <c r="B39" s="28">
        <f>AVERAGE(B29:C38)</f>
        <v>84.199999999999989</v>
      </c>
      <c r="C39" s="28"/>
      <c r="D39" s="28">
        <f>AVERAGE(D29:E38)</f>
        <v>84.24</v>
      </c>
      <c r="E39" s="28"/>
      <c r="F39" s="28">
        <f>AVERAGE(F29:G38)</f>
        <v>84.13000000000001</v>
      </c>
      <c r="G39" s="28"/>
      <c r="H39" s="28">
        <f>AVERAGE(H29:I38)</f>
        <v>84.399999999999991</v>
      </c>
      <c r="I39" s="28"/>
      <c r="J39" s="28">
        <f>AVERAGE(J29:K38)</f>
        <v>84.249999999999986</v>
      </c>
      <c r="K39" s="30"/>
    </row>
    <row r="40" spans="1:11" x14ac:dyDescent="0.35">
      <c r="A40" s="2">
        <v>100</v>
      </c>
      <c r="B40" s="26" t="s">
        <v>1</v>
      </c>
      <c r="C40" s="26"/>
      <c r="D40" s="26" t="s">
        <v>2</v>
      </c>
      <c r="E40" s="26"/>
      <c r="F40" s="26" t="s">
        <v>3</v>
      </c>
      <c r="G40" s="26"/>
      <c r="H40" s="26" t="s">
        <v>4</v>
      </c>
      <c r="I40" s="26"/>
      <c r="J40" s="26" t="s">
        <v>5</v>
      </c>
      <c r="K40" s="26"/>
    </row>
    <row r="41" spans="1:11" x14ac:dyDescent="0.35">
      <c r="A41" s="2">
        <v>100</v>
      </c>
      <c r="B41" s="3" t="s">
        <v>20</v>
      </c>
      <c r="C41" s="3" t="s">
        <v>24</v>
      </c>
      <c r="D41" s="3" t="s">
        <v>16</v>
      </c>
      <c r="E41" s="3" t="s">
        <v>24</v>
      </c>
      <c r="F41" s="3" t="s">
        <v>20</v>
      </c>
      <c r="G41" s="3" t="s">
        <v>24</v>
      </c>
      <c r="H41" s="3" t="s">
        <v>16</v>
      </c>
      <c r="I41" s="3" t="s">
        <v>24</v>
      </c>
      <c r="J41" s="3" t="s">
        <v>20</v>
      </c>
      <c r="K41" s="3" t="s">
        <v>24</v>
      </c>
    </row>
    <row r="42" spans="1:11" x14ac:dyDescent="0.35">
      <c r="A42" s="31" t="s">
        <v>12</v>
      </c>
      <c r="B42" s="27">
        <f>0.896*$A$2</f>
        <v>89.600000000000009</v>
      </c>
      <c r="C42" s="27"/>
      <c r="D42" s="27">
        <f>0.891*$A$2</f>
        <v>89.1</v>
      </c>
      <c r="E42" s="27"/>
      <c r="F42" s="27">
        <f>0.895*$A$2</f>
        <v>89.5</v>
      </c>
      <c r="G42" s="27"/>
      <c r="H42" s="27">
        <f>0.89*$A$2</f>
        <v>89</v>
      </c>
      <c r="I42" s="27"/>
      <c r="J42" s="27">
        <f>0.893*$A$2</f>
        <v>89.3</v>
      </c>
      <c r="K42" s="27"/>
    </row>
    <row r="43" spans="1:11" x14ac:dyDescent="0.35">
      <c r="A43" s="31"/>
      <c r="B43" s="27">
        <f>0.9*$A$2</f>
        <v>90</v>
      </c>
      <c r="C43" s="27"/>
      <c r="D43" s="27">
        <f>0.899*$A$2</f>
        <v>89.9</v>
      </c>
      <c r="E43" s="27"/>
      <c r="F43" s="27">
        <f>0.903*$A$2</f>
        <v>90.3</v>
      </c>
      <c r="G43" s="27"/>
      <c r="H43" s="27">
        <f>0.903*$A$2</f>
        <v>90.3</v>
      </c>
      <c r="I43" s="27"/>
      <c r="J43" s="27">
        <f>0.899*$A$2</f>
        <v>89.9</v>
      </c>
      <c r="K43" s="27"/>
    </row>
    <row r="44" spans="1:11" x14ac:dyDescent="0.35">
      <c r="A44" s="31"/>
      <c r="B44" s="27">
        <f>0.897*$A$2</f>
        <v>89.7</v>
      </c>
      <c r="C44" s="27"/>
      <c r="D44" s="27">
        <f>0.902*$A$2</f>
        <v>90.2</v>
      </c>
      <c r="E44" s="27"/>
      <c r="F44" s="27">
        <f>0.9*$A$2</f>
        <v>90</v>
      </c>
      <c r="G44" s="27"/>
      <c r="H44" s="27">
        <f>0.904*$A$2</f>
        <v>90.4</v>
      </c>
      <c r="I44" s="27"/>
      <c r="J44" s="27">
        <f>0.898*$A$2</f>
        <v>89.8</v>
      </c>
      <c r="K44" s="27"/>
    </row>
    <row r="45" spans="1:11" x14ac:dyDescent="0.35">
      <c r="A45" s="31"/>
      <c r="B45" s="27">
        <f>0.903*$A$2</f>
        <v>90.3</v>
      </c>
      <c r="C45" s="27"/>
      <c r="D45" s="27">
        <f>0.903*$A$2</f>
        <v>90.3</v>
      </c>
      <c r="E45" s="27"/>
      <c r="F45" s="27">
        <f>0.904*$A$2</f>
        <v>90.4</v>
      </c>
      <c r="G45" s="27"/>
      <c r="H45" s="27">
        <f>0.903*$A$2</f>
        <v>90.3</v>
      </c>
      <c r="I45" s="27"/>
      <c r="J45" s="27">
        <f>0.9*$A$2</f>
        <v>90</v>
      </c>
      <c r="K45" s="27"/>
    </row>
    <row r="46" spans="1:11" x14ac:dyDescent="0.35">
      <c r="A46" s="31"/>
      <c r="B46" s="27">
        <f>0.885*$A$2</f>
        <v>88.5</v>
      </c>
      <c r="C46" s="27"/>
      <c r="D46" s="27">
        <f>0.881*$A$2</f>
        <v>88.1</v>
      </c>
      <c r="E46" s="27"/>
      <c r="F46" s="27">
        <f>0.884*$A$2</f>
        <v>88.4</v>
      </c>
      <c r="G46" s="27"/>
      <c r="H46" s="27">
        <f>0.886*$A$2</f>
        <v>88.6</v>
      </c>
      <c r="I46" s="27"/>
      <c r="J46" s="27">
        <f>0.885*$A$2</f>
        <v>88.5</v>
      </c>
      <c r="K46" s="27"/>
    </row>
    <row r="47" spans="1:11" x14ac:dyDescent="0.35">
      <c r="A47" s="31"/>
      <c r="B47" s="27">
        <f>0.892*$A$2</f>
        <v>89.2</v>
      </c>
      <c r="C47" s="27"/>
      <c r="D47" s="27">
        <f>0.895*$A$2</f>
        <v>89.5</v>
      </c>
      <c r="E47" s="27"/>
      <c r="F47" s="27">
        <f>0.891*$A$2</f>
        <v>89.1</v>
      </c>
      <c r="G47" s="27"/>
      <c r="H47" s="27">
        <f>0.892*$A$2</f>
        <v>89.2</v>
      </c>
      <c r="I47" s="27"/>
      <c r="J47" s="27">
        <f>0.893*$A$2</f>
        <v>89.3</v>
      </c>
      <c r="K47" s="27"/>
    </row>
    <row r="48" spans="1:11" x14ac:dyDescent="0.35">
      <c r="A48" s="31"/>
      <c r="B48" s="27">
        <f>0.897*$A$2</f>
        <v>89.7</v>
      </c>
      <c r="C48" s="27"/>
      <c r="D48" s="27">
        <f>0.895*$A$2</f>
        <v>89.5</v>
      </c>
      <c r="E48" s="27"/>
      <c r="F48" s="27">
        <f>0.897*$A$2</f>
        <v>89.7</v>
      </c>
      <c r="G48" s="27"/>
      <c r="H48" s="27">
        <f>0.895*$A$2</f>
        <v>89.5</v>
      </c>
      <c r="I48" s="27"/>
      <c r="J48" s="27">
        <f>0.894*$A$2</f>
        <v>89.4</v>
      </c>
      <c r="K48" s="27"/>
    </row>
    <row r="49" spans="1:11" x14ac:dyDescent="0.35">
      <c r="A49" s="31"/>
      <c r="B49" s="27">
        <f>0.889*$A$2</f>
        <v>88.9</v>
      </c>
      <c r="C49" s="27"/>
      <c r="D49" s="27">
        <f>0.888*$A$2</f>
        <v>88.8</v>
      </c>
      <c r="E49" s="27"/>
      <c r="F49" s="27">
        <f>0.889*$A$2</f>
        <v>88.9</v>
      </c>
      <c r="G49" s="27"/>
      <c r="H49" s="27">
        <f>0.891*$A$2</f>
        <v>89.1</v>
      </c>
      <c r="I49" s="27"/>
      <c r="J49" s="27">
        <f>0.889*$A$2</f>
        <v>88.9</v>
      </c>
      <c r="K49" s="27"/>
    </row>
    <row r="50" spans="1:11" x14ac:dyDescent="0.35">
      <c r="A50" s="31"/>
      <c r="B50" s="27">
        <f>0.876*$A$2</f>
        <v>87.6</v>
      </c>
      <c r="C50" s="27"/>
      <c r="D50" s="27">
        <f>0.875*$A$2</f>
        <v>87.5</v>
      </c>
      <c r="E50" s="27"/>
      <c r="F50" s="27">
        <f>0.875*$A$2</f>
        <v>87.5</v>
      </c>
      <c r="G50" s="27"/>
      <c r="H50" s="27">
        <f>0.873*$A$2</f>
        <v>87.3</v>
      </c>
      <c r="I50" s="27"/>
      <c r="J50" s="27">
        <f>0.876*$A$2</f>
        <v>87.6</v>
      </c>
      <c r="K50" s="27"/>
    </row>
    <row r="51" spans="1:11" x14ac:dyDescent="0.35">
      <c r="A51" s="31"/>
      <c r="B51" s="27">
        <f>0.902*$A$2</f>
        <v>90.2</v>
      </c>
      <c r="C51" s="27"/>
      <c r="D51" s="27">
        <f>0.901*$A$2</f>
        <v>90.100000000000009</v>
      </c>
      <c r="E51" s="27"/>
      <c r="F51" s="27">
        <f>0.904*$A$2</f>
        <v>90.4</v>
      </c>
      <c r="G51" s="27"/>
      <c r="H51" s="27">
        <f>0.903*$A$2</f>
        <v>90.3</v>
      </c>
      <c r="I51" s="27"/>
      <c r="J51" s="27">
        <f>0.902*$A$2</f>
        <v>90.2</v>
      </c>
      <c r="K51" s="27"/>
    </row>
    <row r="52" spans="1:11" x14ac:dyDescent="0.35">
      <c r="A52" s="4" t="s">
        <v>8</v>
      </c>
      <c r="B52" s="28">
        <f>AVERAGE(B42:C51)</f>
        <v>89.370000000000019</v>
      </c>
      <c r="C52" s="28"/>
      <c r="D52" s="28">
        <f>AVERAGE(D42:E51)</f>
        <v>89.3</v>
      </c>
      <c r="E52" s="28"/>
      <c r="F52" s="28">
        <f>AVERAGE(F42:G51)</f>
        <v>89.42</v>
      </c>
      <c r="G52" s="28"/>
      <c r="H52" s="28">
        <f>AVERAGE(H42:I51)</f>
        <v>89.4</v>
      </c>
      <c r="I52" s="28"/>
      <c r="J52" s="28">
        <f>AVERAGE(J42:K51)</f>
        <v>89.289999999999992</v>
      </c>
      <c r="K52" s="30"/>
    </row>
  </sheetData>
  <mergeCells count="249">
    <mergeCell ref="J3:K3"/>
    <mergeCell ref="B4:C4"/>
    <mergeCell ref="D4:E4"/>
    <mergeCell ref="F4:G4"/>
    <mergeCell ref="H4:I4"/>
    <mergeCell ref="J4:K4"/>
    <mergeCell ref="B1:C1"/>
    <mergeCell ref="D1:E1"/>
    <mergeCell ref="F1:G1"/>
    <mergeCell ref="H1:I1"/>
    <mergeCell ref="J1:K1"/>
    <mergeCell ref="B3:C3"/>
    <mergeCell ref="D3:E3"/>
    <mergeCell ref="F3:G3"/>
    <mergeCell ref="H3:I3"/>
    <mergeCell ref="J7:K7"/>
    <mergeCell ref="B8:C8"/>
    <mergeCell ref="D8:E8"/>
    <mergeCell ref="F8:G8"/>
    <mergeCell ref="H8:I8"/>
    <mergeCell ref="J8:K8"/>
    <mergeCell ref="B5:C5"/>
    <mergeCell ref="D5:E5"/>
    <mergeCell ref="F5:G5"/>
    <mergeCell ref="H5:I5"/>
    <mergeCell ref="J5:K5"/>
    <mergeCell ref="B6:C6"/>
    <mergeCell ref="D6:E6"/>
    <mergeCell ref="F6:G6"/>
    <mergeCell ref="H6:I6"/>
    <mergeCell ref="J6:K6"/>
    <mergeCell ref="J11:K11"/>
    <mergeCell ref="B12:C12"/>
    <mergeCell ref="D12:E12"/>
    <mergeCell ref="F12:G12"/>
    <mergeCell ref="H12:I12"/>
    <mergeCell ref="J12:K12"/>
    <mergeCell ref="B9:C9"/>
    <mergeCell ref="D9:E9"/>
    <mergeCell ref="F9:G9"/>
    <mergeCell ref="H9:I9"/>
    <mergeCell ref="J9:K9"/>
    <mergeCell ref="B10:C10"/>
    <mergeCell ref="D10:E10"/>
    <mergeCell ref="F10:G10"/>
    <mergeCell ref="H10:I10"/>
    <mergeCell ref="J10:K10"/>
    <mergeCell ref="B11:C11"/>
    <mergeCell ref="D11:E11"/>
    <mergeCell ref="F11:G11"/>
    <mergeCell ref="H11:I11"/>
    <mergeCell ref="A3:A12"/>
    <mergeCell ref="B16:C16"/>
    <mergeCell ref="D16:E16"/>
    <mergeCell ref="F16:G16"/>
    <mergeCell ref="H16:I16"/>
    <mergeCell ref="B7:C7"/>
    <mergeCell ref="D7:E7"/>
    <mergeCell ref="F7:G7"/>
    <mergeCell ref="H7:I7"/>
    <mergeCell ref="A16:A25"/>
    <mergeCell ref="F25:G25"/>
    <mergeCell ref="H25:I25"/>
    <mergeCell ref="B22:C22"/>
    <mergeCell ref="D22:E22"/>
    <mergeCell ref="F22:G22"/>
    <mergeCell ref="H22:I22"/>
    <mergeCell ref="J14:K14"/>
    <mergeCell ref="B13:C13"/>
    <mergeCell ref="D13:E13"/>
    <mergeCell ref="F13:G13"/>
    <mergeCell ref="H13:I13"/>
    <mergeCell ref="J13:K13"/>
    <mergeCell ref="B14:C14"/>
    <mergeCell ref="D14:E14"/>
    <mergeCell ref="F14:G14"/>
    <mergeCell ref="H14:I14"/>
    <mergeCell ref="J16:K16"/>
    <mergeCell ref="B17:C17"/>
    <mergeCell ref="D17:E17"/>
    <mergeCell ref="F17:G17"/>
    <mergeCell ref="H17:I17"/>
    <mergeCell ref="J17:K17"/>
    <mergeCell ref="B18:C18"/>
    <mergeCell ref="D18:E18"/>
    <mergeCell ref="F18:G18"/>
    <mergeCell ref="H18:I18"/>
    <mergeCell ref="J18:K18"/>
    <mergeCell ref="J19:K19"/>
    <mergeCell ref="B20:C20"/>
    <mergeCell ref="D20:E20"/>
    <mergeCell ref="F20:G20"/>
    <mergeCell ref="H20:I20"/>
    <mergeCell ref="J20:K20"/>
    <mergeCell ref="B21:C21"/>
    <mergeCell ref="D21:E21"/>
    <mergeCell ref="F21:G21"/>
    <mergeCell ref="H21:I21"/>
    <mergeCell ref="J21:K21"/>
    <mergeCell ref="B19:C19"/>
    <mergeCell ref="D19:E19"/>
    <mergeCell ref="F19:G19"/>
    <mergeCell ref="H19:I19"/>
    <mergeCell ref="B27:C27"/>
    <mergeCell ref="D27:E27"/>
    <mergeCell ref="F27:G27"/>
    <mergeCell ref="H27:I27"/>
    <mergeCell ref="J27:K27"/>
    <mergeCell ref="J22:K22"/>
    <mergeCell ref="B23:C23"/>
    <mergeCell ref="D23:E23"/>
    <mergeCell ref="F23:G23"/>
    <mergeCell ref="H23:I23"/>
    <mergeCell ref="J23:K23"/>
    <mergeCell ref="J25:K25"/>
    <mergeCell ref="B26:C26"/>
    <mergeCell ref="D26:E26"/>
    <mergeCell ref="F26:G26"/>
    <mergeCell ref="H26:I26"/>
    <mergeCell ref="J26:K26"/>
    <mergeCell ref="B24:C24"/>
    <mergeCell ref="D24:E24"/>
    <mergeCell ref="F24:G24"/>
    <mergeCell ref="H24:I24"/>
    <mergeCell ref="J24:K24"/>
    <mergeCell ref="B25:C25"/>
    <mergeCell ref="D25:E25"/>
    <mergeCell ref="A29:A38"/>
    <mergeCell ref="J33:K33"/>
    <mergeCell ref="B34:C34"/>
    <mergeCell ref="D34:E34"/>
    <mergeCell ref="F34:G34"/>
    <mergeCell ref="H34:I34"/>
    <mergeCell ref="J34:K34"/>
    <mergeCell ref="B31:C31"/>
    <mergeCell ref="D31:E31"/>
    <mergeCell ref="F31:G31"/>
    <mergeCell ref="H31:I31"/>
    <mergeCell ref="J31:K31"/>
    <mergeCell ref="B32:C32"/>
    <mergeCell ref="D32:E32"/>
    <mergeCell ref="F32:G32"/>
    <mergeCell ref="H32:I32"/>
    <mergeCell ref="J32:K32"/>
    <mergeCell ref="J29:K29"/>
    <mergeCell ref="B30:C30"/>
    <mergeCell ref="D30:E30"/>
    <mergeCell ref="F30:G30"/>
    <mergeCell ref="H30:I30"/>
    <mergeCell ref="J30:K30"/>
    <mergeCell ref="B33:C33"/>
    <mergeCell ref="D33:E33"/>
    <mergeCell ref="F33:G33"/>
    <mergeCell ref="H33:I33"/>
    <mergeCell ref="B38:C38"/>
    <mergeCell ref="D38:E38"/>
    <mergeCell ref="F38:G38"/>
    <mergeCell ref="H38:I38"/>
    <mergeCell ref="B29:C29"/>
    <mergeCell ref="D29:E29"/>
    <mergeCell ref="F29:G29"/>
    <mergeCell ref="H29:I29"/>
    <mergeCell ref="J36:K36"/>
    <mergeCell ref="B37:C37"/>
    <mergeCell ref="D37:E37"/>
    <mergeCell ref="F37:G37"/>
    <mergeCell ref="H37:I37"/>
    <mergeCell ref="J37:K37"/>
    <mergeCell ref="B35:C35"/>
    <mergeCell ref="D35:E35"/>
    <mergeCell ref="F35:G35"/>
    <mergeCell ref="H35:I35"/>
    <mergeCell ref="J35:K35"/>
    <mergeCell ref="B36:C36"/>
    <mergeCell ref="D36:E36"/>
    <mergeCell ref="F36:G36"/>
    <mergeCell ref="H36:I36"/>
    <mergeCell ref="J38:K38"/>
    <mergeCell ref="B39:C39"/>
    <mergeCell ref="D39:E39"/>
    <mergeCell ref="F39:G39"/>
    <mergeCell ref="H39:I39"/>
    <mergeCell ref="J39:K39"/>
    <mergeCell ref="B40:C40"/>
    <mergeCell ref="D40:E40"/>
    <mergeCell ref="F40:G40"/>
    <mergeCell ref="H40:I40"/>
    <mergeCell ref="J40:K40"/>
    <mergeCell ref="F45:G45"/>
    <mergeCell ref="H45:I45"/>
    <mergeCell ref="J45:K45"/>
    <mergeCell ref="B42:C42"/>
    <mergeCell ref="D42:E42"/>
    <mergeCell ref="F42:G42"/>
    <mergeCell ref="H42:I42"/>
    <mergeCell ref="J42:K42"/>
    <mergeCell ref="B43:C43"/>
    <mergeCell ref="D43:E43"/>
    <mergeCell ref="F43:G43"/>
    <mergeCell ref="H43:I43"/>
    <mergeCell ref="J43:K43"/>
    <mergeCell ref="A42:A51"/>
    <mergeCell ref="B47:C47"/>
    <mergeCell ref="D47:E47"/>
    <mergeCell ref="F47:G47"/>
    <mergeCell ref="H47:I47"/>
    <mergeCell ref="J47:K47"/>
    <mergeCell ref="B48:C48"/>
    <mergeCell ref="D48:E48"/>
    <mergeCell ref="F48:G48"/>
    <mergeCell ref="H48:I48"/>
    <mergeCell ref="J48:K48"/>
    <mergeCell ref="B49:C49"/>
    <mergeCell ref="D49:E49"/>
    <mergeCell ref="F49:G49"/>
    <mergeCell ref="H49:I49"/>
    <mergeCell ref="J49:K49"/>
    <mergeCell ref="B50:C50"/>
    <mergeCell ref="D50:E50"/>
    <mergeCell ref="F50:G50"/>
    <mergeCell ref="H50:I50"/>
    <mergeCell ref="J50:K50"/>
    <mergeCell ref="B51:C51"/>
    <mergeCell ref="D51:E51"/>
    <mergeCell ref="F51:G51"/>
    <mergeCell ref="M1:R1"/>
    <mergeCell ref="M3:M7"/>
    <mergeCell ref="P3:P7"/>
    <mergeCell ref="M9:M13"/>
    <mergeCell ref="P9:P13"/>
    <mergeCell ref="B52:C52"/>
    <mergeCell ref="D52:E52"/>
    <mergeCell ref="F52:G52"/>
    <mergeCell ref="H52:I52"/>
    <mergeCell ref="J52:K52"/>
    <mergeCell ref="B46:C46"/>
    <mergeCell ref="D46:E46"/>
    <mergeCell ref="F46:G46"/>
    <mergeCell ref="H46:I46"/>
    <mergeCell ref="J46:K46"/>
    <mergeCell ref="H51:I51"/>
    <mergeCell ref="J51:K51"/>
    <mergeCell ref="B44:C44"/>
    <mergeCell ref="D44:E44"/>
    <mergeCell ref="F44:G44"/>
    <mergeCell ref="H44:I44"/>
    <mergeCell ref="J44:K44"/>
    <mergeCell ref="B45:C45"/>
    <mergeCell ref="D45:E45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FA0A7-1078-4684-891F-55BA0C124406}">
  <dimension ref="A1:R13"/>
  <sheetViews>
    <sheetView workbookViewId="0">
      <selection activeCell="F33" sqref="F33"/>
    </sheetView>
  </sheetViews>
  <sheetFormatPr defaultRowHeight="14.5" x14ac:dyDescent="0.35"/>
  <cols>
    <col min="14" max="14" width="11.36328125" customWidth="1"/>
    <col min="15" max="15" width="10.6328125" customWidth="1"/>
    <col min="17" max="17" width="11.36328125" customWidth="1"/>
    <col min="18" max="18" width="11.453125" customWidth="1"/>
  </cols>
  <sheetData>
    <row r="1" spans="1:18" x14ac:dyDescent="0.35">
      <c r="A1" s="15">
        <v>100</v>
      </c>
      <c r="B1" s="44" t="s">
        <v>1</v>
      </c>
      <c r="C1" s="44"/>
      <c r="D1" s="44" t="s">
        <v>2</v>
      </c>
      <c r="E1" s="44"/>
      <c r="F1" s="44" t="s">
        <v>3</v>
      </c>
      <c r="G1" s="44"/>
      <c r="H1" s="44" t="s">
        <v>4</v>
      </c>
      <c r="I1" s="44"/>
      <c r="J1" s="44" t="s">
        <v>5</v>
      </c>
      <c r="K1" s="45"/>
      <c r="M1" s="21" t="s">
        <v>32</v>
      </c>
      <c r="N1" s="21"/>
      <c r="O1" s="21"/>
      <c r="P1" s="21"/>
      <c r="Q1" s="21"/>
      <c r="R1" s="21"/>
    </row>
    <row r="2" spans="1:18" x14ac:dyDescent="0.35">
      <c r="A2" s="16">
        <v>100</v>
      </c>
      <c r="B2" s="3" t="s">
        <v>19</v>
      </c>
      <c r="C2" s="3" t="s">
        <v>14</v>
      </c>
      <c r="D2" s="3" t="s">
        <v>16</v>
      </c>
      <c r="E2" s="3" t="s">
        <v>14</v>
      </c>
      <c r="F2" s="3" t="s">
        <v>20</v>
      </c>
      <c r="G2" s="3" t="s">
        <v>14</v>
      </c>
      <c r="H2" s="3" t="s">
        <v>6</v>
      </c>
      <c r="I2" s="3" t="s">
        <v>7</v>
      </c>
      <c r="J2" s="3" t="s">
        <v>16</v>
      </c>
      <c r="K2" s="3" t="s">
        <v>14</v>
      </c>
      <c r="M2" s="13" t="s">
        <v>30</v>
      </c>
      <c r="N2" s="13" t="s">
        <v>26</v>
      </c>
      <c r="O2" s="13" t="s">
        <v>27</v>
      </c>
      <c r="P2" s="13" t="s">
        <v>30</v>
      </c>
      <c r="Q2" s="13" t="s">
        <v>26</v>
      </c>
      <c r="R2" s="13" t="s">
        <v>27</v>
      </c>
    </row>
    <row r="3" spans="1:18" x14ac:dyDescent="0.35">
      <c r="A3" s="17" t="s">
        <v>0</v>
      </c>
      <c r="B3" s="27">
        <f>0.74*$A$2</f>
        <v>74</v>
      </c>
      <c r="C3" s="27"/>
      <c r="D3" s="27">
        <f>0.748*$A$2</f>
        <v>74.8</v>
      </c>
      <c r="E3" s="27"/>
      <c r="F3" s="42">
        <f>0.752*$A$2</f>
        <v>75.2</v>
      </c>
      <c r="G3" s="42"/>
      <c r="H3" s="27">
        <f>0.74*$A$2</f>
        <v>74</v>
      </c>
      <c r="I3" s="27"/>
      <c r="J3" s="27">
        <f>0.75*$A$2</f>
        <v>75</v>
      </c>
      <c r="K3" s="39"/>
      <c r="M3" s="22" t="s">
        <v>0</v>
      </c>
      <c r="N3" s="14">
        <v>75.2</v>
      </c>
      <c r="O3" s="14" t="s">
        <v>3</v>
      </c>
      <c r="P3" s="23" t="s">
        <v>9</v>
      </c>
      <c r="Q3" s="14">
        <v>75.2</v>
      </c>
      <c r="R3" s="47" t="s">
        <v>5</v>
      </c>
    </row>
    <row r="4" spans="1:18" x14ac:dyDescent="0.35">
      <c r="A4" s="18">
        <v>100</v>
      </c>
      <c r="B4" s="40" t="s">
        <v>1</v>
      </c>
      <c r="C4" s="40"/>
      <c r="D4" s="40" t="s">
        <v>2</v>
      </c>
      <c r="E4" s="40"/>
      <c r="F4" s="40" t="s">
        <v>3</v>
      </c>
      <c r="G4" s="40"/>
      <c r="H4" s="40" t="s">
        <v>4</v>
      </c>
      <c r="I4" s="40"/>
      <c r="J4" s="40" t="s">
        <v>5</v>
      </c>
      <c r="K4" s="41"/>
      <c r="M4" s="22"/>
      <c r="N4" s="6">
        <v>75</v>
      </c>
      <c r="O4" s="6" t="s">
        <v>5</v>
      </c>
      <c r="P4" s="23"/>
      <c r="Q4" s="6">
        <v>75</v>
      </c>
      <c r="R4" s="7" t="s">
        <v>3</v>
      </c>
    </row>
    <row r="5" spans="1:18" x14ac:dyDescent="0.35">
      <c r="A5" s="18">
        <v>100</v>
      </c>
      <c r="B5" s="3" t="s">
        <v>20</v>
      </c>
      <c r="C5" s="3" t="s">
        <v>14</v>
      </c>
      <c r="D5" s="3" t="s">
        <v>20</v>
      </c>
      <c r="E5" s="3" t="s">
        <v>14</v>
      </c>
      <c r="F5" s="3" t="s">
        <v>20</v>
      </c>
      <c r="G5" s="3" t="s">
        <v>14</v>
      </c>
      <c r="H5" s="3" t="s">
        <v>20</v>
      </c>
      <c r="I5" s="3" t="s">
        <v>14</v>
      </c>
      <c r="J5" s="3" t="s">
        <v>20</v>
      </c>
      <c r="K5" s="3" t="s">
        <v>14</v>
      </c>
      <c r="M5" s="22"/>
      <c r="N5" s="6">
        <v>74.8</v>
      </c>
      <c r="O5" s="6" t="s">
        <v>2</v>
      </c>
      <c r="P5" s="23"/>
      <c r="Q5" s="6">
        <v>75</v>
      </c>
      <c r="R5" s="7" t="s">
        <v>2</v>
      </c>
    </row>
    <row r="6" spans="1:18" x14ac:dyDescent="0.35">
      <c r="A6" s="17" t="s">
        <v>9</v>
      </c>
      <c r="B6" s="27">
        <f>0.748*$A$2</f>
        <v>74.8</v>
      </c>
      <c r="C6" s="27"/>
      <c r="D6" s="27">
        <f>0.75*$A$2</f>
        <v>75</v>
      </c>
      <c r="E6" s="27"/>
      <c r="F6" s="27">
        <f>0.75*$A$2</f>
        <v>75</v>
      </c>
      <c r="G6" s="27"/>
      <c r="H6" s="27">
        <f>0.744*$A$2</f>
        <v>74.400000000000006</v>
      </c>
      <c r="I6" s="27"/>
      <c r="J6" s="42">
        <f>0.752*$A$2</f>
        <v>75.2</v>
      </c>
      <c r="K6" s="43"/>
      <c r="M6" s="22"/>
      <c r="N6" s="6">
        <v>74</v>
      </c>
      <c r="O6" s="6" t="s">
        <v>4</v>
      </c>
      <c r="P6" s="23"/>
      <c r="Q6" s="6">
        <v>74.8</v>
      </c>
      <c r="R6" s="7" t="s">
        <v>1</v>
      </c>
    </row>
    <row r="7" spans="1:18" x14ac:dyDescent="0.35">
      <c r="A7" s="18">
        <v>100</v>
      </c>
      <c r="B7" s="40" t="s">
        <v>1</v>
      </c>
      <c r="C7" s="40"/>
      <c r="D7" s="40" t="s">
        <v>2</v>
      </c>
      <c r="E7" s="40"/>
      <c r="F7" s="40" t="s">
        <v>3</v>
      </c>
      <c r="G7" s="40"/>
      <c r="H7" s="40" t="s">
        <v>4</v>
      </c>
      <c r="I7" s="40"/>
      <c r="J7" s="40" t="s">
        <v>5</v>
      </c>
      <c r="K7" s="41"/>
      <c r="M7" s="22"/>
      <c r="N7" s="6">
        <v>74</v>
      </c>
      <c r="O7" s="6" t="s">
        <v>1</v>
      </c>
      <c r="P7" s="23"/>
      <c r="Q7" s="6">
        <v>74.400000000000006</v>
      </c>
      <c r="R7" s="7" t="s">
        <v>4</v>
      </c>
    </row>
    <row r="8" spans="1:18" x14ac:dyDescent="0.35">
      <c r="A8" s="18">
        <v>100</v>
      </c>
      <c r="B8" s="3" t="s">
        <v>16</v>
      </c>
      <c r="C8" s="3" t="s">
        <v>33</v>
      </c>
      <c r="D8" s="3" t="s">
        <v>6</v>
      </c>
      <c r="E8" s="3" t="s">
        <v>33</v>
      </c>
      <c r="F8" s="3" t="s">
        <v>16</v>
      </c>
      <c r="G8" s="3" t="s">
        <v>33</v>
      </c>
      <c r="H8" s="3" t="s">
        <v>15</v>
      </c>
      <c r="I8" s="3" t="s">
        <v>33</v>
      </c>
      <c r="J8" s="3" t="s">
        <v>22</v>
      </c>
      <c r="K8" s="3" t="s">
        <v>33</v>
      </c>
      <c r="M8" s="8"/>
      <c r="N8" s="9"/>
      <c r="O8" s="9"/>
      <c r="P8" s="9"/>
      <c r="Q8" s="9"/>
      <c r="R8" s="10"/>
    </row>
    <row r="9" spans="1:18" x14ac:dyDescent="0.35">
      <c r="A9" s="17" t="s">
        <v>11</v>
      </c>
      <c r="B9" s="27">
        <f>0.716*$A$2</f>
        <v>71.599999999999994</v>
      </c>
      <c r="C9" s="27"/>
      <c r="D9" s="27">
        <f>0.71*$A$2</f>
        <v>71</v>
      </c>
      <c r="E9" s="27"/>
      <c r="F9" s="27">
        <f>0.712*$A$2</f>
        <v>71.2</v>
      </c>
      <c r="G9" s="27"/>
      <c r="H9" s="27">
        <f>0.694*$A$2</f>
        <v>69.399999999999991</v>
      </c>
      <c r="I9" s="27"/>
      <c r="J9" s="27">
        <f t="shared" ref="J9" si="0">0.71*$A$2</f>
        <v>71</v>
      </c>
      <c r="K9" s="39"/>
      <c r="M9" s="22" t="s">
        <v>11</v>
      </c>
      <c r="N9" s="6">
        <v>71.599999999999994</v>
      </c>
      <c r="O9" s="6" t="s">
        <v>1</v>
      </c>
      <c r="P9" s="23" t="s">
        <v>12</v>
      </c>
      <c r="Q9" s="6">
        <v>73.2</v>
      </c>
      <c r="R9" s="7" t="s">
        <v>3</v>
      </c>
    </row>
    <row r="10" spans="1:18" x14ac:dyDescent="0.35">
      <c r="A10" s="18">
        <v>100</v>
      </c>
      <c r="B10" s="40" t="s">
        <v>1</v>
      </c>
      <c r="C10" s="40"/>
      <c r="D10" s="40" t="s">
        <v>2</v>
      </c>
      <c r="E10" s="40"/>
      <c r="F10" s="40" t="s">
        <v>3</v>
      </c>
      <c r="G10" s="40"/>
      <c r="H10" s="40" t="s">
        <v>4</v>
      </c>
      <c r="I10" s="40"/>
      <c r="J10" s="40" t="s">
        <v>5</v>
      </c>
      <c r="K10" s="41"/>
      <c r="M10" s="22"/>
      <c r="N10" s="6">
        <v>71.2</v>
      </c>
      <c r="O10" s="6" t="s">
        <v>3</v>
      </c>
      <c r="P10" s="23"/>
      <c r="Q10" s="6">
        <v>60.199999999999996</v>
      </c>
      <c r="R10" s="7" t="s">
        <v>4</v>
      </c>
    </row>
    <row r="11" spans="1:18" x14ac:dyDescent="0.35">
      <c r="A11" s="18">
        <v>100</v>
      </c>
      <c r="B11" s="3" t="s">
        <v>15</v>
      </c>
      <c r="C11" s="3" t="s">
        <v>34</v>
      </c>
      <c r="D11" s="3" t="s">
        <v>6</v>
      </c>
      <c r="E11" s="3" t="s">
        <v>34</v>
      </c>
      <c r="F11" s="3" t="s">
        <v>19</v>
      </c>
      <c r="G11" s="3" t="s">
        <v>34</v>
      </c>
      <c r="H11" s="3" t="s">
        <v>19</v>
      </c>
      <c r="I11" s="3" t="s">
        <v>34</v>
      </c>
      <c r="J11" s="3" t="s">
        <v>35</v>
      </c>
      <c r="K11" s="3" t="s">
        <v>34</v>
      </c>
      <c r="M11" s="22"/>
      <c r="N11" s="6">
        <v>71</v>
      </c>
      <c r="O11" s="6" t="s">
        <v>2</v>
      </c>
      <c r="P11" s="23"/>
      <c r="Q11" s="6">
        <v>60</v>
      </c>
      <c r="R11" s="7" t="s">
        <v>1</v>
      </c>
    </row>
    <row r="12" spans="1:18" x14ac:dyDescent="0.35">
      <c r="A12" s="17" t="s">
        <v>12</v>
      </c>
      <c r="B12" s="27">
        <f>0.6*$A$2</f>
        <v>60</v>
      </c>
      <c r="C12" s="27"/>
      <c r="D12" s="27">
        <f>0.6*$A$2</f>
        <v>60</v>
      </c>
      <c r="E12" s="27"/>
      <c r="F12" s="27">
        <f>0.732*$A$2</f>
        <v>73.2</v>
      </c>
      <c r="G12" s="27"/>
      <c r="H12" s="27">
        <f>0.602*$A$2</f>
        <v>60.199999999999996</v>
      </c>
      <c r="I12" s="27"/>
      <c r="J12" s="27">
        <f>0.598*$A$2</f>
        <v>59.8</v>
      </c>
      <c r="K12" s="39"/>
      <c r="M12" s="22"/>
      <c r="N12" s="6">
        <v>71</v>
      </c>
      <c r="O12" s="6" t="s">
        <v>5</v>
      </c>
      <c r="P12" s="23"/>
      <c r="Q12" s="6">
        <v>60</v>
      </c>
      <c r="R12" s="7" t="s">
        <v>2</v>
      </c>
    </row>
    <row r="13" spans="1:18" ht="15" thickBot="1" x14ac:dyDescent="0.4">
      <c r="A13" s="36"/>
      <c r="B13" s="37"/>
      <c r="C13" s="37"/>
      <c r="D13" s="37"/>
      <c r="E13" s="37"/>
      <c r="F13" s="37"/>
      <c r="G13" s="37"/>
      <c r="H13" s="37"/>
      <c r="I13" s="37"/>
      <c r="J13" s="37"/>
      <c r="K13" s="38"/>
      <c r="M13" s="24"/>
      <c r="N13" s="11">
        <v>69.399999999999991</v>
      </c>
      <c r="O13" s="11" t="s">
        <v>4</v>
      </c>
      <c r="P13" s="25"/>
      <c r="Q13" s="50">
        <v>59.8</v>
      </c>
      <c r="R13" s="51" t="s">
        <v>5</v>
      </c>
    </row>
  </sheetData>
  <mergeCells count="46">
    <mergeCell ref="J3:K3"/>
    <mergeCell ref="B1:C1"/>
    <mergeCell ref="D1:E1"/>
    <mergeCell ref="F1:G1"/>
    <mergeCell ref="H1:I1"/>
    <mergeCell ref="J1:K1"/>
    <mergeCell ref="B3:C3"/>
    <mergeCell ref="D3:E3"/>
    <mergeCell ref="F3:G3"/>
    <mergeCell ref="H3:I3"/>
    <mergeCell ref="J6:K6"/>
    <mergeCell ref="J4:K4"/>
    <mergeCell ref="B4:C4"/>
    <mergeCell ref="D4:E4"/>
    <mergeCell ref="F4:G4"/>
    <mergeCell ref="H4:I4"/>
    <mergeCell ref="B6:C6"/>
    <mergeCell ref="D6:E6"/>
    <mergeCell ref="F6:G6"/>
    <mergeCell ref="H6:I6"/>
    <mergeCell ref="B7:C7"/>
    <mergeCell ref="D7:E7"/>
    <mergeCell ref="F7:G7"/>
    <mergeCell ref="H7:I7"/>
    <mergeCell ref="J7:K7"/>
    <mergeCell ref="B9:C9"/>
    <mergeCell ref="D9:E9"/>
    <mergeCell ref="F9:G9"/>
    <mergeCell ref="H9:I9"/>
    <mergeCell ref="J9:K9"/>
    <mergeCell ref="M1:R1"/>
    <mergeCell ref="M3:M7"/>
    <mergeCell ref="P3:P7"/>
    <mergeCell ref="A13:K13"/>
    <mergeCell ref="M9:M13"/>
    <mergeCell ref="P9:P13"/>
    <mergeCell ref="B12:C12"/>
    <mergeCell ref="D12:E12"/>
    <mergeCell ref="F12:G12"/>
    <mergeCell ref="H12:I12"/>
    <mergeCell ref="J12:K12"/>
    <mergeCell ref="B10:C10"/>
    <mergeCell ref="D10:E10"/>
    <mergeCell ref="F10:G10"/>
    <mergeCell ref="H10:I10"/>
    <mergeCell ref="J10:K10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</vt:lpstr>
      <vt:lpstr>MPQA</vt:lpstr>
      <vt:lpstr>MR</vt:lpstr>
      <vt:lpstr>SUBJ</vt:lpstr>
      <vt:lpstr>TREC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Diardano Raihan</dc:creator>
  <cp:lastModifiedBy>Diardano Raihan</cp:lastModifiedBy>
  <dcterms:created xsi:type="dcterms:W3CDTF">2021-02-12T08:06:10Z</dcterms:created>
  <dcterms:modified xsi:type="dcterms:W3CDTF">2021-03-13T09:40:55Z</dcterms:modified>
</cp:coreProperties>
</file>