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 Statement" sheetId="1" r:id="rId4"/>
    <sheet state="hidden" name="Balance Sheet" sheetId="2" r:id="rId5"/>
  </sheets>
  <definedNames/>
  <calcPr/>
</workbook>
</file>

<file path=xl/sharedStrings.xml><?xml version="1.0" encoding="utf-8"?>
<sst xmlns="http://schemas.openxmlformats.org/spreadsheetml/2006/main" count="76" uniqueCount="76">
  <si>
    <t>Assumptions</t>
  </si>
  <si>
    <t>Grey Sky</t>
  </si>
  <si>
    <t>Blue Sky</t>
  </si>
  <si>
    <t>Base</t>
  </si>
  <si>
    <t xml:space="preserve"> Sales/Revenue</t>
  </si>
  <si>
    <t>Sales CAGR</t>
  </si>
  <si>
    <t xml:space="preserve"> Cost of Goods Sold excl. D&amp;A</t>
  </si>
  <si>
    <t>COGS Inflation</t>
  </si>
  <si>
    <t xml:space="preserve"> Depreciation &amp; Amortization Expense</t>
  </si>
  <si>
    <t>D&amp;A Inflation</t>
  </si>
  <si>
    <t xml:space="preserve"> Gross Income</t>
  </si>
  <si>
    <t>Debt Cost of Cap.</t>
  </si>
  <si>
    <t xml:space="preserve"> SG&amp;A Expense</t>
  </si>
  <si>
    <t>Tax Rate</t>
  </si>
  <si>
    <t xml:space="preserve"> Unusual Expense</t>
  </si>
  <si>
    <t>Assumed Interest Rate</t>
  </si>
  <si>
    <t xml:space="preserve"> EBIT after Unusual Expense</t>
  </si>
  <si>
    <t>2023 Net Income</t>
  </si>
  <si>
    <t xml:space="preserve"> Non Operating Income/Expense</t>
  </si>
  <si>
    <t>2023 EPS</t>
  </si>
  <si>
    <t xml:space="preserve"> Interest Expense</t>
  </si>
  <si>
    <t xml:space="preserve"> Pretax Income</t>
  </si>
  <si>
    <t xml:space="preserve"> Income Tax</t>
  </si>
  <si>
    <t xml:space="preserve"> Consolidated Net Income</t>
  </si>
  <si>
    <t xml:space="preserve"> Minority Interest Expense</t>
  </si>
  <si>
    <t xml:space="preserve"> Net Income</t>
  </si>
  <si>
    <t xml:space="preserve"> Extra Items &amp; Gain/Loss Sale Of Assets</t>
  </si>
  <si>
    <t xml:space="preserve"> Net Income After Extraordinaries</t>
  </si>
  <si>
    <t xml:space="preserve"> Preferred Dividends</t>
  </si>
  <si>
    <t xml:space="preserve"> Net Income Available to Common</t>
  </si>
  <si>
    <t xml:space="preserve"> EPS (Basic)</t>
  </si>
  <si>
    <t xml:space="preserve"> Basic Shares Outstanding</t>
  </si>
  <si>
    <t xml:space="preserve"> EPS (Diluted)</t>
  </si>
  <si>
    <t xml:space="preserve"> Diluted Shares Outstanding</t>
  </si>
  <si>
    <t xml:space="preserve"> Assets</t>
  </si>
  <si>
    <t>Assumption</t>
  </si>
  <si>
    <t xml:space="preserve"> Cash &amp; Short Term Investments</t>
  </si>
  <si>
    <t>A/R Rate</t>
  </si>
  <si>
    <t xml:space="preserve"> Accounts Receivables, Net</t>
  </si>
  <si>
    <t>PP&amp;E CAGR</t>
  </si>
  <si>
    <t xml:space="preserve"> Finished Goods</t>
  </si>
  <si>
    <t>A/P Rate</t>
  </si>
  <si>
    <t xml:space="preserve"> Raw Materials</t>
  </si>
  <si>
    <t xml:space="preserve"> Progress Payments &amp; Other</t>
  </si>
  <si>
    <t xml:space="preserve"> Inventories</t>
  </si>
  <si>
    <t xml:space="preserve"> Total Current Assets</t>
  </si>
  <si>
    <t xml:space="preserve"> Net Property, Plant &amp; Equipment</t>
  </si>
  <si>
    <t xml:space="preserve"> Accumulated Depreciation (Intangible)</t>
  </si>
  <si>
    <t xml:space="preserve"> Buildings</t>
  </si>
  <si>
    <t xml:space="preserve"> Land &amp; Improvements</t>
  </si>
  <si>
    <t xml:space="preserve"> Total Investments and Advances</t>
  </si>
  <si>
    <t xml:space="preserve"> Other Long-Term Investments</t>
  </si>
  <si>
    <t xml:space="preserve"> Long-Term Note Receivable</t>
  </si>
  <si>
    <t xml:space="preserve"> Intangible Assets</t>
  </si>
  <si>
    <t xml:space="preserve"> Net Goodwill</t>
  </si>
  <si>
    <t xml:space="preserve"> Net Other Intangibles</t>
  </si>
  <si>
    <t xml:space="preserve"> Other Assets</t>
  </si>
  <si>
    <t xml:space="preserve"> Tangible Other Assets</t>
  </si>
  <si>
    <t xml:space="preserve"> Total Assets</t>
  </si>
  <si>
    <t xml:space="preserve"> Liabilities &amp; Shareholders' Equity</t>
  </si>
  <si>
    <t xml:space="preserve"> ST Debt &amp; Current Portion LT Debt</t>
  </si>
  <si>
    <t xml:space="preserve"> Accounts Payable</t>
  </si>
  <si>
    <t xml:space="preserve"> Other Current Liabilities</t>
  </si>
  <si>
    <t xml:space="preserve"> Total Current Liabilities</t>
  </si>
  <si>
    <t xml:space="preserve"> Long-Term Debt</t>
  </si>
  <si>
    <t xml:space="preserve"> Provision for Risks &amp; Charges</t>
  </si>
  <si>
    <t xml:space="preserve"> Other Liabilities</t>
  </si>
  <si>
    <t xml:space="preserve"> Total Liabilities</t>
  </si>
  <si>
    <t xml:space="preserve"> Common Equity (Total)</t>
  </si>
  <si>
    <t xml:space="preserve"> Common Stock Par/Carry Value</t>
  </si>
  <si>
    <t xml:space="preserve"> Retained Earnings</t>
  </si>
  <si>
    <t xml:space="preserve"> Cumulative Translation Adjustment For. Exch. Gain</t>
  </si>
  <si>
    <t xml:space="preserve"> Total Shareholders' Equity</t>
  </si>
  <si>
    <t xml:space="preserve"> Accumulated Minority Interest</t>
  </si>
  <si>
    <t xml:space="preserve"> Total Equity</t>
  </si>
  <si>
    <t xml:space="preserve"> Liabilities &amp; Shareholders' Equity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</si>
</sst>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_);[Red]\(&quot;$&quot;#,##0\)"/>
    <numFmt numFmtId="166" formatCode="&quot;$&quot;#,##0.00_);[Red]\(&quot;$&quot;#,##0.00\)"/>
  </numFmts>
  <fonts count="8">
    <font>
      <sz val="11.0"/>
      <color theme="1"/>
      <name val="Arial"/>
    </font>
    <font>
      <b/>
      <sz val="11.0"/>
      <color theme="1"/>
      <name val="Calibri"/>
    </font>
    <font>
      <i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rgb="FF00B0F0"/>
      <name val="Calibri"/>
    </font>
    <font>
      <sz val="11.0"/>
      <color rgb="FF00B050"/>
      <name val="Calibri"/>
    </font>
    <font>
      <i/>
      <sz val="11.0"/>
      <color rgb="FF00B05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8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14" xfId="0" applyFont="1" applyNumberFormat="1"/>
    <xf borderId="1" fillId="0" fontId="1" numFmtId="14" xfId="0" applyBorder="1" applyFont="1" applyNumberFormat="1"/>
    <xf borderId="2" fillId="0" fontId="2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4" numFmtId="0" xfId="0" applyFont="1"/>
    <xf borderId="0" fillId="0" fontId="3" numFmtId="164" xfId="0" applyFont="1" applyNumberFormat="1"/>
    <xf borderId="7" fillId="0" fontId="3" numFmtId="164" xfId="0" applyBorder="1" applyFont="1" applyNumberFormat="1"/>
    <xf borderId="8" fillId="0" fontId="5" numFmtId="164" xfId="0" applyBorder="1" applyFont="1" applyNumberFormat="1"/>
    <xf borderId="2" fillId="0" fontId="3" numFmtId="0" xfId="0" applyBorder="1" applyFont="1"/>
    <xf borderId="3" fillId="0" fontId="3" numFmtId="10" xfId="0" applyBorder="1" applyFont="1" applyNumberFormat="1"/>
    <xf borderId="9" fillId="0" fontId="3" numFmtId="10" xfId="0" applyBorder="1" applyFont="1" applyNumberFormat="1"/>
    <xf borderId="2" fillId="0" fontId="3" numFmtId="10" xfId="0" applyBorder="1" applyFont="1" applyNumberFormat="1"/>
    <xf borderId="10" fillId="0" fontId="3" numFmtId="0" xfId="0" applyBorder="1" applyFont="1"/>
    <xf borderId="10" fillId="0" fontId="3" numFmtId="164" xfId="0" applyBorder="1" applyFont="1" applyNumberFormat="1"/>
    <xf borderId="1" fillId="0" fontId="3" numFmtId="164" xfId="0" applyBorder="1" applyFont="1" applyNumberFormat="1"/>
    <xf borderId="0" fillId="0" fontId="6" numFmtId="164" xfId="0" applyFont="1" applyNumberFormat="1"/>
    <xf borderId="1" fillId="0" fontId="6" numFmtId="164" xfId="0" applyBorder="1" applyFont="1" applyNumberFormat="1"/>
    <xf borderId="0" fillId="0" fontId="5" numFmtId="164" xfId="0" applyFont="1" applyNumberFormat="1"/>
    <xf borderId="8" fillId="0" fontId="3" numFmtId="0" xfId="0" applyBorder="1" applyFont="1"/>
    <xf borderId="8" fillId="0" fontId="6" numFmtId="164" xfId="0" applyBorder="1" applyFont="1" applyNumberFormat="1"/>
    <xf borderId="7" fillId="0" fontId="6" numFmtId="164" xfId="0" applyBorder="1" applyFont="1" applyNumberFormat="1"/>
    <xf borderId="2" fillId="2" fontId="3" numFmtId="0" xfId="0" applyBorder="1" applyFill="1" applyFont="1"/>
    <xf borderId="11" fillId="2" fontId="3" numFmtId="165" xfId="0" applyBorder="1" applyFont="1" applyNumberFormat="1"/>
    <xf borderId="9" fillId="0" fontId="3" numFmtId="164" xfId="0" applyBorder="1" applyFont="1" applyNumberFormat="1"/>
    <xf borderId="2" fillId="0" fontId="3" numFmtId="164" xfId="0" applyBorder="1" applyFont="1" applyNumberFormat="1"/>
    <xf borderId="12" fillId="0" fontId="3" numFmtId="164" xfId="0" applyBorder="1" applyFont="1" applyNumberFormat="1"/>
    <xf borderId="13" fillId="0" fontId="3" numFmtId="164" xfId="0" applyBorder="1" applyFont="1" applyNumberFormat="1"/>
    <xf borderId="11" fillId="2" fontId="3" numFmtId="166" xfId="0" applyBorder="1" applyFont="1" applyNumberForma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0" fillId="0" fontId="6" numFmtId="164" xfId="0" applyBorder="1" applyFont="1" applyNumberFormat="1"/>
    <xf borderId="17" fillId="0" fontId="6" numFmtId="164" xfId="0" applyBorder="1" applyFont="1" applyNumberFormat="1"/>
    <xf borderId="10" fillId="0" fontId="5" numFmtId="164" xfId="0" applyBorder="1" applyFont="1" applyNumberFormat="1"/>
    <xf borderId="0" fillId="0" fontId="7" numFmtId="166" xfId="0" applyFont="1" applyNumberFormat="1"/>
    <xf borderId="1" fillId="0" fontId="7" numFmtId="166" xfId="0" applyBorder="1" applyFont="1" applyNumberFormat="1"/>
    <xf borderId="0" fillId="0" fontId="3" numFmtId="4" xfId="0" applyFont="1" applyNumberFormat="1"/>
    <xf borderId="1" fillId="0" fontId="3" numFmtId="4" xfId="0" applyBorder="1" applyFont="1" applyNumberFormat="1"/>
    <xf borderId="0" fillId="0" fontId="3" numFmtId="10" xfId="0" applyFont="1" applyNumberFormat="1"/>
    <xf borderId="1" fillId="0" fontId="5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25"/>
    <col customWidth="1" min="2" max="7" width="12.25"/>
    <col customWidth="1" min="8" max="8" width="3.88"/>
    <col customWidth="1" min="9" max="9" width="17.75"/>
    <col customWidth="1" min="10" max="10" width="8.5"/>
    <col customWidth="1" min="11" max="11" width="10.13"/>
    <col customWidth="1" min="12" max="12" width="9.5"/>
    <col customWidth="1" min="13" max="13" width="8.13"/>
    <col customWidth="1" min="14" max="26" width="7.63"/>
  </cols>
  <sheetData>
    <row r="1" ht="14.25" customHeight="1">
      <c r="B1" s="1">
        <v>43465.0</v>
      </c>
      <c r="C1" s="1">
        <v>43830.0</v>
      </c>
      <c r="D1" s="2">
        <v>44196.0</v>
      </c>
      <c r="E1" s="1">
        <v>44561.0</v>
      </c>
      <c r="F1" s="1">
        <v>44926.0</v>
      </c>
      <c r="G1" s="1">
        <v>45291.0</v>
      </c>
      <c r="I1" s="3" t="s">
        <v>0</v>
      </c>
      <c r="J1" s="4"/>
      <c r="K1" s="5" t="s">
        <v>1</v>
      </c>
      <c r="L1" s="6" t="s">
        <v>2</v>
      </c>
      <c r="M1" s="7" t="s">
        <v>3</v>
      </c>
    </row>
    <row r="2" ht="14.25" customHeight="1">
      <c r="A2" s="8" t="s">
        <v>4</v>
      </c>
      <c r="B2" s="9">
        <v>115916.0</v>
      </c>
      <c r="C2" s="9">
        <v>119869.0</v>
      </c>
      <c r="D2" s="10">
        <v>120468.0</v>
      </c>
      <c r="E2" s="11">
        <f t="shared" ref="E2:G2" si="1">D2*(1+$J$2)</f>
        <v>130105.44</v>
      </c>
      <c r="F2" s="11">
        <f t="shared" si="1"/>
        <v>140513.8752</v>
      </c>
      <c r="G2" s="11">
        <f t="shared" si="1"/>
        <v>151754.9852</v>
      </c>
      <c r="I2" s="12" t="s">
        <v>5</v>
      </c>
      <c r="J2" s="13">
        <v>0.08</v>
      </c>
      <c r="K2" s="14">
        <v>0.03</v>
      </c>
      <c r="L2" s="15">
        <v>0.11</v>
      </c>
      <c r="M2" s="15">
        <v>0.08</v>
      </c>
    </row>
    <row r="3" ht="14.25" customHeight="1">
      <c r="A3" s="16" t="s">
        <v>6</v>
      </c>
      <c r="B3" s="17">
        <v>72695.0</v>
      </c>
      <c r="C3" s="17">
        <v>75227.0</v>
      </c>
      <c r="D3" s="18">
        <v>86937.0</v>
      </c>
      <c r="E3" s="9">
        <f t="shared" ref="E3:G3" si="2">D3*(1+$J$3)</f>
        <v>87806.37</v>
      </c>
      <c r="F3" s="9">
        <f t="shared" si="2"/>
        <v>88684.4337</v>
      </c>
      <c r="G3" s="9">
        <f t="shared" si="2"/>
        <v>89571.27804</v>
      </c>
      <c r="I3" s="12" t="s">
        <v>7</v>
      </c>
      <c r="J3" s="13">
        <v>0.01</v>
      </c>
      <c r="K3" s="14">
        <v>0.02</v>
      </c>
      <c r="L3" s="15">
        <v>-0.02</v>
      </c>
      <c r="M3" s="15">
        <v>0.01</v>
      </c>
    </row>
    <row r="4" ht="14.25" customHeight="1">
      <c r="A4" s="8" t="s">
        <v>8</v>
      </c>
      <c r="B4" s="9">
        <v>4847.0</v>
      </c>
      <c r="C4" s="9">
        <v>4997.0</v>
      </c>
      <c r="D4" s="18">
        <v>4997.0</v>
      </c>
      <c r="E4" s="9">
        <f t="shared" ref="E4:G4" si="3">D4</f>
        <v>4997</v>
      </c>
      <c r="F4" s="9">
        <f t="shared" si="3"/>
        <v>4997</v>
      </c>
      <c r="G4" s="9">
        <f t="shared" si="3"/>
        <v>4997</v>
      </c>
      <c r="I4" s="12" t="s">
        <v>9</v>
      </c>
      <c r="J4" s="13">
        <f t="shared" ref="J4:J7" si="5">AVERAGE(K4:M4)</f>
        <v>0</v>
      </c>
      <c r="K4" s="14">
        <v>0.0</v>
      </c>
      <c r="L4" s="15">
        <v>0.0</v>
      </c>
      <c r="M4" s="15">
        <v>0.0</v>
      </c>
    </row>
    <row r="5" ht="14.25" customHeight="1">
      <c r="A5" s="8" t="s">
        <v>10</v>
      </c>
      <c r="B5" s="19">
        <f t="shared" ref="B5:G5" si="4">B2-B3-B4</f>
        <v>38374</v>
      </c>
      <c r="C5" s="19">
        <f t="shared" si="4"/>
        <v>39645</v>
      </c>
      <c r="D5" s="20">
        <f t="shared" si="4"/>
        <v>28534</v>
      </c>
      <c r="E5" s="21">
        <f t="shared" si="4"/>
        <v>37302.07</v>
      </c>
      <c r="F5" s="21">
        <f t="shared" si="4"/>
        <v>46832.4415</v>
      </c>
      <c r="G5" s="21">
        <f t="shared" si="4"/>
        <v>57186.70718</v>
      </c>
      <c r="I5" s="12" t="s">
        <v>11</v>
      </c>
      <c r="J5" s="13">
        <f t="shared" si="5"/>
        <v>0.01301593242</v>
      </c>
      <c r="K5" s="14">
        <v>0.01301593242087254</v>
      </c>
      <c r="L5" s="15">
        <v>0.01301593242087254</v>
      </c>
      <c r="M5" s="15">
        <v>0.01301593242087254</v>
      </c>
    </row>
    <row r="6" ht="14.25" customHeight="1">
      <c r="A6" s="8" t="s">
        <v>12</v>
      </c>
      <c r="B6" s="9">
        <v>26229.0</v>
      </c>
      <c r="C6" s="9">
        <v>25706.0</v>
      </c>
      <c r="D6" s="18">
        <v>34080.0</v>
      </c>
      <c r="E6" s="9">
        <f t="shared" ref="E6:G6" si="6">D6*(1+$J$2)</f>
        <v>36806.4</v>
      </c>
      <c r="F6" s="9">
        <f t="shared" si="6"/>
        <v>39750.912</v>
      </c>
      <c r="G6" s="9">
        <f t="shared" si="6"/>
        <v>42930.98496</v>
      </c>
      <c r="I6" s="12" t="s">
        <v>13</v>
      </c>
      <c r="J6" s="13">
        <f t="shared" si="5"/>
        <v>0.1254678208</v>
      </c>
      <c r="K6" s="14">
        <v>0.15640346228581534</v>
      </c>
      <c r="L6" s="15">
        <v>0.1</v>
      </c>
      <c r="M6" s="15">
        <v>0.12</v>
      </c>
    </row>
    <row r="7" ht="14.25" customHeight="1">
      <c r="A7" s="8" t="s">
        <v>14</v>
      </c>
      <c r="B7" s="9">
        <v>2166.0</v>
      </c>
      <c r="C7" s="9">
        <v>4308.0</v>
      </c>
      <c r="D7" s="18">
        <v>4308.0</v>
      </c>
      <c r="E7" s="9">
        <f t="shared" ref="E7:G7" si="7">AVERAGE(B7:D7)</f>
        <v>3594</v>
      </c>
      <c r="F7" s="9">
        <f t="shared" si="7"/>
        <v>4070</v>
      </c>
      <c r="G7" s="9">
        <f t="shared" si="7"/>
        <v>3990.666667</v>
      </c>
      <c r="I7" s="12" t="s">
        <v>15</v>
      </c>
      <c r="J7" s="13">
        <f t="shared" si="5"/>
        <v>0.03233333333</v>
      </c>
      <c r="K7" s="14">
        <v>0.05</v>
      </c>
      <c r="L7" s="15">
        <v>0.017</v>
      </c>
      <c r="M7" s="15">
        <v>0.03</v>
      </c>
    </row>
    <row r="8" ht="14.25" customHeight="1">
      <c r="A8" s="22" t="s">
        <v>16</v>
      </c>
      <c r="B8" s="23">
        <f t="shared" ref="B8:G8" si="8">B5-B6-B7</f>
        <v>9979</v>
      </c>
      <c r="C8" s="23">
        <f t="shared" si="8"/>
        <v>9631</v>
      </c>
      <c r="D8" s="24">
        <f t="shared" si="8"/>
        <v>-9854</v>
      </c>
      <c r="E8" s="21">
        <f t="shared" si="8"/>
        <v>-3098.33</v>
      </c>
      <c r="F8" s="21">
        <f t="shared" si="8"/>
        <v>3011.5295</v>
      </c>
      <c r="G8" s="21">
        <f t="shared" si="8"/>
        <v>10265.05555</v>
      </c>
      <c r="I8" s="25" t="s">
        <v>17</v>
      </c>
      <c r="J8" s="26">
        <f>G15</f>
        <v>-1798.833203</v>
      </c>
      <c r="K8" s="27">
        <v>-20410.0</v>
      </c>
      <c r="L8" s="28">
        <v>19799.0</v>
      </c>
      <c r="M8" s="29">
        <v>146.0</v>
      </c>
    </row>
    <row r="9" ht="14.25" customHeight="1">
      <c r="A9" s="8" t="s">
        <v>18</v>
      </c>
      <c r="B9" s="9">
        <v>-868.999999999985</v>
      </c>
      <c r="C9" s="9">
        <v>-628.0</v>
      </c>
      <c r="D9" s="18">
        <v>1624.0</v>
      </c>
      <c r="E9" s="30">
        <f t="shared" ref="E9:G9" si="9">AVERAGE(B9:D9)</f>
        <v>42.33333333</v>
      </c>
      <c r="F9" s="30">
        <f t="shared" si="9"/>
        <v>346.1111111</v>
      </c>
      <c r="G9" s="30">
        <f t="shared" si="9"/>
        <v>670.8148148</v>
      </c>
      <c r="I9" s="25" t="s">
        <v>19</v>
      </c>
      <c r="J9" s="31">
        <f>G22</f>
        <v>-0.258379927</v>
      </c>
      <c r="K9" s="32"/>
      <c r="L9" s="33"/>
      <c r="M9" s="34"/>
    </row>
    <row r="10" ht="14.25" customHeight="1">
      <c r="A10" s="8" t="s">
        <v>20</v>
      </c>
      <c r="B10" s="9">
        <v>3090.0</v>
      </c>
      <c r="C10" s="9">
        <v>4281.0</v>
      </c>
      <c r="D10" s="18">
        <v>4869.0</v>
      </c>
      <c r="E10" s="9">
        <f>$J$7*'Balance Sheet'!G31</f>
        <v>12190.0508</v>
      </c>
      <c r="F10" s="9">
        <f>$J$7*'Balance Sheet'!H31</f>
        <v>12281.00571</v>
      </c>
      <c r="G10" s="9">
        <f>$J$7*'Balance Sheet'!I31</f>
        <v>11921.60132</v>
      </c>
    </row>
    <row r="11" ht="14.25" customHeight="1">
      <c r="A11" s="8" t="s">
        <v>21</v>
      </c>
      <c r="B11" s="19">
        <f t="shared" ref="B11:G11" si="10">B8-B10-B9</f>
        <v>7758</v>
      </c>
      <c r="C11" s="19">
        <f t="shared" si="10"/>
        <v>5978</v>
      </c>
      <c r="D11" s="20">
        <f t="shared" si="10"/>
        <v>-16347</v>
      </c>
      <c r="E11" s="21">
        <f t="shared" si="10"/>
        <v>-15330.71413</v>
      </c>
      <c r="F11" s="21">
        <f t="shared" si="10"/>
        <v>-9615.587316</v>
      </c>
      <c r="G11" s="21">
        <f t="shared" si="10"/>
        <v>-2327.360581</v>
      </c>
    </row>
    <row r="12" ht="14.25" customHeight="1">
      <c r="A12" s="8" t="s">
        <v>22</v>
      </c>
      <c r="B12" s="9">
        <v>6485.0</v>
      </c>
      <c r="C12" s="9">
        <v>-464.0</v>
      </c>
      <c r="D12" s="18">
        <v>-3043.0</v>
      </c>
      <c r="E12" s="9">
        <f t="shared" ref="E12:G12" si="11">$J$6*E11</f>
        <v>-1923.511293</v>
      </c>
      <c r="F12" s="9">
        <f t="shared" si="11"/>
        <v>-1206.446786</v>
      </c>
      <c r="G12" s="9">
        <f t="shared" si="11"/>
        <v>-292.0088603</v>
      </c>
    </row>
    <row r="13" ht="14.25" customHeight="1">
      <c r="A13" s="8" t="s">
        <v>23</v>
      </c>
      <c r="B13" s="19">
        <f t="shared" ref="B13:G13" si="12">B11-B12</f>
        <v>1273</v>
      </c>
      <c r="C13" s="19">
        <f t="shared" si="12"/>
        <v>6442</v>
      </c>
      <c r="D13" s="20">
        <f t="shared" si="12"/>
        <v>-13304</v>
      </c>
      <c r="E13" s="21">
        <f t="shared" si="12"/>
        <v>-13407.20284</v>
      </c>
      <c r="F13" s="21">
        <f t="shared" si="12"/>
        <v>-8409.14053</v>
      </c>
      <c r="G13" s="21">
        <f t="shared" si="12"/>
        <v>-2035.351721</v>
      </c>
    </row>
    <row r="14" ht="14.25" customHeight="1">
      <c r="A14" s="8" t="s">
        <v>24</v>
      </c>
      <c r="B14" s="9">
        <v>19.0</v>
      </c>
      <c r="C14" s="9">
        <v>-290.0</v>
      </c>
      <c r="D14" s="18">
        <v>-277.0</v>
      </c>
      <c r="E14" s="9">
        <f t="shared" ref="E14:G14" si="13">AVERAGE(B14:D14)</f>
        <v>-182.6666667</v>
      </c>
      <c r="F14" s="9">
        <f t="shared" si="13"/>
        <v>-249.8888889</v>
      </c>
      <c r="G14" s="9">
        <f t="shared" si="13"/>
        <v>-236.5185185</v>
      </c>
    </row>
    <row r="15" ht="14.25" customHeight="1">
      <c r="A15" s="16" t="s">
        <v>25</v>
      </c>
      <c r="B15" s="35">
        <f t="shared" ref="B15:G15" si="14">B13-B14</f>
        <v>1254</v>
      </c>
      <c r="C15" s="35">
        <f t="shared" si="14"/>
        <v>6732</v>
      </c>
      <c r="D15" s="36">
        <f t="shared" si="14"/>
        <v>-13027</v>
      </c>
      <c r="E15" s="37">
        <f t="shared" si="14"/>
        <v>-13224.53617</v>
      </c>
      <c r="F15" s="37">
        <f t="shared" si="14"/>
        <v>-8159.251641</v>
      </c>
      <c r="G15" s="37">
        <f t="shared" si="14"/>
        <v>-1798.833203</v>
      </c>
    </row>
    <row r="16" ht="14.25" customHeight="1">
      <c r="A16" s="8" t="s">
        <v>26</v>
      </c>
      <c r="B16" s="9">
        <v>-7591.0</v>
      </c>
      <c r="C16" s="9">
        <v>-1252.0</v>
      </c>
      <c r="D16" s="18">
        <v>-1252.0</v>
      </c>
      <c r="E16" s="9">
        <v>0.0</v>
      </c>
      <c r="F16" s="9">
        <v>1.0</v>
      </c>
      <c r="G16" s="9">
        <v>2.0</v>
      </c>
    </row>
    <row r="17" ht="14.25" customHeight="1">
      <c r="A17" s="8" t="s">
        <v>27</v>
      </c>
      <c r="B17" s="19">
        <f t="shared" ref="B17:G17" si="15">B15+B16</f>
        <v>-6337</v>
      </c>
      <c r="C17" s="19">
        <f t="shared" si="15"/>
        <v>5480</v>
      </c>
      <c r="D17" s="20">
        <f t="shared" si="15"/>
        <v>-14279</v>
      </c>
      <c r="E17" s="21">
        <f t="shared" si="15"/>
        <v>-13224.53617</v>
      </c>
      <c r="F17" s="21">
        <f t="shared" si="15"/>
        <v>-8158.251641</v>
      </c>
      <c r="G17" s="21">
        <f t="shared" si="15"/>
        <v>-1796.833203</v>
      </c>
    </row>
    <row r="18" ht="14.25" customHeight="1">
      <c r="A18" s="8" t="s">
        <v>28</v>
      </c>
      <c r="B18" s="9">
        <v>18.0</v>
      </c>
      <c r="C18" s="9">
        <v>656.0</v>
      </c>
      <c r="D18" s="18">
        <v>436.0</v>
      </c>
      <c r="E18" s="9">
        <f t="shared" ref="E18:G18" si="16">D18</f>
        <v>436</v>
      </c>
      <c r="F18" s="9">
        <f t="shared" si="16"/>
        <v>436</v>
      </c>
      <c r="G18" s="9">
        <f t="shared" si="16"/>
        <v>436</v>
      </c>
    </row>
    <row r="19" ht="14.25" customHeight="1">
      <c r="A19" s="16" t="s">
        <v>29</v>
      </c>
      <c r="B19" s="35">
        <f t="shared" ref="B19:G19" si="17">B17-B18</f>
        <v>-6355</v>
      </c>
      <c r="C19" s="35">
        <f t="shared" si="17"/>
        <v>4824</v>
      </c>
      <c r="D19" s="36">
        <f t="shared" si="17"/>
        <v>-14715</v>
      </c>
      <c r="E19" s="37">
        <f t="shared" si="17"/>
        <v>-13660.53617</v>
      </c>
      <c r="F19" s="37">
        <f t="shared" si="17"/>
        <v>-8594.251641</v>
      </c>
      <c r="G19" s="37">
        <f t="shared" si="17"/>
        <v>-2232.833203</v>
      </c>
    </row>
    <row r="20" ht="14.25" customHeight="1">
      <c r="A20" s="8" t="s">
        <v>30</v>
      </c>
      <c r="B20" s="38">
        <f t="shared" ref="B20:G20" si="18">B19/B21</f>
        <v>-0.6389917582</v>
      </c>
      <c r="C20" s="38">
        <f t="shared" si="18"/>
        <v>0.5345084227</v>
      </c>
      <c r="D20" s="39">
        <f t="shared" si="18"/>
        <v>-1.702796528</v>
      </c>
      <c r="E20" s="38">
        <f t="shared" si="18"/>
        <v>-1.580775642</v>
      </c>
      <c r="F20" s="38">
        <f t="shared" si="18"/>
        <v>-0.9945132083</v>
      </c>
      <c r="G20" s="38">
        <f t="shared" si="18"/>
        <v>-0.258379927</v>
      </c>
    </row>
    <row r="21" ht="14.25" customHeight="1">
      <c r="A21" s="8" t="s">
        <v>31</v>
      </c>
      <c r="B21" s="40">
        <v>9945.35519125683</v>
      </c>
      <c r="C21" s="40">
        <v>9025.11503067484</v>
      </c>
      <c r="D21" s="41">
        <v>8641.66666666666</v>
      </c>
      <c r="E21" s="40">
        <f t="shared" ref="E21:G21" si="19">D21</f>
        <v>8641.666667</v>
      </c>
      <c r="F21" s="40">
        <f t="shared" si="19"/>
        <v>8641.666667</v>
      </c>
      <c r="G21" s="40">
        <f t="shared" si="19"/>
        <v>8641.666667</v>
      </c>
    </row>
    <row r="22" ht="14.25" customHeight="1">
      <c r="A22" s="8" t="s">
        <v>32</v>
      </c>
      <c r="B22" s="38">
        <f t="shared" ref="B22:G22" si="20">B19/B23</f>
        <v>-0.6346270604</v>
      </c>
      <c r="C22" s="38">
        <f t="shared" si="20"/>
        <v>0.5280525119</v>
      </c>
      <c r="D22" s="39">
        <f t="shared" si="20"/>
        <v>-1.702796528</v>
      </c>
      <c r="E22" s="38">
        <f t="shared" si="20"/>
        <v>-1.580775642</v>
      </c>
      <c r="F22" s="38">
        <f t="shared" si="20"/>
        <v>-0.9945132083</v>
      </c>
      <c r="G22" s="38">
        <f t="shared" si="20"/>
        <v>-0.258379927</v>
      </c>
    </row>
    <row r="23" ht="14.25" customHeight="1">
      <c r="A23" s="8" t="s">
        <v>33</v>
      </c>
      <c r="B23" s="40">
        <v>10013.7551581843</v>
      </c>
      <c r="C23" s="40">
        <v>9135.45507471376</v>
      </c>
      <c r="D23" s="41">
        <v>8641.66666666666</v>
      </c>
      <c r="E23" s="40">
        <f t="shared" ref="E23:G23" si="21">D23</f>
        <v>8641.666667</v>
      </c>
      <c r="F23" s="40">
        <f t="shared" si="21"/>
        <v>8641.666667</v>
      </c>
      <c r="G23" s="40">
        <f t="shared" si="21"/>
        <v>8641.666667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13"/>
    <col customWidth="1" min="2" max="5" width="10.5"/>
    <col customWidth="1" min="6" max="6" width="12.63"/>
    <col customWidth="1" min="7" max="9" width="10.13"/>
    <col customWidth="1" min="10" max="26" width="7.63"/>
  </cols>
  <sheetData>
    <row r="1" ht="14.25" customHeight="1">
      <c r="A1" s="8" t="s">
        <v>34</v>
      </c>
      <c r="B1" s="1">
        <v>42735.0</v>
      </c>
      <c r="C1" s="1">
        <v>43100.0</v>
      </c>
      <c r="D1" s="1">
        <v>43465.0</v>
      </c>
      <c r="E1" s="1">
        <v>43830.0</v>
      </c>
      <c r="F1" s="2">
        <v>44196.0</v>
      </c>
      <c r="G1" s="1">
        <v>44561.0</v>
      </c>
      <c r="H1" s="1">
        <v>44926.0</v>
      </c>
      <c r="I1" s="1">
        <v>45291.0</v>
      </c>
      <c r="K1" s="8" t="s">
        <v>35</v>
      </c>
    </row>
    <row r="2" ht="14.25" customHeight="1">
      <c r="A2" s="8" t="s">
        <v>36</v>
      </c>
      <c r="B2" s="9">
        <v>88635.0</v>
      </c>
      <c r="C2" s="9">
        <v>70025.0</v>
      </c>
      <c r="D2" s="9">
        <v>70483.0</v>
      </c>
      <c r="E2" s="9">
        <v>48129.0</v>
      </c>
      <c r="F2" s="18">
        <v>82000.0</v>
      </c>
      <c r="G2" s="9">
        <f>F2+'Income Statement'!E15</f>
        <v>68775.46383</v>
      </c>
      <c r="H2" s="9">
        <f>G2+'Income Statement'!F15</f>
        <v>60616.21219</v>
      </c>
      <c r="I2" s="9">
        <f>H2+'Income Statement'!G15</f>
        <v>58817.37899</v>
      </c>
      <c r="K2" s="8" t="s">
        <v>37</v>
      </c>
      <c r="L2" s="42">
        <f>F3/'Income Statement'!D2</f>
        <v>0.3014742504</v>
      </c>
    </row>
    <row r="3" ht="14.25" customHeight="1">
      <c r="A3" s="8" t="s">
        <v>38</v>
      </c>
      <c r="B3" s="9">
        <v>263328.0</v>
      </c>
      <c r="C3" s="9">
        <v>36682.0</v>
      </c>
      <c r="D3" s="9">
        <v>39074.0</v>
      </c>
      <c r="E3" s="9">
        <v>36318.0</v>
      </c>
      <c r="F3" s="18">
        <v>36318.0</v>
      </c>
      <c r="G3" s="9">
        <f>'Income Statement'!E2*'Balance Sheet'!$L$2</f>
        <v>39223.44</v>
      </c>
      <c r="H3" s="9">
        <f>'Income Statement'!F2*'Balance Sheet'!$L$2</f>
        <v>42361.3152</v>
      </c>
      <c r="I3" s="9">
        <f>'Income Statement'!G2*'Balance Sheet'!$L$2</f>
        <v>45750.22042</v>
      </c>
      <c r="K3" s="8" t="s">
        <v>39</v>
      </c>
      <c r="L3" s="42">
        <f>(((D9-C9)/C9)+((E9-D9)/D9)+((F9-E9)/E9))/3</f>
        <v>0.04205335762</v>
      </c>
    </row>
    <row r="4" ht="14.25" customHeight="1">
      <c r="A4" s="8" t="s">
        <v>40</v>
      </c>
      <c r="B4" s="9">
        <v>6794.0</v>
      </c>
      <c r="C4" s="9">
        <v>7176.0</v>
      </c>
      <c r="D4" s="9">
        <v>8265.0</v>
      </c>
      <c r="E4" s="9">
        <v>8798.0</v>
      </c>
      <c r="F4" s="18">
        <v>8798.0</v>
      </c>
      <c r="G4" s="9">
        <f t="shared" ref="G4:I4" si="1">AVERAGE(D4:F4)</f>
        <v>8620.333333</v>
      </c>
      <c r="H4" s="9">
        <f t="shared" si="1"/>
        <v>8738.777778</v>
      </c>
      <c r="I4" s="9">
        <f t="shared" si="1"/>
        <v>8719.037037</v>
      </c>
      <c r="K4" s="8" t="s">
        <v>41</v>
      </c>
      <c r="L4" s="42">
        <f>AVERAGE(D25:F25)/(AVERAGE('Income Statement'!B2:D2))</f>
        <v>0.1194375907</v>
      </c>
    </row>
    <row r="5" ht="14.25" customHeight="1">
      <c r="A5" s="8" t="s">
        <v>42</v>
      </c>
      <c r="B5" s="9">
        <v>10220.0</v>
      </c>
      <c r="C5" s="9">
        <v>9963.0</v>
      </c>
      <c r="D5" s="9">
        <v>13415.0</v>
      </c>
      <c r="E5" s="9">
        <v>12637.0</v>
      </c>
      <c r="F5" s="18">
        <v>12637.0</v>
      </c>
      <c r="G5" s="9">
        <f t="shared" ref="G5:I5" si="2">AVERAGE(D5:F5)</f>
        <v>12896.33333</v>
      </c>
      <c r="H5" s="9">
        <f t="shared" si="2"/>
        <v>12723.44444</v>
      </c>
      <c r="I5" s="9">
        <f t="shared" si="2"/>
        <v>12752.25926</v>
      </c>
    </row>
    <row r="6" ht="14.25" customHeight="1">
      <c r="A6" s="8" t="s">
        <v>43</v>
      </c>
      <c r="B6" s="9">
        <v>311.0</v>
      </c>
      <c r="C6" s="9">
        <v>694.0</v>
      </c>
      <c r="D6" s="9">
        <v>835.0</v>
      </c>
      <c r="E6" s="9">
        <v>919.0</v>
      </c>
      <c r="F6" s="18">
        <v>919.0</v>
      </c>
      <c r="G6" s="9">
        <f t="shared" ref="G6:I6" si="3">AVERAGE(D6:F6)</f>
        <v>891</v>
      </c>
      <c r="H6" s="9">
        <f t="shared" si="3"/>
        <v>909.6666667</v>
      </c>
      <c r="I6" s="9">
        <f t="shared" si="3"/>
        <v>906.5555556</v>
      </c>
    </row>
    <row r="7" ht="14.25" customHeight="1">
      <c r="A7" s="8" t="s">
        <v>44</v>
      </c>
      <c r="B7" s="21">
        <f t="shared" ref="B7:I7" si="4">SUM(B4:B6)</f>
        <v>17325</v>
      </c>
      <c r="C7" s="21">
        <f t="shared" si="4"/>
        <v>17833</v>
      </c>
      <c r="D7" s="21">
        <f t="shared" si="4"/>
        <v>22515</v>
      </c>
      <c r="E7" s="21">
        <f t="shared" si="4"/>
        <v>22354</v>
      </c>
      <c r="F7" s="43">
        <f t="shared" si="4"/>
        <v>22354</v>
      </c>
      <c r="G7" s="21">
        <f t="shared" si="4"/>
        <v>22407.66667</v>
      </c>
      <c r="H7" s="21">
        <f t="shared" si="4"/>
        <v>22371.88889</v>
      </c>
      <c r="I7" s="21">
        <f t="shared" si="4"/>
        <v>22377.85185</v>
      </c>
    </row>
    <row r="8" ht="14.25" customHeight="1">
      <c r="A8" s="8" t="s">
        <v>45</v>
      </c>
      <c r="B8" s="21">
        <f t="shared" ref="B8:I8" si="5">B7+B3+B2</f>
        <v>369288</v>
      </c>
      <c r="C8" s="21">
        <f t="shared" si="5"/>
        <v>124540</v>
      </c>
      <c r="D8" s="21">
        <f t="shared" si="5"/>
        <v>132072</v>
      </c>
      <c r="E8" s="21">
        <f t="shared" si="5"/>
        <v>106801</v>
      </c>
      <c r="F8" s="43">
        <f t="shared" si="5"/>
        <v>140672</v>
      </c>
      <c r="G8" s="21">
        <f t="shared" si="5"/>
        <v>130406.5705</v>
      </c>
      <c r="H8" s="21">
        <f t="shared" si="5"/>
        <v>125349.4163</v>
      </c>
      <c r="I8" s="21">
        <f t="shared" si="5"/>
        <v>126945.4513</v>
      </c>
    </row>
    <row r="9" ht="14.25" customHeight="1">
      <c r="A9" s="8" t="s">
        <v>46</v>
      </c>
      <c r="B9" s="9">
        <v>68827.0</v>
      </c>
      <c r="C9" s="9">
        <v>48070.0</v>
      </c>
      <c r="D9" s="9">
        <v>54095.0</v>
      </c>
      <c r="E9" s="9">
        <v>50518.0</v>
      </c>
      <c r="F9" s="18">
        <v>53900.0</v>
      </c>
      <c r="G9" s="9">
        <f t="shared" ref="G9:I9" si="6">(F9*(1+$L$3))</f>
        <v>56166.67598</v>
      </c>
      <c r="H9" s="9">
        <f t="shared" si="6"/>
        <v>58528.67329</v>
      </c>
      <c r="I9" s="9">
        <f t="shared" si="6"/>
        <v>60990.00052</v>
      </c>
    </row>
    <row r="10" ht="14.25" customHeight="1">
      <c r="A10" s="8" t="s">
        <v>47</v>
      </c>
      <c r="B10" s="9">
        <v>47642.0</v>
      </c>
      <c r="C10" s="9">
        <v>35121.0</v>
      </c>
      <c r="D10" s="9">
        <v>35927.0</v>
      </c>
      <c r="E10" s="9">
        <v>35357.0</v>
      </c>
      <c r="F10" s="18">
        <v>35357.0</v>
      </c>
      <c r="G10" s="9">
        <f t="shared" ref="G10:I10" si="7">AVERAGE(D10:F10)</f>
        <v>35547</v>
      </c>
      <c r="H10" s="9">
        <f t="shared" si="7"/>
        <v>35420.33333</v>
      </c>
      <c r="I10" s="9">
        <f t="shared" si="7"/>
        <v>35441.44444</v>
      </c>
    </row>
    <row r="11" ht="14.25" customHeight="1">
      <c r="A11" s="8" t="s">
        <v>48</v>
      </c>
      <c r="B11" s="9">
        <v>11414.0</v>
      </c>
      <c r="C11" s="9">
        <v>9058.0</v>
      </c>
      <c r="D11" s="9">
        <v>10317.0</v>
      </c>
      <c r="E11" s="9">
        <v>9918.0</v>
      </c>
      <c r="F11" s="18">
        <v>9918.0</v>
      </c>
      <c r="G11" s="9">
        <f t="shared" ref="G11:I11" si="8">AVERAGE(D11:F11)</f>
        <v>10051</v>
      </c>
      <c r="H11" s="9">
        <f t="shared" si="8"/>
        <v>9962.333333</v>
      </c>
      <c r="I11" s="9">
        <f t="shared" si="8"/>
        <v>9977.111111</v>
      </c>
    </row>
    <row r="12" ht="14.25" customHeight="1">
      <c r="A12" s="8" t="s">
        <v>49</v>
      </c>
      <c r="B12" s="9">
        <v>707.0</v>
      </c>
      <c r="C12" s="9">
        <v>690.0</v>
      </c>
      <c r="D12" s="9">
        <v>888.0</v>
      </c>
      <c r="E12" s="9">
        <v>932.0</v>
      </c>
      <c r="F12" s="18">
        <v>932.0</v>
      </c>
      <c r="G12" s="9">
        <f t="shared" ref="G12:I12" si="9">AVERAGE(D12:F12)</f>
        <v>917.3333333</v>
      </c>
      <c r="H12" s="9">
        <f t="shared" si="9"/>
        <v>927.1111111</v>
      </c>
      <c r="I12" s="9">
        <f t="shared" si="9"/>
        <v>925.4814815</v>
      </c>
    </row>
    <row r="13" ht="14.25" customHeight="1">
      <c r="A13" s="8" t="s">
        <v>50</v>
      </c>
      <c r="B13" s="9">
        <v>88678.0</v>
      </c>
      <c r="C13" s="9">
        <v>50508.0</v>
      </c>
      <c r="D13" s="9">
        <v>56337.0</v>
      </c>
      <c r="E13" s="9">
        <v>57109.0</v>
      </c>
      <c r="F13" s="18">
        <v>57109.0</v>
      </c>
      <c r="G13" s="9">
        <f t="shared" ref="G13:I13" si="10">AVERAGE(D13:F13)</f>
        <v>56851.66667</v>
      </c>
      <c r="H13" s="9">
        <f t="shared" si="10"/>
        <v>57023.22222</v>
      </c>
      <c r="I13" s="9">
        <f t="shared" si="10"/>
        <v>56994.62963</v>
      </c>
    </row>
    <row r="14" ht="14.25" customHeight="1">
      <c r="A14" s="8" t="s">
        <v>51</v>
      </c>
      <c r="B14" s="9">
        <v>89671.0</v>
      </c>
      <c r="C14" s="9">
        <v>68234.0</v>
      </c>
      <c r="D14" s="9">
        <v>79803.0</v>
      </c>
      <c r="E14" s="9">
        <v>84704.0</v>
      </c>
      <c r="F14" s="18">
        <v>84704.0</v>
      </c>
      <c r="G14" s="9">
        <f t="shared" ref="G14:I14" si="11">AVERAGE(D14:F14)</f>
        <v>83070.33333</v>
      </c>
      <c r="H14" s="9">
        <f t="shared" si="11"/>
        <v>84159.44444</v>
      </c>
      <c r="I14" s="9">
        <f t="shared" si="11"/>
        <v>83977.92593</v>
      </c>
    </row>
    <row r="15" ht="14.25" customHeight="1">
      <c r="A15" s="8" t="s">
        <v>52</v>
      </c>
      <c r="B15" s="9">
        <v>993.0</v>
      </c>
      <c r="C15" s="9">
        <v>17726.0</v>
      </c>
      <c r="D15" s="9">
        <v>23466.0</v>
      </c>
      <c r="E15" s="9">
        <v>27595.0</v>
      </c>
      <c r="F15" s="18">
        <v>27595.0</v>
      </c>
      <c r="G15" s="9">
        <f t="shared" ref="G15:I15" si="12">AVERAGE(D15:F15)</f>
        <v>26218.66667</v>
      </c>
      <c r="H15" s="9">
        <f t="shared" si="12"/>
        <v>27136.22222</v>
      </c>
      <c r="I15" s="9">
        <f t="shared" si="12"/>
        <v>26983.2963</v>
      </c>
    </row>
    <row r="16" ht="14.25" customHeight="1">
      <c r="A16" s="8" t="s">
        <v>53</v>
      </c>
      <c r="B16" s="9">
        <v>91958.0</v>
      </c>
      <c r="C16" s="9">
        <v>66389.0</v>
      </c>
      <c r="D16" s="9">
        <v>83323.0</v>
      </c>
      <c r="E16" s="9">
        <v>86874.0</v>
      </c>
      <c r="F16" s="18">
        <v>104200.0</v>
      </c>
      <c r="G16" s="9">
        <f t="shared" ref="G16:I16" si="13">(F16*(1+$L$3))</f>
        <v>108581.9599</v>
      </c>
      <c r="H16" s="9">
        <f t="shared" si="13"/>
        <v>113148.1959</v>
      </c>
      <c r="I16" s="9">
        <f t="shared" si="13"/>
        <v>117906.4574</v>
      </c>
    </row>
    <row r="17" ht="14.25" customHeight="1">
      <c r="A17" s="8" t="s">
        <v>54</v>
      </c>
      <c r="B17" s="9">
        <v>77648.0</v>
      </c>
      <c r="C17" s="9">
        <v>53207.0</v>
      </c>
      <c r="D17" s="9">
        <v>65526.0</v>
      </c>
      <c r="E17" s="9">
        <v>70438.0</v>
      </c>
      <c r="F17" s="18">
        <v>70438.0</v>
      </c>
      <c r="G17" s="9">
        <f t="shared" ref="G17:I17" si="14">AVERAGE(D17:F17)</f>
        <v>68800.66667</v>
      </c>
      <c r="H17" s="9">
        <f t="shared" si="14"/>
        <v>69892.22222</v>
      </c>
      <c r="I17" s="9">
        <f t="shared" si="14"/>
        <v>69710.2963</v>
      </c>
    </row>
    <row r="18" ht="14.25" customHeight="1">
      <c r="A18" s="8" t="s">
        <v>55</v>
      </c>
      <c r="B18" s="9">
        <v>14310.0</v>
      </c>
      <c r="C18" s="9">
        <v>13182.0</v>
      </c>
      <c r="D18" s="9">
        <v>17797.0</v>
      </c>
      <c r="E18" s="9">
        <v>16436.0</v>
      </c>
      <c r="F18" s="18">
        <v>33762.0</v>
      </c>
      <c r="G18" s="9">
        <f t="shared" ref="G18:I18" si="15">AVERAGE(D18:F18)</f>
        <v>22665</v>
      </c>
      <c r="H18" s="9">
        <f t="shared" si="15"/>
        <v>24287.66667</v>
      </c>
      <c r="I18" s="9">
        <f t="shared" si="15"/>
        <v>26904.88889</v>
      </c>
    </row>
    <row r="19" ht="14.25" customHeight="1">
      <c r="A19" s="8" t="s">
        <v>56</v>
      </c>
      <c r="B19" s="9">
        <v>27427.0</v>
      </c>
      <c r="C19" s="9">
        <v>335421.0</v>
      </c>
      <c r="D19" s="9">
        <v>133891.0</v>
      </c>
      <c r="E19" s="9">
        <v>28509.0</v>
      </c>
      <c r="F19" s="18">
        <v>81100.0</v>
      </c>
      <c r="G19" s="9">
        <f t="shared" ref="G19:I19" si="16">AVERAGE(D19:F19)</f>
        <v>81166.66667</v>
      </c>
      <c r="H19" s="9">
        <f t="shared" si="16"/>
        <v>63591.88889</v>
      </c>
      <c r="I19" s="9">
        <f t="shared" si="16"/>
        <v>75286.18519</v>
      </c>
    </row>
    <row r="20" ht="14.25" customHeight="1">
      <c r="A20" s="8" t="s">
        <v>57</v>
      </c>
      <c r="B20" s="9">
        <v>24203.0</v>
      </c>
      <c r="C20" s="9">
        <v>333387.0</v>
      </c>
      <c r="D20" s="9">
        <v>131538.0</v>
      </c>
      <c r="E20" s="9">
        <v>26319.0</v>
      </c>
      <c r="F20" s="18">
        <v>81100.0</v>
      </c>
      <c r="G20" s="9">
        <f t="shared" ref="G20:I20" si="17">AVERAGE(D20:F20)</f>
        <v>79652.33333</v>
      </c>
      <c r="H20" s="9">
        <f t="shared" si="17"/>
        <v>62357.11111</v>
      </c>
      <c r="I20" s="9">
        <f t="shared" si="17"/>
        <v>74369.81481</v>
      </c>
    </row>
    <row r="21" ht="14.25" customHeight="1">
      <c r="A21" s="8" t="s">
        <v>58</v>
      </c>
      <c r="B21" s="21">
        <f t="shared" ref="B21:I21" si="18">B8+B9+B11+B14+B12+B15+B17+B18+B19-B10</f>
        <v>612643</v>
      </c>
      <c r="C21" s="21">
        <f t="shared" si="18"/>
        <v>635007</v>
      </c>
      <c r="D21" s="21">
        <f t="shared" si="18"/>
        <v>481928</v>
      </c>
      <c r="E21" s="21">
        <f t="shared" si="18"/>
        <v>360494</v>
      </c>
      <c r="F21" s="43">
        <f t="shared" si="18"/>
        <v>467664</v>
      </c>
      <c r="G21" s="21">
        <f t="shared" si="18"/>
        <v>443915.9131</v>
      </c>
      <c r="H21" s="21">
        <f t="shared" si="18"/>
        <v>428414.6451</v>
      </c>
      <c r="I21" s="21">
        <f t="shared" si="18"/>
        <v>446259.1925</v>
      </c>
    </row>
    <row r="22" ht="14.25" customHeight="1">
      <c r="B22" s="9"/>
      <c r="C22" s="9"/>
      <c r="D22" s="9"/>
      <c r="E22" s="9"/>
      <c r="F22" s="18"/>
    </row>
    <row r="23" ht="14.25" customHeight="1">
      <c r="A23" s="8" t="s">
        <v>59</v>
      </c>
      <c r="B23" s="9"/>
      <c r="C23" s="9"/>
      <c r="D23" s="9"/>
      <c r="E23" s="9"/>
      <c r="F23" s="18"/>
    </row>
    <row r="24" ht="14.25" customHeight="1">
      <c r="A24" s="8" t="s">
        <v>60</v>
      </c>
      <c r="B24" s="9">
        <v>86937.0</v>
      </c>
      <c r="C24" s="9">
        <v>70425.0</v>
      </c>
      <c r="D24" s="9">
        <v>49860.0</v>
      </c>
      <c r="E24" s="9">
        <v>30714.0</v>
      </c>
      <c r="F24" s="18">
        <v>30714.0</v>
      </c>
      <c r="G24" s="9">
        <f t="shared" ref="G24:I24" si="19">AVERAGE(D24:F24)</f>
        <v>37096</v>
      </c>
      <c r="H24" s="9">
        <f t="shared" si="19"/>
        <v>32841.33333</v>
      </c>
      <c r="I24" s="9">
        <f t="shared" si="19"/>
        <v>33550.44444</v>
      </c>
    </row>
    <row r="25" ht="14.25" customHeight="1">
      <c r="A25" s="8" t="s">
        <v>61</v>
      </c>
      <c r="B25" s="9">
        <v>16471.0</v>
      </c>
      <c r="C25" s="9">
        <v>12067.0</v>
      </c>
      <c r="D25" s="9">
        <v>13680.0</v>
      </c>
      <c r="E25" s="9">
        <v>14435.0</v>
      </c>
      <c r="F25" s="18">
        <v>14435.0</v>
      </c>
      <c r="G25" s="9">
        <f>$L$4*'Income Statement'!E2</f>
        <v>15539.48029</v>
      </c>
      <c r="H25" s="9">
        <f>$L$4*'Income Statement'!F2</f>
        <v>16782.63871</v>
      </c>
      <c r="I25" s="9">
        <f>$L$4*'Income Statement'!G2</f>
        <v>18125.24981</v>
      </c>
    </row>
    <row r="26" ht="14.25" customHeight="1">
      <c r="A26" s="8" t="s">
        <v>62</v>
      </c>
      <c r="B26" s="9">
        <v>28726.0</v>
      </c>
      <c r="C26" s="9">
        <v>29177.0</v>
      </c>
      <c r="D26" s="9">
        <v>41540.0</v>
      </c>
      <c r="E26" s="9">
        <v>36431.0</v>
      </c>
      <c r="F26" s="18">
        <v>36431.0</v>
      </c>
      <c r="G26" s="9">
        <f t="shared" ref="G26:I26" si="20">AVERAGE(D26:F26)</f>
        <v>38134</v>
      </c>
      <c r="H26" s="9">
        <f t="shared" si="20"/>
        <v>36998.66667</v>
      </c>
      <c r="I26" s="9">
        <f t="shared" si="20"/>
        <v>37187.88889</v>
      </c>
    </row>
    <row r="27" ht="14.25" customHeight="1">
      <c r="A27" s="8" t="s">
        <v>63</v>
      </c>
      <c r="B27" s="21">
        <f t="shared" ref="B27:I27" si="21">SUM(B24:B26)</f>
        <v>132134</v>
      </c>
      <c r="C27" s="21">
        <f t="shared" si="21"/>
        <v>111669</v>
      </c>
      <c r="D27" s="21">
        <f t="shared" si="21"/>
        <v>105080</v>
      </c>
      <c r="E27" s="21">
        <f t="shared" si="21"/>
        <v>81580</v>
      </c>
      <c r="F27" s="43">
        <f t="shared" si="21"/>
        <v>81580</v>
      </c>
      <c r="G27" s="21">
        <f t="shared" si="21"/>
        <v>90769.48029</v>
      </c>
      <c r="H27" s="21">
        <f t="shared" si="21"/>
        <v>86622.63871</v>
      </c>
      <c r="I27" s="21">
        <f t="shared" si="21"/>
        <v>88863.58314</v>
      </c>
    </row>
    <row r="28" ht="14.25" customHeight="1">
      <c r="A28" s="8" t="s">
        <v>64</v>
      </c>
      <c r="B28" s="9">
        <v>296103.0</v>
      </c>
      <c r="C28" s="9">
        <v>190999.0</v>
      </c>
      <c r="D28" s="9">
        <v>147742.0</v>
      </c>
      <c r="E28" s="9">
        <v>105497.0</v>
      </c>
      <c r="F28" s="18">
        <v>134600.0</v>
      </c>
      <c r="G28" s="9">
        <f t="shared" ref="G28:I28" si="22">F28</f>
        <v>134600</v>
      </c>
      <c r="H28" s="9">
        <f t="shared" si="22"/>
        <v>134600</v>
      </c>
      <c r="I28" s="9">
        <f t="shared" si="22"/>
        <v>134600</v>
      </c>
    </row>
    <row r="29" ht="14.25" customHeight="1">
      <c r="A29" s="8" t="s">
        <v>65</v>
      </c>
      <c r="B29" s="9">
        <v>54397.0</v>
      </c>
      <c r="C29" s="9">
        <v>69670.0</v>
      </c>
      <c r="D29" s="9">
        <v>66179.0</v>
      </c>
      <c r="E29" s="9">
        <v>69866.0</v>
      </c>
      <c r="F29" s="18">
        <v>79700.0</v>
      </c>
      <c r="G29" s="9">
        <f t="shared" ref="G29:I29" si="23">F29</f>
        <v>79700</v>
      </c>
      <c r="H29" s="9">
        <f t="shared" si="23"/>
        <v>79700</v>
      </c>
      <c r="I29" s="9">
        <f t="shared" si="23"/>
        <v>79700</v>
      </c>
    </row>
    <row r="30" ht="14.25" customHeight="1">
      <c r="A30" s="8" t="s">
        <v>66</v>
      </c>
      <c r="B30" s="9">
        <v>37143.0</v>
      </c>
      <c r="C30" s="9">
        <v>145685.0</v>
      </c>
      <c r="D30" s="9">
        <v>70960.0</v>
      </c>
      <c r="E30" s="9">
        <v>27724.0</v>
      </c>
      <c r="F30" s="18">
        <v>78200.0</v>
      </c>
      <c r="G30" s="9">
        <f t="shared" ref="G30:I30" si="24">AVERAGE(B30:F30)</f>
        <v>71942.4</v>
      </c>
      <c r="H30" s="9">
        <f t="shared" si="24"/>
        <v>78902.28</v>
      </c>
      <c r="I30" s="9">
        <f t="shared" si="24"/>
        <v>65545.736</v>
      </c>
    </row>
    <row r="31" ht="14.25" customHeight="1">
      <c r="A31" s="8" t="s">
        <v>67</v>
      </c>
      <c r="B31" s="21">
        <f t="shared" ref="B31:I31" si="25">B27+B28+B29+B30</f>
        <v>519777</v>
      </c>
      <c r="C31" s="21">
        <f t="shared" si="25"/>
        <v>518023</v>
      </c>
      <c r="D31" s="21">
        <f t="shared" si="25"/>
        <v>389961</v>
      </c>
      <c r="E31" s="21">
        <f t="shared" si="25"/>
        <v>284667</v>
      </c>
      <c r="F31" s="43">
        <f t="shared" si="25"/>
        <v>374080</v>
      </c>
      <c r="G31" s="21">
        <f t="shared" si="25"/>
        <v>377011.8803</v>
      </c>
      <c r="H31" s="21">
        <f t="shared" si="25"/>
        <v>379824.9187</v>
      </c>
      <c r="I31" s="21">
        <f t="shared" si="25"/>
        <v>368709.3191</v>
      </c>
    </row>
    <row r="32" ht="14.25" customHeight="1">
      <c r="B32" s="9"/>
      <c r="C32" s="9"/>
      <c r="D32" s="9"/>
      <c r="E32" s="9"/>
      <c r="F32" s="18"/>
      <c r="G32" s="9"/>
    </row>
    <row r="33" ht="14.25" customHeight="1">
      <c r="A33" s="8" t="s">
        <v>68</v>
      </c>
      <c r="B33" s="9">
        <v>130566.0</v>
      </c>
      <c r="C33" s="9">
        <v>128159.0</v>
      </c>
      <c r="D33" s="9">
        <v>98268.0</v>
      </c>
      <c r="E33" s="9">
        <v>75822.0</v>
      </c>
      <c r="F33" s="18">
        <v>64300.0</v>
      </c>
      <c r="G33" s="9">
        <f>F33+'Income Statement'!E15</f>
        <v>51075.46383</v>
      </c>
      <c r="H33" s="9">
        <f>G33+'Income Statement'!F15</f>
        <v>42916.21219</v>
      </c>
      <c r="I33" s="9">
        <f>H33+'Income Statement'!G15</f>
        <v>41117.37899</v>
      </c>
    </row>
    <row r="34" ht="14.25" customHeight="1">
      <c r="A34" s="8" t="s">
        <v>69</v>
      </c>
      <c r="B34" s="9">
        <v>702.0</v>
      </c>
      <c r="C34" s="9">
        <v>702.0</v>
      </c>
      <c r="D34" s="9">
        <v>702.0</v>
      </c>
      <c r="E34" s="9">
        <v>702.0</v>
      </c>
      <c r="F34" s="18">
        <v>702.0</v>
      </c>
      <c r="G34" s="9">
        <f t="shared" ref="G34:I34" si="26">F34</f>
        <v>702</v>
      </c>
      <c r="H34" s="9">
        <f t="shared" si="26"/>
        <v>702</v>
      </c>
      <c r="I34" s="9">
        <f t="shared" si="26"/>
        <v>702</v>
      </c>
    </row>
    <row r="35" ht="14.25" customHeight="1">
      <c r="A35" s="8" t="s">
        <v>70</v>
      </c>
      <c r="B35" s="9">
        <v>149051.0</v>
      </c>
      <c r="C35" s="9">
        <v>155333.0</v>
      </c>
      <c r="D35" s="9">
        <v>140020.0</v>
      </c>
      <c r="E35" s="9">
        <v>139532.0</v>
      </c>
      <c r="F35" s="18">
        <v>139532.0</v>
      </c>
      <c r="G35" s="9">
        <f>F35+'Income Statement'!E15</f>
        <v>126307.4638</v>
      </c>
      <c r="H35" s="9">
        <f>G35+'Income Statement'!F15</f>
        <v>118148.2122</v>
      </c>
      <c r="I35" s="9">
        <f>H35+'Income Statement'!G15</f>
        <v>116349.379</v>
      </c>
    </row>
    <row r="36" ht="14.25" customHeight="1">
      <c r="A36" s="8" t="s">
        <v>71</v>
      </c>
      <c r="B36" s="9">
        <v>126.0</v>
      </c>
      <c r="C36" s="9">
        <v>-2428.0</v>
      </c>
      <c r="D36" s="9">
        <v>-5499.0</v>
      </c>
      <c r="E36" s="9">
        <v>-6816.0</v>
      </c>
      <c r="F36" s="18">
        <v>-6816.0</v>
      </c>
      <c r="G36" s="9">
        <f t="shared" ref="G36:I36" si="27">F36</f>
        <v>-6816</v>
      </c>
      <c r="H36" s="9">
        <f t="shared" si="27"/>
        <v>-6816</v>
      </c>
      <c r="I36" s="9">
        <f t="shared" si="27"/>
        <v>-6816</v>
      </c>
    </row>
    <row r="37" ht="14.25" customHeight="1">
      <c r="A37" s="8" t="s">
        <v>72</v>
      </c>
      <c r="B37" s="9">
        <v>130566.0</v>
      </c>
      <c r="C37" s="9">
        <v>128159.0</v>
      </c>
      <c r="D37" s="9">
        <v>98274.0</v>
      </c>
      <c r="E37" s="9">
        <v>75828.0</v>
      </c>
      <c r="F37" s="18">
        <v>64300.0</v>
      </c>
      <c r="G37" s="9">
        <f t="shared" ref="G37:I37" si="28">G33</f>
        <v>51075.46383</v>
      </c>
      <c r="H37" s="9">
        <f t="shared" si="28"/>
        <v>42916.21219</v>
      </c>
      <c r="I37" s="9">
        <f t="shared" si="28"/>
        <v>41117.37899</v>
      </c>
    </row>
    <row r="38" ht="14.25" customHeight="1">
      <c r="A38" s="8" t="s">
        <v>73</v>
      </c>
      <c r="B38" s="9">
        <v>6217.0</v>
      </c>
      <c r="C38" s="9">
        <v>8772.0</v>
      </c>
      <c r="D38" s="9">
        <v>4836.0</v>
      </c>
      <c r="E38" s="9">
        <v>4688.0</v>
      </c>
      <c r="F38" s="18">
        <v>21100.0</v>
      </c>
      <c r="G38" s="9">
        <f t="shared" ref="G38:I38" si="29">F38</f>
        <v>21100</v>
      </c>
      <c r="H38" s="9">
        <f t="shared" si="29"/>
        <v>21100</v>
      </c>
      <c r="I38" s="9">
        <f t="shared" si="29"/>
        <v>21100</v>
      </c>
    </row>
    <row r="39" ht="14.25" customHeight="1">
      <c r="A39" s="8" t="s">
        <v>74</v>
      </c>
      <c r="B39" s="9">
        <f t="shared" ref="B39:I39" si="30">B37+B38</f>
        <v>136783</v>
      </c>
      <c r="C39" s="9">
        <f t="shared" si="30"/>
        <v>136931</v>
      </c>
      <c r="D39" s="9">
        <f t="shared" si="30"/>
        <v>103110</v>
      </c>
      <c r="E39" s="9">
        <f t="shared" si="30"/>
        <v>80516</v>
      </c>
      <c r="F39" s="18">
        <f t="shared" si="30"/>
        <v>85400</v>
      </c>
      <c r="G39" s="9">
        <f t="shared" si="30"/>
        <v>72175.46383</v>
      </c>
      <c r="H39" s="9">
        <f t="shared" si="30"/>
        <v>64016.21219</v>
      </c>
      <c r="I39" s="9">
        <f t="shared" si="30"/>
        <v>62217.37899</v>
      </c>
    </row>
    <row r="40" ht="14.25" customHeight="1">
      <c r="A40" s="8" t="s">
        <v>75</v>
      </c>
      <c r="B40" s="21">
        <f t="shared" ref="B40:I40" si="31">B39+B31</f>
        <v>656560</v>
      </c>
      <c r="C40" s="21">
        <f t="shared" si="31"/>
        <v>654954</v>
      </c>
      <c r="D40" s="21">
        <f t="shared" si="31"/>
        <v>493071</v>
      </c>
      <c r="E40" s="21">
        <f t="shared" si="31"/>
        <v>365183</v>
      </c>
      <c r="F40" s="43">
        <f t="shared" si="31"/>
        <v>459480</v>
      </c>
      <c r="G40" s="21">
        <f t="shared" si="31"/>
        <v>449187.3441</v>
      </c>
      <c r="H40" s="21">
        <f t="shared" si="31"/>
        <v>443841.1309</v>
      </c>
      <c r="I40" s="21">
        <f t="shared" si="31"/>
        <v>430926.6981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