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Financial-Forecasting-with-Analytics-Essential-Training/"/>
    </mc:Choice>
  </mc:AlternateContent>
  <xr:revisionPtr revIDLastSave="6" documentId="11_CEE85FA3D70A2A973875D3419E2124EDBA66F0BE" xr6:coauthVersionLast="47" xr6:coauthVersionMax="47" xr10:uidLastSave="{A146D7A1-0439-4AD2-BA0F-7F06E6A1E28A}"/>
  <bookViews>
    <workbookView xWindow="-110" yWindow="-110" windowWidth="19420" windowHeight="10420" xr2:uid="{00000000-000D-0000-FFFF-FFFF00000000}"/>
  </bookViews>
  <sheets>
    <sheet name="Income Statement" sheetId="1" r:id="rId1"/>
    <sheet name="Balance Sheet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G5" i="1" s="1"/>
  <c r="F4" i="1"/>
  <c r="F5" i="1" s="1"/>
  <c r="F8" i="1" s="1"/>
  <c r="F11" i="1" s="1"/>
  <c r="G4" i="1"/>
  <c r="F6" i="1"/>
  <c r="G6" i="1"/>
  <c r="F7" i="1"/>
  <c r="G7" i="1" s="1"/>
  <c r="F9" i="1"/>
  <c r="G9" i="1" s="1"/>
  <c r="F10" i="1"/>
  <c r="G10" i="1"/>
  <c r="F14" i="1"/>
  <c r="G14" i="1"/>
  <c r="F18" i="1"/>
  <c r="G18" i="1" s="1"/>
  <c r="F21" i="1"/>
  <c r="G21" i="1"/>
  <c r="F23" i="1"/>
  <c r="G23" i="1"/>
  <c r="F2" i="1"/>
  <c r="G2" i="1" s="1"/>
  <c r="I3" i="2" s="1"/>
  <c r="J3" i="1"/>
  <c r="J4" i="1"/>
  <c r="J5" i="1"/>
  <c r="J6" i="1"/>
  <c r="J7" i="1"/>
  <c r="J2" i="1"/>
  <c r="E6" i="1" s="1"/>
  <c r="F39" i="2"/>
  <c r="E39" i="2"/>
  <c r="D39" i="2"/>
  <c r="D40" i="2" s="1"/>
  <c r="C39" i="2"/>
  <c r="C40" i="2" s="1"/>
  <c r="B39" i="2"/>
  <c r="G38" i="2"/>
  <c r="H38" i="2" s="1"/>
  <c r="I38" i="2" s="1"/>
  <c r="H36" i="2"/>
  <c r="I36" i="2" s="1"/>
  <c r="G36" i="2"/>
  <c r="G34" i="2"/>
  <c r="H34" i="2" s="1"/>
  <c r="I34" i="2" s="1"/>
  <c r="D31" i="2"/>
  <c r="H30" i="2"/>
  <c r="G30" i="2"/>
  <c r="I30" i="2" s="1"/>
  <c r="G29" i="2"/>
  <c r="H29" i="2" s="1"/>
  <c r="I29" i="2" s="1"/>
  <c r="G28" i="2"/>
  <c r="H28" i="2" s="1"/>
  <c r="I28" i="2" s="1"/>
  <c r="F27" i="2"/>
  <c r="F31" i="2" s="1"/>
  <c r="E27" i="2"/>
  <c r="E31" i="2" s="1"/>
  <c r="D27" i="2"/>
  <c r="C27" i="2"/>
  <c r="C31" i="2" s="1"/>
  <c r="B27" i="2"/>
  <c r="B31" i="2" s="1"/>
  <c r="I26" i="2"/>
  <c r="H26" i="2"/>
  <c r="G26" i="2"/>
  <c r="G24" i="2"/>
  <c r="G20" i="2"/>
  <c r="H20" i="2" s="1"/>
  <c r="I20" i="2" s="1"/>
  <c r="I19" i="2"/>
  <c r="H19" i="2"/>
  <c r="G19" i="2"/>
  <c r="H18" i="2"/>
  <c r="G18" i="2"/>
  <c r="I18" i="2" s="1"/>
  <c r="G17" i="2"/>
  <c r="I15" i="2"/>
  <c r="H15" i="2"/>
  <c r="G15" i="2"/>
  <c r="H14" i="2"/>
  <c r="G14" i="2"/>
  <c r="I14" i="2" s="1"/>
  <c r="G13" i="2"/>
  <c r="G12" i="2"/>
  <c r="H12" i="2" s="1"/>
  <c r="I12" i="2" s="1"/>
  <c r="I11" i="2"/>
  <c r="H11" i="2"/>
  <c r="G11" i="2"/>
  <c r="H10" i="2"/>
  <c r="G10" i="2"/>
  <c r="I10" i="2" s="1"/>
  <c r="G9" i="2"/>
  <c r="H9" i="2" s="1"/>
  <c r="I9" i="2" s="1"/>
  <c r="F7" i="2"/>
  <c r="F8" i="2" s="1"/>
  <c r="F21" i="2" s="1"/>
  <c r="E7" i="2"/>
  <c r="E8" i="2" s="1"/>
  <c r="E21" i="2" s="1"/>
  <c r="D7" i="2"/>
  <c r="D8" i="2" s="1"/>
  <c r="D21" i="2" s="1"/>
  <c r="C7" i="2"/>
  <c r="C8" i="2" s="1"/>
  <c r="C21" i="2" s="1"/>
  <c r="B7" i="2"/>
  <c r="B8" i="2" s="1"/>
  <c r="B21" i="2" s="1"/>
  <c r="G6" i="2"/>
  <c r="H6" i="2" s="1"/>
  <c r="I6" i="2" s="1"/>
  <c r="I5" i="2"/>
  <c r="H5" i="2"/>
  <c r="G5" i="2"/>
  <c r="L4" i="2"/>
  <c r="I4" i="2"/>
  <c r="I7" i="2" s="1"/>
  <c r="H4" i="2"/>
  <c r="H7" i="2" s="1"/>
  <c r="G4" i="2"/>
  <c r="G7" i="2" s="1"/>
  <c r="L3" i="2"/>
  <c r="G16" i="2" s="1"/>
  <c r="H16" i="2" s="1"/>
  <c r="I16" i="2" s="1"/>
  <c r="L2" i="2"/>
  <c r="H3" i="2" s="1"/>
  <c r="E23" i="1"/>
  <c r="E21" i="1"/>
  <c r="E18" i="1"/>
  <c r="E14" i="1"/>
  <c r="E9" i="1"/>
  <c r="D8" i="1"/>
  <c r="D11" i="1" s="1"/>
  <c r="D13" i="1" s="1"/>
  <c r="D15" i="1" s="1"/>
  <c r="D17" i="1" s="1"/>
  <c r="D19" i="1" s="1"/>
  <c r="E7" i="1"/>
  <c r="D5" i="1"/>
  <c r="C5" i="1"/>
  <c r="C8" i="1" s="1"/>
  <c r="C11" i="1" s="1"/>
  <c r="C13" i="1" s="1"/>
  <c r="C15" i="1" s="1"/>
  <c r="C17" i="1" s="1"/>
  <c r="C19" i="1" s="1"/>
  <c r="B5" i="1"/>
  <c r="B8" i="1" s="1"/>
  <c r="B11" i="1" s="1"/>
  <c r="B13" i="1" s="1"/>
  <c r="B15" i="1" s="1"/>
  <c r="B17" i="1" s="1"/>
  <c r="B19" i="1" s="1"/>
  <c r="E4" i="1"/>
  <c r="E3" i="1"/>
  <c r="F12" i="1" l="1"/>
  <c r="F13" i="1" s="1"/>
  <c r="F15" i="1" s="1"/>
  <c r="F17" i="1" s="1"/>
  <c r="F19" i="1" s="1"/>
  <c r="G8" i="1"/>
  <c r="G11" i="1" s="1"/>
  <c r="H25" i="2"/>
  <c r="E2" i="1"/>
  <c r="G3" i="2" s="1"/>
  <c r="G25" i="2"/>
  <c r="G27" i="2" s="1"/>
  <c r="G31" i="2" s="1"/>
  <c r="E10" i="1" s="1"/>
  <c r="C22" i="1"/>
  <c r="C20" i="1"/>
  <c r="D22" i="1"/>
  <c r="D20" i="1"/>
  <c r="E40" i="2"/>
  <c r="B20" i="1"/>
  <c r="B22" i="1"/>
  <c r="I13" i="2"/>
  <c r="B40" i="2"/>
  <c r="F40" i="2"/>
  <c r="H13" i="2"/>
  <c r="H17" i="2"/>
  <c r="I17" i="2" s="1"/>
  <c r="H24" i="2"/>
  <c r="H27" i="2" s="1"/>
  <c r="H31" i="2" s="1"/>
  <c r="I25" i="2"/>
  <c r="E5" i="1"/>
  <c r="E8" i="1" s="1"/>
  <c r="I24" i="2"/>
  <c r="I27" i="2" s="1"/>
  <c r="I31" i="2" s="1"/>
  <c r="F20" i="1" l="1"/>
  <c r="F22" i="1"/>
  <c r="G12" i="1"/>
  <c r="G13" i="1" s="1"/>
  <c r="G15" i="1" s="1"/>
  <c r="E11" i="1"/>
  <c r="E12" i="1" s="1"/>
  <c r="E13" i="1" s="1"/>
  <c r="E15" i="1" s="1"/>
  <c r="G17" i="1" l="1"/>
  <c r="G19" i="1" s="1"/>
  <c r="J8" i="1"/>
  <c r="G33" i="2"/>
  <c r="G2" i="2"/>
  <c r="E17" i="1"/>
  <c r="E19" i="1" s="1"/>
  <c r="G35" i="2"/>
  <c r="H35" i="2" s="1"/>
  <c r="I35" i="2" s="1"/>
  <c r="G20" i="1" l="1"/>
  <c r="G22" i="1"/>
  <c r="J9" i="1" s="1"/>
  <c r="E20" i="1"/>
  <c r="E22" i="1"/>
  <c r="H2" i="2"/>
  <c r="G8" i="2"/>
  <c r="G21" i="2" s="1"/>
  <c r="H33" i="2"/>
  <c r="G37" i="2"/>
  <c r="G39" i="2" s="1"/>
  <c r="G40" i="2" s="1"/>
  <c r="I2" i="2" l="1"/>
  <c r="I8" i="2" s="1"/>
  <c r="I21" i="2" s="1"/>
  <c r="H8" i="2"/>
  <c r="H21" i="2" s="1"/>
  <c r="H37" i="2"/>
  <c r="H39" i="2" s="1"/>
  <c r="H40" i="2" s="1"/>
  <c r="I33" i="2"/>
  <c r="I37" i="2" s="1"/>
  <c r="I39" i="2" s="1"/>
  <c r="I40" i="2" s="1"/>
</calcChain>
</file>

<file path=xl/sharedStrings.xml><?xml version="1.0" encoding="utf-8"?>
<sst xmlns="http://schemas.openxmlformats.org/spreadsheetml/2006/main" count="76" uniqueCount="76">
  <si>
    <t>Assumptions</t>
  </si>
  <si>
    <t>Grey Sky</t>
  </si>
  <si>
    <t>Blue Sky</t>
  </si>
  <si>
    <t>Base</t>
  </si>
  <si>
    <t xml:space="preserve"> Sales/Revenue</t>
  </si>
  <si>
    <t>Sales CAGR</t>
  </si>
  <si>
    <t xml:space="preserve"> Cost of Goods Sold excl. D&amp;A</t>
  </si>
  <si>
    <t>COGS Inflation</t>
  </si>
  <si>
    <t xml:space="preserve"> Depreciation &amp; Amortization Expense</t>
  </si>
  <si>
    <t>D&amp;A Inflation</t>
  </si>
  <si>
    <t xml:space="preserve"> Gross Income</t>
  </si>
  <si>
    <t>Debt Cost of Cap.</t>
  </si>
  <si>
    <t xml:space="preserve"> SG&amp;A Expense</t>
  </si>
  <si>
    <t>Tax Rate</t>
  </si>
  <si>
    <t xml:space="preserve"> Unusual Expense</t>
  </si>
  <si>
    <t>Assumed Interest Rate</t>
  </si>
  <si>
    <t xml:space="preserve"> EBIT after Unusual Expense</t>
  </si>
  <si>
    <t>2023 Net Income</t>
  </si>
  <si>
    <t xml:space="preserve"> Non Operating Income/Expense</t>
  </si>
  <si>
    <t>2023 EPS</t>
  </si>
  <si>
    <t xml:space="preserve"> Interest Expense</t>
  </si>
  <si>
    <t xml:space="preserve"> Pretax Income</t>
  </si>
  <si>
    <t xml:space="preserve"> Income Tax</t>
  </si>
  <si>
    <t xml:space="preserve"> Consolidated Net Income</t>
  </si>
  <si>
    <t xml:space="preserve"> Minority Interest Expense</t>
  </si>
  <si>
    <t xml:space="preserve"> Net Income</t>
  </si>
  <si>
    <t xml:space="preserve"> Extra Items &amp; Gain/Loss Sale Of Assets</t>
  </si>
  <si>
    <t xml:space="preserve"> Net Income After Extraordinaries</t>
  </si>
  <si>
    <t xml:space="preserve"> Preferred Dividends</t>
  </si>
  <si>
    <t xml:space="preserve"> Net Income Available to Common</t>
  </si>
  <si>
    <t xml:space="preserve"> EPS (Basic)</t>
  </si>
  <si>
    <t xml:space="preserve"> Basic Shares Outstanding</t>
  </si>
  <si>
    <t xml:space="preserve"> EPS (Diluted)</t>
  </si>
  <si>
    <t xml:space="preserve"> Diluted Shares Outstanding</t>
  </si>
  <si>
    <t xml:space="preserve"> Assets</t>
  </si>
  <si>
    <t>Assumption</t>
  </si>
  <si>
    <t xml:space="preserve"> Cash &amp; Short Term Investments</t>
  </si>
  <si>
    <t>A/R Rate</t>
  </si>
  <si>
    <t xml:space="preserve"> Accounts Receivables, Net</t>
  </si>
  <si>
    <t>PP&amp;E CAGR</t>
  </si>
  <si>
    <t xml:space="preserve"> Finished Goods</t>
  </si>
  <si>
    <t>A/P Rate</t>
  </si>
  <si>
    <t xml:space="preserve"> Raw Materials</t>
  </si>
  <si>
    <t xml:space="preserve"> Progress Payments &amp; Other</t>
  </si>
  <si>
    <t xml:space="preserve"> Inventories</t>
  </si>
  <si>
    <t xml:space="preserve"> Total Current Assets</t>
  </si>
  <si>
    <t xml:space="preserve"> Net Property, Plant &amp; Equipment</t>
  </si>
  <si>
    <t xml:space="preserve"> Accumulated Depreciation (Intangible)</t>
  </si>
  <si>
    <t xml:space="preserve"> Buildings</t>
  </si>
  <si>
    <t xml:space="preserve"> Land &amp; Improvements</t>
  </si>
  <si>
    <t xml:space="preserve"> Total Investments and Advances</t>
  </si>
  <si>
    <t xml:space="preserve"> Other Long-Term Investments</t>
  </si>
  <si>
    <t xml:space="preserve"> Long-Term Note Receivable</t>
  </si>
  <si>
    <t xml:space="preserve"> Intangible Assets</t>
  </si>
  <si>
    <t xml:space="preserve"> Net Goodwill</t>
  </si>
  <si>
    <t xml:space="preserve"> Net Other Intangibles</t>
  </si>
  <si>
    <t xml:space="preserve"> Other Assets</t>
  </si>
  <si>
    <t xml:space="preserve"> Tangible Other Assets</t>
  </si>
  <si>
    <t xml:space="preserve"> Total Assets</t>
  </si>
  <si>
    <t xml:space="preserve"> Liabilities &amp; Shareholders' Equity</t>
  </si>
  <si>
    <t xml:space="preserve"> ST Debt &amp; Current Portion LT Debt</t>
  </si>
  <si>
    <t xml:space="preserve"> Accounts Payable</t>
  </si>
  <si>
    <t xml:space="preserve"> Other Current Liabilities</t>
  </si>
  <si>
    <t xml:space="preserve"> Total Current Liabilities</t>
  </si>
  <si>
    <t xml:space="preserve"> Long-Term Debt</t>
  </si>
  <si>
    <t xml:space="preserve"> Provision for Risks &amp; Charges</t>
  </si>
  <si>
    <t xml:space="preserve"> Other Liabilities</t>
  </si>
  <si>
    <t xml:space="preserve"> Total Liabilities</t>
  </si>
  <si>
    <t xml:space="preserve"> Common Equity (Total)</t>
  </si>
  <si>
    <t xml:space="preserve"> Common Stock Par/Carry Value</t>
  </si>
  <si>
    <t xml:space="preserve"> Retained Earnings</t>
  </si>
  <si>
    <t xml:space="preserve"> Cumulative Translation Adjustment For. Exch. Gain</t>
  </si>
  <si>
    <t xml:space="preserve"> Total Shareholders' Equity</t>
  </si>
  <si>
    <t xml:space="preserve"> Accumulated Minority Interest</t>
  </si>
  <si>
    <t xml:space="preserve"> Total Equity</t>
  </si>
  <si>
    <t xml:space="preserve"> Liabilities &amp; Shareholders' 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</si>
</sst>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Arial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B0F0"/>
      <name val="Calibri"/>
    </font>
    <font>
      <sz val="11"/>
      <color rgb="FF00B050"/>
      <name val="Calibri"/>
    </font>
    <font>
      <i/>
      <sz val="11"/>
      <color rgb="FF00B05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4" fontId="1" fillId="0" borderId="0" xfId="0" applyNumberFormat="1" applyFont="1"/>
    <xf numFmtId="14" fontId="1" fillId="0" borderId="1" xfId="0" applyNumberFormat="1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0" xfId="0" applyFont="1"/>
    <xf numFmtId="164" fontId="3" fillId="0" borderId="0" xfId="0" applyNumberFormat="1" applyFont="1"/>
    <xf numFmtId="164" fontId="3" fillId="0" borderId="7" xfId="0" applyNumberFormat="1" applyFont="1" applyBorder="1"/>
    <xf numFmtId="164" fontId="5" fillId="0" borderId="8" xfId="0" applyNumberFormat="1" applyFont="1" applyBorder="1"/>
    <xf numFmtId="0" fontId="3" fillId="0" borderId="2" xfId="0" applyFont="1" applyBorder="1"/>
    <xf numFmtId="10" fontId="3" fillId="0" borderId="3" xfId="0" applyNumberFormat="1" applyFont="1" applyBorder="1"/>
    <xf numFmtId="10" fontId="3" fillId="0" borderId="9" xfId="0" applyNumberFormat="1" applyFont="1" applyBorder="1"/>
    <xf numFmtId="10" fontId="3" fillId="0" borderId="2" xfId="0" applyNumberFormat="1" applyFont="1" applyBorder="1"/>
    <xf numFmtId="0" fontId="3" fillId="0" borderId="10" xfId="0" applyFont="1" applyBorder="1"/>
    <xf numFmtId="164" fontId="3" fillId="0" borderId="10" xfId="0" applyNumberFormat="1" applyFont="1" applyBorder="1"/>
    <xf numFmtId="164" fontId="3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0" xfId="0" applyNumberFormat="1" applyFont="1"/>
    <xf numFmtId="0" fontId="3" fillId="0" borderId="8" xfId="0" applyFont="1" applyBorder="1"/>
    <xf numFmtId="164" fontId="6" fillId="0" borderId="8" xfId="0" applyNumberFormat="1" applyFont="1" applyBorder="1"/>
    <xf numFmtId="164" fontId="6" fillId="0" borderId="7" xfId="0" applyNumberFormat="1" applyFont="1" applyBorder="1"/>
    <xf numFmtId="0" fontId="3" fillId="2" borderId="2" xfId="0" applyFont="1" applyFill="1" applyBorder="1"/>
    <xf numFmtId="6" fontId="3" fillId="2" borderId="11" xfId="0" applyNumberFormat="1" applyFont="1" applyFill="1" applyBorder="1"/>
    <xf numFmtId="164" fontId="3" fillId="0" borderId="9" xfId="0" applyNumberFormat="1" applyFont="1" applyBorder="1"/>
    <xf numFmtId="164" fontId="3" fillId="0" borderId="2" xfId="0" applyNumberFormat="1" applyFont="1" applyBorder="1"/>
    <xf numFmtId="164" fontId="3" fillId="0" borderId="12" xfId="0" applyNumberFormat="1" applyFont="1" applyBorder="1"/>
    <xf numFmtId="164" fontId="3" fillId="0" borderId="13" xfId="0" applyNumberFormat="1" applyFont="1" applyBorder="1"/>
    <xf numFmtId="8" fontId="3" fillId="2" borderId="11" xfId="0" applyNumberFormat="1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164" fontId="6" fillId="0" borderId="10" xfId="0" applyNumberFormat="1" applyFont="1" applyBorder="1"/>
    <xf numFmtId="164" fontId="6" fillId="0" borderId="17" xfId="0" applyNumberFormat="1" applyFont="1" applyBorder="1"/>
    <xf numFmtId="164" fontId="5" fillId="0" borderId="10" xfId="0" applyNumberFormat="1" applyFont="1" applyBorder="1"/>
    <xf numFmtId="8" fontId="7" fillId="0" borderId="0" xfId="0" applyNumberFormat="1" applyFont="1"/>
    <xf numFmtId="8" fontId="7" fillId="0" borderId="1" xfId="0" applyNumberFormat="1" applyFont="1" applyBorder="1"/>
    <xf numFmtId="4" fontId="3" fillId="0" borderId="0" xfId="0" applyNumberFormat="1" applyFont="1"/>
    <xf numFmtId="4" fontId="3" fillId="0" borderId="1" xfId="0" applyNumberFormat="1" applyFont="1" applyBorder="1"/>
    <xf numFmtId="10" fontId="3" fillId="0" borderId="0" xfId="0" applyNumberFormat="1" applyFont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="85" zoomScaleNormal="85" workbookViewId="0">
      <selection activeCell="E6" sqref="E6"/>
    </sheetView>
  </sheetViews>
  <sheetFormatPr defaultColWidth="12.6640625" defaultRowHeight="15" customHeight="1" x14ac:dyDescent="0.3"/>
  <cols>
    <col min="1" max="1" width="30.25" customWidth="1"/>
    <col min="2" max="7" width="12.25" customWidth="1"/>
    <col min="8" max="8" width="3.9140625" customWidth="1"/>
    <col min="9" max="9" width="17.75" customWidth="1"/>
    <col min="10" max="10" width="8.5" customWidth="1"/>
    <col min="11" max="11" width="10.1640625" customWidth="1"/>
    <col min="12" max="12" width="9.5" customWidth="1"/>
    <col min="13" max="13" width="8.1640625" customWidth="1"/>
    <col min="14" max="26" width="7.6640625" customWidth="1"/>
  </cols>
  <sheetData>
    <row r="1" spans="1:13" ht="14.25" customHeight="1" x14ac:dyDescent="0.35">
      <c r="B1" s="1">
        <v>43465</v>
      </c>
      <c r="C1" s="1">
        <v>43830</v>
      </c>
      <c r="D1" s="2">
        <v>44196</v>
      </c>
      <c r="E1" s="1">
        <v>44561</v>
      </c>
      <c r="F1" s="1">
        <v>44926</v>
      </c>
      <c r="G1" s="1">
        <v>45291</v>
      </c>
      <c r="I1" s="3" t="s">
        <v>0</v>
      </c>
      <c r="J1" s="4"/>
      <c r="K1" s="5" t="s">
        <v>1</v>
      </c>
      <c r="L1" s="6" t="s">
        <v>2</v>
      </c>
      <c r="M1" s="7" t="s">
        <v>3</v>
      </c>
    </row>
    <row r="2" spans="1:13" ht="14.25" customHeight="1" x14ac:dyDescent="0.35">
      <c r="A2" s="8" t="s">
        <v>4</v>
      </c>
      <c r="B2" s="9">
        <v>115916</v>
      </c>
      <c r="C2" s="9">
        <v>119869</v>
      </c>
      <c r="D2" s="10">
        <v>120468</v>
      </c>
      <c r="E2" s="11">
        <f>D2*(1+$J$2)</f>
        <v>129302.31999999999</v>
      </c>
      <c r="F2" s="11">
        <f t="shared" ref="F2:G2" si="0">E2*(1+$J$2)</f>
        <v>138784.49013333331</v>
      </c>
      <c r="G2" s="11">
        <f t="shared" si="0"/>
        <v>148962.01940977774</v>
      </c>
      <c r="I2" s="12" t="s">
        <v>5</v>
      </c>
      <c r="J2" s="13">
        <f>AVERAGE(K2:M2)</f>
        <v>7.3333333333333348E-2</v>
      </c>
      <c r="K2" s="14">
        <v>0.03</v>
      </c>
      <c r="L2" s="15">
        <v>0.11</v>
      </c>
      <c r="M2" s="15">
        <v>0.08</v>
      </c>
    </row>
    <row r="3" spans="1:13" ht="14.25" customHeight="1" x14ac:dyDescent="0.35">
      <c r="A3" s="16" t="s">
        <v>6</v>
      </c>
      <c r="B3" s="17">
        <v>72695</v>
      </c>
      <c r="C3" s="17">
        <v>75227</v>
      </c>
      <c r="D3" s="18">
        <v>86937</v>
      </c>
      <c r="E3" s="9">
        <f>D3*(1+$J$3)</f>
        <v>87226.790000000008</v>
      </c>
      <c r="F3" s="9">
        <f t="shared" ref="F3:G3" si="1">E3*(1+$J$3)</f>
        <v>87517.545966666687</v>
      </c>
      <c r="G3" s="9">
        <f t="shared" si="1"/>
        <v>87809.271119888916</v>
      </c>
      <c r="I3" s="12" t="s">
        <v>7</v>
      </c>
      <c r="J3" s="13">
        <f t="shared" ref="J3:J7" si="2">AVERAGE(K3:M3)</f>
        <v>3.3333333333333335E-3</v>
      </c>
      <c r="K3" s="14">
        <v>0.02</v>
      </c>
      <c r="L3" s="15">
        <v>-0.02</v>
      </c>
      <c r="M3" s="15">
        <v>0.01</v>
      </c>
    </row>
    <row r="4" spans="1:13" ht="14.25" customHeight="1" x14ac:dyDescent="0.35">
      <c r="A4" s="8" t="s">
        <v>8</v>
      </c>
      <c r="B4" s="9">
        <v>4847</v>
      </c>
      <c r="C4" s="9">
        <v>4997</v>
      </c>
      <c r="D4" s="18">
        <v>4997</v>
      </c>
      <c r="E4" s="9">
        <f>D4</f>
        <v>4997</v>
      </c>
      <c r="F4" s="9">
        <f t="shared" ref="F4:G4" si="3">E4</f>
        <v>4997</v>
      </c>
      <c r="G4" s="9">
        <f t="shared" si="3"/>
        <v>4997</v>
      </c>
      <c r="I4" s="12" t="s">
        <v>9</v>
      </c>
      <c r="J4" s="13">
        <f t="shared" si="2"/>
        <v>0</v>
      </c>
      <c r="K4" s="14">
        <v>0</v>
      </c>
      <c r="L4" s="15">
        <v>0</v>
      </c>
      <c r="M4" s="15">
        <v>0</v>
      </c>
    </row>
    <row r="5" spans="1:13" ht="14.25" customHeight="1" x14ac:dyDescent="0.35">
      <c r="A5" s="8" t="s">
        <v>10</v>
      </c>
      <c r="B5" s="19">
        <f t="shared" ref="B5:E5" si="4">B2-B3-B4</f>
        <v>38374</v>
      </c>
      <c r="C5" s="19">
        <f t="shared" si="4"/>
        <v>39645</v>
      </c>
      <c r="D5" s="20">
        <f t="shared" si="4"/>
        <v>28534</v>
      </c>
      <c r="E5" s="21">
        <f t="shared" si="4"/>
        <v>37078.529999999984</v>
      </c>
      <c r="F5" s="21">
        <f t="shared" ref="F5:G5" si="5">F2-F3-F4</f>
        <v>46269.944166666624</v>
      </c>
      <c r="G5" s="21">
        <f t="shared" si="5"/>
        <v>56155.748289888827</v>
      </c>
      <c r="I5" s="12" t="s">
        <v>11</v>
      </c>
      <c r="J5" s="13">
        <f t="shared" si="2"/>
        <v>1.3015932420872541E-2</v>
      </c>
      <c r="K5" s="14">
        <v>1.3015932420872541E-2</v>
      </c>
      <c r="L5" s="15">
        <v>1.3015932420872541E-2</v>
      </c>
      <c r="M5" s="15">
        <v>1.3015932420872541E-2</v>
      </c>
    </row>
    <row r="6" spans="1:13" ht="14.25" customHeight="1" x14ac:dyDescent="0.35">
      <c r="A6" s="8" t="s">
        <v>12</v>
      </c>
      <c r="B6" s="9">
        <v>26229</v>
      </c>
      <c r="C6" s="9">
        <v>25706</v>
      </c>
      <c r="D6" s="18">
        <v>34080</v>
      </c>
      <c r="E6" s="9">
        <f>D6*(1+$J$2)</f>
        <v>36579.199999999997</v>
      </c>
      <c r="F6" s="9">
        <f t="shared" ref="F6:G6" si="6">E6*(1+$J$2)</f>
        <v>39261.674666666659</v>
      </c>
      <c r="G6" s="9">
        <f t="shared" si="6"/>
        <v>42140.864142222214</v>
      </c>
      <c r="I6" s="12" t="s">
        <v>13</v>
      </c>
      <c r="J6" s="13">
        <f t="shared" si="2"/>
        <v>0.12546782076193844</v>
      </c>
      <c r="K6" s="14">
        <v>0.15640346228581534</v>
      </c>
      <c r="L6" s="15">
        <v>0.1</v>
      </c>
      <c r="M6" s="15">
        <v>0.12</v>
      </c>
    </row>
    <row r="7" spans="1:13" ht="14.25" customHeight="1" x14ac:dyDescent="0.35">
      <c r="A7" s="8" t="s">
        <v>14</v>
      </c>
      <c r="B7" s="9">
        <v>2166</v>
      </c>
      <c r="C7" s="9">
        <v>4308</v>
      </c>
      <c r="D7" s="18">
        <v>4308</v>
      </c>
      <c r="E7" s="9">
        <f>AVERAGE(B7:D7)</f>
        <v>3594</v>
      </c>
      <c r="F7" s="9">
        <f t="shared" ref="F7:G7" si="7">AVERAGE(C7:E7)</f>
        <v>4070</v>
      </c>
      <c r="G7" s="9">
        <f t="shared" si="7"/>
        <v>3990.6666666666665</v>
      </c>
      <c r="I7" s="12" t="s">
        <v>15</v>
      </c>
      <c r="J7" s="13">
        <f t="shared" si="2"/>
        <v>3.2333333333333332E-2</v>
      </c>
      <c r="K7" s="14">
        <v>0.05</v>
      </c>
      <c r="L7" s="15">
        <v>1.7000000000000001E-2</v>
      </c>
      <c r="M7" s="15">
        <v>0.03</v>
      </c>
    </row>
    <row r="8" spans="1:13" ht="14.25" customHeight="1" x14ac:dyDescent="0.35">
      <c r="A8" s="22" t="s">
        <v>16</v>
      </c>
      <c r="B8" s="23">
        <f t="shared" ref="B8:E8" si="8">B5-B6-B7</f>
        <v>9979</v>
      </c>
      <c r="C8" s="23">
        <f t="shared" si="8"/>
        <v>9631</v>
      </c>
      <c r="D8" s="24">
        <f t="shared" si="8"/>
        <v>-9854</v>
      </c>
      <c r="E8" s="21">
        <f t="shared" si="8"/>
        <v>-3094.6700000000128</v>
      </c>
      <c r="F8" s="21">
        <f t="shared" ref="F8:G8" si="9">F5-F6-F7</f>
        <v>2938.2694999999658</v>
      </c>
      <c r="G8" s="21">
        <f t="shared" si="9"/>
        <v>10024.217480999947</v>
      </c>
      <c r="I8" s="25" t="s">
        <v>17</v>
      </c>
      <c r="J8" s="26">
        <f>G15</f>
        <v>-2000.0212132757003</v>
      </c>
      <c r="K8" s="27">
        <v>-20410</v>
      </c>
      <c r="L8" s="28">
        <v>19799</v>
      </c>
      <c r="M8" s="29">
        <v>146</v>
      </c>
    </row>
    <row r="9" spans="1:13" ht="14.25" customHeight="1" x14ac:dyDescent="0.35">
      <c r="A9" s="8" t="s">
        <v>18</v>
      </c>
      <c r="B9" s="9">
        <v>-868.99999999998499</v>
      </c>
      <c r="C9" s="9">
        <v>-628</v>
      </c>
      <c r="D9" s="18">
        <v>1624</v>
      </c>
      <c r="E9" s="30">
        <f>AVERAGE(B9:D9)</f>
        <v>42.333333333338338</v>
      </c>
      <c r="F9" s="30">
        <f t="shared" ref="F9:G9" si="10">AVERAGE(C9:E9)</f>
        <v>346.11111111111273</v>
      </c>
      <c r="G9" s="30">
        <f t="shared" si="10"/>
        <v>670.81481481481694</v>
      </c>
      <c r="I9" s="25" t="s">
        <v>19</v>
      </c>
      <c r="J9" s="31">
        <f>G22</f>
        <v>-0.28166108543209667</v>
      </c>
      <c r="K9" s="32"/>
      <c r="L9" s="33"/>
      <c r="M9" s="34"/>
    </row>
    <row r="10" spans="1:13" ht="14.25" customHeight="1" x14ac:dyDescent="0.35">
      <c r="A10" s="8" t="s">
        <v>20</v>
      </c>
      <c r="B10" s="9">
        <v>3090</v>
      </c>
      <c r="C10" s="9">
        <v>4281</v>
      </c>
      <c r="D10" s="18">
        <v>4869</v>
      </c>
      <c r="E10" s="9">
        <f>$J$7*'Balance Sheet'!G31</f>
        <v>12186.949294855436</v>
      </c>
      <c r="F10" s="9">
        <f>$J$7*'Balance Sheet'!H31</f>
        <v>12274.327139144832</v>
      </c>
      <c r="G10" s="9">
        <f>$J$7*'Balance Sheet'!I31</f>
        <v>11910.815400548787</v>
      </c>
    </row>
    <row r="11" spans="1:13" ht="14.25" customHeight="1" x14ac:dyDescent="0.35">
      <c r="A11" s="8" t="s">
        <v>21</v>
      </c>
      <c r="B11" s="19">
        <f t="shared" ref="B11:E11" si="11">B8-B10-B9</f>
        <v>7757.9999999999854</v>
      </c>
      <c r="C11" s="19">
        <f t="shared" si="11"/>
        <v>5978</v>
      </c>
      <c r="D11" s="20">
        <f t="shared" si="11"/>
        <v>-16347</v>
      </c>
      <c r="E11" s="21">
        <f t="shared" si="11"/>
        <v>-15323.952628188787</v>
      </c>
      <c r="F11" s="21">
        <f t="shared" ref="F11:G11" si="12">F8-F10-F9</f>
        <v>-9682.1687502559798</v>
      </c>
      <c r="G11" s="21">
        <f t="shared" si="12"/>
        <v>-2557.4127343636569</v>
      </c>
    </row>
    <row r="12" spans="1:13" ht="14.25" customHeight="1" x14ac:dyDescent="0.35">
      <c r="A12" s="8" t="s">
        <v>22</v>
      </c>
      <c r="B12" s="9">
        <v>6485</v>
      </c>
      <c r="C12" s="9">
        <v>-464</v>
      </c>
      <c r="D12" s="18">
        <v>-3043</v>
      </c>
      <c r="E12" s="9">
        <f>$J$6*E11</f>
        <v>-1922.6629417180261</v>
      </c>
      <c r="F12" s="9">
        <f t="shared" ref="F12:G12" si="13">$J$6*F11</f>
        <v>-1214.8006133439587</v>
      </c>
      <c r="G12" s="9">
        <f t="shared" si="13"/>
        <v>-320.8730025694382</v>
      </c>
    </row>
    <row r="13" spans="1:13" ht="14.25" customHeight="1" x14ac:dyDescent="0.35">
      <c r="A13" s="8" t="s">
        <v>23</v>
      </c>
      <c r="B13" s="19">
        <f t="shared" ref="B13:E13" si="14">B11-B12</f>
        <v>1272.9999999999854</v>
      </c>
      <c r="C13" s="19">
        <f t="shared" si="14"/>
        <v>6442</v>
      </c>
      <c r="D13" s="20">
        <f t="shared" si="14"/>
        <v>-13304</v>
      </c>
      <c r="E13" s="21">
        <f t="shared" si="14"/>
        <v>-13401.28968647076</v>
      </c>
      <c r="F13" s="21">
        <f t="shared" ref="F13:G13" si="15">F11-F12</f>
        <v>-8467.3681369120204</v>
      </c>
      <c r="G13" s="21">
        <f t="shared" si="15"/>
        <v>-2236.5397317942188</v>
      </c>
    </row>
    <row r="14" spans="1:13" ht="14.25" customHeight="1" x14ac:dyDescent="0.35">
      <c r="A14" s="8" t="s">
        <v>24</v>
      </c>
      <c r="B14" s="9">
        <v>19</v>
      </c>
      <c r="C14" s="9">
        <v>-290</v>
      </c>
      <c r="D14" s="18">
        <v>-277</v>
      </c>
      <c r="E14" s="9">
        <f>AVERAGE(B14:D14)</f>
        <v>-182.66666666666666</v>
      </c>
      <c r="F14" s="9">
        <f t="shared" ref="F14:G14" si="16">AVERAGE(C14:E14)</f>
        <v>-249.88888888888889</v>
      </c>
      <c r="G14" s="9">
        <f t="shared" si="16"/>
        <v>-236.5185185185185</v>
      </c>
    </row>
    <row r="15" spans="1:13" ht="14.25" customHeight="1" x14ac:dyDescent="0.35">
      <c r="A15" s="16" t="s">
        <v>25</v>
      </c>
      <c r="B15" s="35">
        <f t="shared" ref="B15:E15" si="17">B13-B14</f>
        <v>1253.9999999999854</v>
      </c>
      <c r="C15" s="35">
        <f t="shared" si="17"/>
        <v>6732</v>
      </c>
      <c r="D15" s="36">
        <f t="shared" si="17"/>
        <v>-13027</v>
      </c>
      <c r="E15" s="37">
        <f t="shared" si="17"/>
        <v>-13218.623019804094</v>
      </c>
      <c r="F15" s="37">
        <f t="shared" ref="F15:G15" si="18">F13-F14</f>
        <v>-8217.4792480231317</v>
      </c>
      <c r="G15" s="37">
        <f t="shared" si="18"/>
        <v>-2000.0212132757003</v>
      </c>
    </row>
    <row r="16" spans="1:13" ht="14.25" customHeight="1" x14ac:dyDescent="0.35">
      <c r="A16" s="8" t="s">
        <v>26</v>
      </c>
      <c r="B16" s="9">
        <v>-7591</v>
      </c>
      <c r="C16" s="9">
        <v>-1252</v>
      </c>
      <c r="D16" s="18">
        <v>-1252</v>
      </c>
      <c r="E16" s="9">
        <v>0</v>
      </c>
      <c r="F16" s="9">
        <v>1</v>
      </c>
      <c r="G16" s="9">
        <v>2</v>
      </c>
    </row>
    <row r="17" spans="1:7" ht="14.25" customHeight="1" x14ac:dyDescent="0.35">
      <c r="A17" s="8" t="s">
        <v>27</v>
      </c>
      <c r="B17" s="19">
        <f t="shared" ref="B17:E17" si="19">B15+B16</f>
        <v>-6337.0000000000146</v>
      </c>
      <c r="C17" s="19">
        <f t="shared" si="19"/>
        <v>5480</v>
      </c>
      <c r="D17" s="20">
        <f t="shared" si="19"/>
        <v>-14279</v>
      </c>
      <c r="E17" s="21">
        <f t="shared" si="19"/>
        <v>-13218.623019804094</v>
      </c>
      <c r="F17" s="21">
        <f t="shared" ref="F17:G17" si="20">F15+F16</f>
        <v>-8216.4792480231317</v>
      </c>
      <c r="G17" s="21">
        <f t="shared" si="20"/>
        <v>-1998.0212132757003</v>
      </c>
    </row>
    <row r="18" spans="1:7" ht="14.25" customHeight="1" x14ac:dyDescent="0.35">
      <c r="A18" s="8" t="s">
        <v>28</v>
      </c>
      <c r="B18" s="9">
        <v>18</v>
      </c>
      <c r="C18" s="9">
        <v>656</v>
      </c>
      <c r="D18" s="18">
        <v>436</v>
      </c>
      <c r="E18" s="9">
        <f>D18</f>
        <v>436</v>
      </c>
      <c r="F18" s="9">
        <f t="shared" ref="F18:G18" si="21">E18</f>
        <v>436</v>
      </c>
      <c r="G18" s="9">
        <f t="shared" si="21"/>
        <v>436</v>
      </c>
    </row>
    <row r="19" spans="1:7" ht="14.25" customHeight="1" x14ac:dyDescent="0.35">
      <c r="A19" s="16" t="s">
        <v>29</v>
      </c>
      <c r="B19" s="35">
        <f t="shared" ref="B19:E19" si="22">B17-B18</f>
        <v>-6355.0000000000146</v>
      </c>
      <c r="C19" s="35">
        <f t="shared" si="22"/>
        <v>4824</v>
      </c>
      <c r="D19" s="36">
        <f t="shared" si="22"/>
        <v>-14715</v>
      </c>
      <c r="E19" s="37">
        <f t="shared" si="22"/>
        <v>-13654.623019804094</v>
      </c>
      <c r="F19" s="37">
        <f t="shared" ref="F19:G19" si="23">F17-F18</f>
        <v>-8652.4792480231317</v>
      </c>
      <c r="G19" s="37">
        <f t="shared" si="23"/>
        <v>-2434.0212132757006</v>
      </c>
    </row>
    <row r="20" spans="1:7" ht="14.25" customHeight="1" x14ac:dyDescent="0.35">
      <c r="A20" s="8" t="s">
        <v>30</v>
      </c>
      <c r="B20" s="38">
        <f t="shared" ref="B20:E20" si="24">B19/B21</f>
        <v>-0.6389917582417598</v>
      </c>
      <c r="C20" s="38">
        <f t="shared" si="24"/>
        <v>0.53450842272968702</v>
      </c>
      <c r="D20" s="39">
        <f t="shared" si="24"/>
        <v>-1.7027965284474458</v>
      </c>
      <c r="E20" s="38">
        <f t="shared" si="24"/>
        <v>-1.5800913812695201</v>
      </c>
      <c r="F20" s="38">
        <f t="shared" ref="F20:G20" si="25">F19/F21</f>
        <v>-1.0012512148146351</v>
      </c>
      <c r="G20" s="38">
        <f t="shared" si="25"/>
        <v>-0.28166108543209667</v>
      </c>
    </row>
    <row r="21" spans="1:7" ht="14.25" customHeight="1" x14ac:dyDescent="0.35">
      <c r="A21" s="8" t="s">
        <v>31</v>
      </c>
      <c r="B21" s="40">
        <v>9945.3551912568291</v>
      </c>
      <c r="C21" s="40">
        <v>9025.1150306748405</v>
      </c>
      <c r="D21" s="41">
        <v>8641.6666666666606</v>
      </c>
      <c r="E21" s="40">
        <f>D21</f>
        <v>8641.6666666666606</v>
      </c>
      <c r="F21" s="40">
        <f t="shared" ref="F21:G21" si="26">E21</f>
        <v>8641.6666666666606</v>
      </c>
      <c r="G21" s="40">
        <f t="shared" si="26"/>
        <v>8641.6666666666606</v>
      </c>
    </row>
    <row r="22" spans="1:7" ht="14.25" customHeight="1" x14ac:dyDescent="0.35">
      <c r="A22" s="8" t="s">
        <v>32</v>
      </c>
      <c r="B22" s="38">
        <f t="shared" ref="B22:E22" si="27">B19/B23</f>
        <v>-0.63462706043956307</v>
      </c>
      <c r="C22" s="38">
        <f t="shared" si="27"/>
        <v>0.52805251194901748</v>
      </c>
      <c r="D22" s="39">
        <f t="shared" si="27"/>
        <v>-1.7027965284474458</v>
      </c>
      <c r="E22" s="38">
        <f t="shared" si="27"/>
        <v>-1.5800913812695201</v>
      </c>
      <c r="F22" s="38">
        <f t="shared" ref="F22:G22" si="28">F19/F23</f>
        <v>-1.0012512148146351</v>
      </c>
      <c r="G22" s="38">
        <f t="shared" si="28"/>
        <v>-0.28166108543209667</v>
      </c>
    </row>
    <row r="23" spans="1:7" ht="14.25" customHeight="1" x14ac:dyDescent="0.35">
      <c r="A23" s="8" t="s">
        <v>33</v>
      </c>
      <c r="B23" s="40">
        <v>10013.7551581843</v>
      </c>
      <c r="C23" s="40">
        <v>9135.45507471376</v>
      </c>
      <c r="D23" s="41">
        <v>8641.6666666666606</v>
      </c>
      <c r="E23" s="40">
        <f>D23</f>
        <v>8641.6666666666606</v>
      </c>
      <c r="F23" s="40">
        <f t="shared" ref="F23:G23" si="29">E23</f>
        <v>8641.6666666666606</v>
      </c>
      <c r="G23" s="40">
        <f t="shared" si="29"/>
        <v>8641.6666666666606</v>
      </c>
    </row>
    <row r="24" spans="1:7" ht="14.25" customHeight="1" x14ac:dyDescent="0.3"/>
    <row r="25" spans="1:7" ht="14.25" customHeight="1" x14ac:dyDescent="0.3"/>
    <row r="26" spans="1:7" ht="14.25" customHeight="1" x14ac:dyDescent="0.3"/>
    <row r="27" spans="1:7" ht="14.25" customHeight="1" x14ac:dyDescent="0.3"/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2.6640625" defaultRowHeight="15" customHeight="1" x14ac:dyDescent="0.3"/>
  <cols>
    <col min="1" max="1" width="34.1640625" customWidth="1"/>
    <col min="2" max="5" width="10.5" customWidth="1"/>
    <col min="6" max="6" width="12.6640625" customWidth="1"/>
    <col min="7" max="9" width="10.1640625" customWidth="1"/>
    <col min="10" max="26" width="7.6640625" customWidth="1"/>
  </cols>
  <sheetData>
    <row r="1" spans="1:12" ht="14.25" customHeight="1" x14ac:dyDescent="0.35">
      <c r="A1" s="8" t="s">
        <v>34</v>
      </c>
      <c r="B1" s="1">
        <v>42735</v>
      </c>
      <c r="C1" s="1">
        <v>43100</v>
      </c>
      <c r="D1" s="1">
        <v>43465</v>
      </c>
      <c r="E1" s="1">
        <v>43830</v>
      </c>
      <c r="F1" s="2">
        <v>44196</v>
      </c>
      <c r="G1" s="1">
        <v>44561</v>
      </c>
      <c r="H1" s="1">
        <v>44926</v>
      </c>
      <c r="I1" s="1">
        <v>45291</v>
      </c>
      <c r="K1" s="8" t="s">
        <v>35</v>
      </c>
    </row>
    <row r="2" spans="1:12" ht="14.25" customHeight="1" x14ac:dyDescent="0.35">
      <c r="A2" s="8" t="s">
        <v>36</v>
      </c>
      <c r="B2" s="9">
        <v>88635</v>
      </c>
      <c r="C2" s="9">
        <v>70025</v>
      </c>
      <c r="D2" s="9">
        <v>70483</v>
      </c>
      <c r="E2" s="9">
        <v>48129</v>
      </c>
      <c r="F2" s="18">
        <v>82000</v>
      </c>
      <c r="G2" s="9">
        <f>F2+'Income Statement'!E15</f>
        <v>68781.376980195899</v>
      </c>
      <c r="H2" s="9">
        <f>G2+'Income Statement'!F15</f>
        <v>60563.897732172765</v>
      </c>
      <c r="I2" s="9">
        <f>H2+'Income Statement'!G15</f>
        <v>58563.876518897065</v>
      </c>
      <c r="K2" s="8" t="s">
        <v>37</v>
      </c>
      <c r="L2" s="42">
        <f>F3/'Income Statement'!D2</f>
        <v>0.30147425042334897</v>
      </c>
    </row>
    <row r="3" spans="1:12" ht="14.25" customHeight="1" x14ac:dyDescent="0.35">
      <c r="A3" s="8" t="s">
        <v>38</v>
      </c>
      <c r="B3" s="9">
        <v>263328</v>
      </c>
      <c r="C3" s="9">
        <v>36682</v>
      </c>
      <c r="D3" s="9">
        <v>39074</v>
      </c>
      <c r="E3" s="9">
        <v>36318</v>
      </c>
      <c r="F3" s="18">
        <v>36318</v>
      </c>
      <c r="G3" s="9">
        <f>'Income Statement'!E2*'Balance Sheet'!$L$2</f>
        <v>38981.32</v>
      </c>
      <c r="H3" s="9">
        <f>'Income Statement'!F2*'Balance Sheet'!$L$2</f>
        <v>41839.950133333332</v>
      </c>
      <c r="I3" s="9">
        <f>'Income Statement'!G2*'Balance Sheet'!$L$2</f>
        <v>44908.213143111105</v>
      </c>
      <c r="K3" s="8" t="s">
        <v>39</v>
      </c>
      <c r="L3" s="42">
        <f>(((D9-C9)/C9)+((E9-D9)/D9)+((F9-E9)/E9))/3</f>
        <v>4.2053357618080843E-2</v>
      </c>
    </row>
    <row r="4" spans="1:12" ht="14.25" customHeight="1" x14ac:dyDescent="0.35">
      <c r="A4" s="8" t="s">
        <v>40</v>
      </c>
      <c r="B4" s="9">
        <v>6794</v>
      </c>
      <c r="C4" s="9">
        <v>7176</v>
      </c>
      <c r="D4" s="9">
        <v>8265</v>
      </c>
      <c r="E4" s="9">
        <v>8798</v>
      </c>
      <c r="F4" s="18">
        <v>8798</v>
      </c>
      <c r="G4" s="9">
        <f t="shared" ref="G4:I4" si="0">AVERAGE(D4:F4)</f>
        <v>8620.3333333333339</v>
      </c>
      <c r="H4" s="9">
        <f t="shared" si="0"/>
        <v>8738.7777777777792</v>
      </c>
      <c r="I4" s="9">
        <f t="shared" si="0"/>
        <v>8719.0370370370383</v>
      </c>
      <c r="K4" s="8" t="s">
        <v>41</v>
      </c>
      <c r="L4" s="42">
        <f>AVERAGE(D25:F25)/(AVERAGE('Income Statement'!B2:D2))</f>
        <v>0.1194375907009906</v>
      </c>
    </row>
    <row r="5" spans="1:12" ht="14.25" customHeight="1" x14ac:dyDescent="0.35">
      <c r="A5" s="8" t="s">
        <v>42</v>
      </c>
      <c r="B5" s="9">
        <v>10220</v>
      </c>
      <c r="C5" s="9">
        <v>9963</v>
      </c>
      <c r="D5" s="9">
        <v>13415</v>
      </c>
      <c r="E5" s="9">
        <v>12637</v>
      </c>
      <c r="F5" s="18">
        <v>12637</v>
      </c>
      <c r="G5" s="9">
        <f t="shared" ref="G5:I5" si="1">AVERAGE(D5:F5)</f>
        <v>12896.333333333334</v>
      </c>
      <c r="H5" s="9">
        <f t="shared" si="1"/>
        <v>12723.444444444445</v>
      </c>
      <c r="I5" s="9">
        <f t="shared" si="1"/>
        <v>12752.259259259261</v>
      </c>
    </row>
    <row r="6" spans="1:12" ht="14.25" customHeight="1" x14ac:dyDescent="0.35">
      <c r="A6" s="8" t="s">
        <v>43</v>
      </c>
      <c r="B6" s="9">
        <v>311</v>
      </c>
      <c r="C6" s="9">
        <v>694</v>
      </c>
      <c r="D6" s="9">
        <v>835</v>
      </c>
      <c r="E6" s="9">
        <v>919</v>
      </c>
      <c r="F6" s="18">
        <v>919</v>
      </c>
      <c r="G6" s="9">
        <f t="shared" ref="G6:I6" si="2">AVERAGE(D6:F6)</f>
        <v>891</v>
      </c>
      <c r="H6" s="9">
        <f t="shared" si="2"/>
        <v>909.66666666666663</v>
      </c>
      <c r="I6" s="9">
        <f t="shared" si="2"/>
        <v>906.55555555555554</v>
      </c>
    </row>
    <row r="7" spans="1:12" ht="14.25" customHeight="1" x14ac:dyDescent="0.35">
      <c r="A7" s="8" t="s">
        <v>44</v>
      </c>
      <c r="B7" s="21">
        <f t="shared" ref="B7:I7" si="3">SUM(B4:B6)</f>
        <v>17325</v>
      </c>
      <c r="C7" s="21">
        <f t="shared" si="3"/>
        <v>17833</v>
      </c>
      <c r="D7" s="21">
        <f t="shared" si="3"/>
        <v>22515</v>
      </c>
      <c r="E7" s="21">
        <f t="shared" si="3"/>
        <v>22354</v>
      </c>
      <c r="F7" s="43">
        <f t="shared" si="3"/>
        <v>22354</v>
      </c>
      <c r="G7" s="21">
        <f t="shared" si="3"/>
        <v>22407.666666666668</v>
      </c>
      <c r="H7" s="21">
        <f t="shared" si="3"/>
        <v>22371.888888888894</v>
      </c>
      <c r="I7" s="21">
        <f t="shared" si="3"/>
        <v>22377.851851851854</v>
      </c>
    </row>
    <row r="8" spans="1:12" ht="14.25" customHeight="1" x14ac:dyDescent="0.35">
      <c r="A8" s="8" t="s">
        <v>45</v>
      </c>
      <c r="B8" s="21">
        <f t="shared" ref="B8:I8" si="4">B7+B3+B2</f>
        <v>369288</v>
      </c>
      <c r="C8" s="21">
        <f t="shared" si="4"/>
        <v>124540</v>
      </c>
      <c r="D8" s="21">
        <f t="shared" si="4"/>
        <v>132072</v>
      </c>
      <c r="E8" s="21">
        <f t="shared" si="4"/>
        <v>106801</v>
      </c>
      <c r="F8" s="43">
        <f t="shared" si="4"/>
        <v>140672</v>
      </c>
      <c r="G8" s="21">
        <f t="shared" si="4"/>
        <v>130170.36364686256</v>
      </c>
      <c r="H8" s="21">
        <f t="shared" si="4"/>
        <v>124775.73675439498</v>
      </c>
      <c r="I8" s="21">
        <f t="shared" si="4"/>
        <v>125849.94151386002</v>
      </c>
    </row>
    <row r="9" spans="1:12" ht="14.25" customHeight="1" x14ac:dyDescent="0.35">
      <c r="A9" s="8" t="s">
        <v>46</v>
      </c>
      <c r="B9" s="9">
        <v>68827</v>
      </c>
      <c r="C9" s="9">
        <v>48070</v>
      </c>
      <c r="D9" s="9">
        <v>54095</v>
      </c>
      <c r="E9" s="9">
        <v>50518</v>
      </c>
      <c r="F9" s="18">
        <v>53900</v>
      </c>
      <c r="G9" s="9">
        <f t="shared" ref="G9:I9" si="5">(F9*(1+$L$3))</f>
        <v>56166.675975614555</v>
      </c>
      <c r="H9" s="9">
        <f t="shared" si="5"/>
        <v>58528.673286635945</v>
      </c>
      <c r="I9" s="9">
        <f t="shared" si="5"/>
        <v>60990.000515270658</v>
      </c>
    </row>
    <row r="10" spans="1:12" ht="14.25" customHeight="1" x14ac:dyDescent="0.35">
      <c r="A10" s="8" t="s">
        <v>47</v>
      </c>
      <c r="B10" s="9">
        <v>47642</v>
      </c>
      <c r="C10" s="9">
        <v>35121</v>
      </c>
      <c r="D10" s="9">
        <v>35927</v>
      </c>
      <c r="E10" s="9">
        <v>35357</v>
      </c>
      <c r="F10" s="18">
        <v>35357</v>
      </c>
      <c r="G10" s="9">
        <f t="shared" ref="G10:I10" si="6">AVERAGE(D10:F10)</f>
        <v>35547</v>
      </c>
      <c r="H10" s="9">
        <f t="shared" si="6"/>
        <v>35420.333333333336</v>
      </c>
      <c r="I10" s="9">
        <f t="shared" si="6"/>
        <v>35441.444444444445</v>
      </c>
    </row>
    <row r="11" spans="1:12" ht="14.25" customHeight="1" x14ac:dyDescent="0.35">
      <c r="A11" s="8" t="s">
        <v>48</v>
      </c>
      <c r="B11" s="9">
        <v>11414</v>
      </c>
      <c r="C11" s="9">
        <v>9058</v>
      </c>
      <c r="D11" s="9">
        <v>10317</v>
      </c>
      <c r="E11" s="9">
        <v>9918</v>
      </c>
      <c r="F11" s="18">
        <v>9918</v>
      </c>
      <c r="G11" s="9">
        <f t="shared" ref="G11:I11" si="7">AVERAGE(D11:F11)</f>
        <v>10051</v>
      </c>
      <c r="H11" s="9">
        <f t="shared" si="7"/>
        <v>9962.3333333333339</v>
      </c>
      <c r="I11" s="9">
        <f t="shared" si="7"/>
        <v>9977.1111111111113</v>
      </c>
    </row>
    <row r="12" spans="1:12" ht="14.25" customHeight="1" x14ac:dyDescent="0.35">
      <c r="A12" s="8" t="s">
        <v>49</v>
      </c>
      <c r="B12" s="9">
        <v>707</v>
      </c>
      <c r="C12" s="9">
        <v>690</v>
      </c>
      <c r="D12" s="9">
        <v>888</v>
      </c>
      <c r="E12" s="9">
        <v>932</v>
      </c>
      <c r="F12" s="18">
        <v>932</v>
      </c>
      <c r="G12" s="9">
        <f t="shared" ref="G12:I12" si="8">AVERAGE(D12:F12)</f>
        <v>917.33333333333337</v>
      </c>
      <c r="H12" s="9">
        <f t="shared" si="8"/>
        <v>927.1111111111112</v>
      </c>
      <c r="I12" s="9">
        <f t="shared" si="8"/>
        <v>925.48148148148164</v>
      </c>
    </row>
    <row r="13" spans="1:12" ht="14.25" customHeight="1" x14ac:dyDescent="0.35">
      <c r="A13" s="8" t="s">
        <v>50</v>
      </c>
      <c r="B13" s="9">
        <v>88678</v>
      </c>
      <c r="C13" s="9">
        <v>50508</v>
      </c>
      <c r="D13" s="9">
        <v>56337</v>
      </c>
      <c r="E13" s="9">
        <v>57109</v>
      </c>
      <c r="F13" s="18">
        <v>57109</v>
      </c>
      <c r="G13" s="9">
        <f t="shared" ref="G13:I13" si="9">AVERAGE(D13:F13)</f>
        <v>56851.666666666664</v>
      </c>
      <c r="H13" s="9">
        <f t="shared" si="9"/>
        <v>57023.222222222219</v>
      </c>
      <c r="I13" s="9">
        <f t="shared" si="9"/>
        <v>56994.629629629628</v>
      </c>
    </row>
    <row r="14" spans="1:12" ht="14.25" customHeight="1" x14ac:dyDescent="0.35">
      <c r="A14" s="8" t="s">
        <v>51</v>
      </c>
      <c r="B14" s="9">
        <v>89671</v>
      </c>
      <c r="C14" s="9">
        <v>68234</v>
      </c>
      <c r="D14" s="9">
        <v>79803</v>
      </c>
      <c r="E14" s="9">
        <v>84704</v>
      </c>
      <c r="F14" s="18">
        <v>84704</v>
      </c>
      <c r="G14" s="9">
        <f t="shared" ref="G14:I14" si="10">AVERAGE(D14:F14)</f>
        <v>83070.333333333328</v>
      </c>
      <c r="H14" s="9">
        <f t="shared" si="10"/>
        <v>84159.444444444438</v>
      </c>
      <c r="I14" s="9">
        <f t="shared" si="10"/>
        <v>83977.925925925912</v>
      </c>
    </row>
    <row r="15" spans="1:12" ht="14.25" customHeight="1" x14ac:dyDescent="0.35">
      <c r="A15" s="8" t="s">
        <v>52</v>
      </c>
      <c r="B15" s="9">
        <v>993</v>
      </c>
      <c r="C15" s="9">
        <v>17726</v>
      </c>
      <c r="D15" s="9">
        <v>23466</v>
      </c>
      <c r="E15" s="9">
        <v>27595</v>
      </c>
      <c r="F15" s="18">
        <v>27595</v>
      </c>
      <c r="G15" s="9">
        <f t="shared" ref="G15:I15" si="11">AVERAGE(D15:F15)</f>
        <v>26218.666666666668</v>
      </c>
      <c r="H15" s="9">
        <f t="shared" si="11"/>
        <v>27136.222222222223</v>
      </c>
      <c r="I15" s="9">
        <f t="shared" si="11"/>
        <v>26983.296296296296</v>
      </c>
    </row>
    <row r="16" spans="1:12" ht="14.25" customHeight="1" x14ac:dyDescent="0.35">
      <c r="A16" s="8" t="s">
        <v>53</v>
      </c>
      <c r="B16" s="9">
        <v>91958</v>
      </c>
      <c r="C16" s="9">
        <v>66389</v>
      </c>
      <c r="D16" s="9">
        <v>83323</v>
      </c>
      <c r="E16" s="9">
        <v>86874</v>
      </c>
      <c r="F16" s="18">
        <v>104200</v>
      </c>
      <c r="G16" s="9">
        <f t="shared" ref="G16:I16" si="12">(F16*(1+$L$3))</f>
        <v>108581.95986380402</v>
      </c>
      <c r="H16" s="9">
        <f t="shared" si="12"/>
        <v>113148.19585282866</v>
      </c>
      <c r="I16" s="9">
        <f t="shared" si="12"/>
        <v>117906.45739686831</v>
      </c>
    </row>
    <row r="17" spans="1:9" ht="14.25" customHeight="1" x14ac:dyDescent="0.35">
      <c r="A17" s="8" t="s">
        <v>54</v>
      </c>
      <c r="B17" s="9">
        <v>77648</v>
      </c>
      <c r="C17" s="9">
        <v>53207</v>
      </c>
      <c r="D17" s="9">
        <v>65526</v>
      </c>
      <c r="E17" s="9">
        <v>70438</v>
      </c>
      <c r="F17" s="18">
        <v>70438</v>
      </c>
      <c r="G17" s="9">
        <f t="shared" ref="G17:I17" si="13">AVERAGE(D17:F17)</f>
        <v>68800.666666666672</v>
      </c>
      <c r="H17" s="9">
        <f t="shared" si="13"/>
        <v>69892.222222222234</v>
      </c>
      <c r="I17" s="9">
        <f t="shared" si="13"/>
        <v>69710.296296296307</v>
      </c>
    </row>
    <row r="18" spans="1:9" ht="14.25" customHeight="1" x14ac:dyDescent="0.35">
      <c r="A18" s="8" t="s">
        <v>55</v>
      </c>
      <c r="B18" s="9">
        <v>14310</v>
      </c>
      <c r="C18" s="9">
        <v>13182</v>
      </c>
      <c r="D18" s="9">
        <v>17797</v>
      </c>
      <c r="E18" s="9">
        <v>16436</v>
      </c>
      <c r="F18" s="18">
        <v>33762</v>
      </c>
      <c r="G18" s="9">
        <f t="shared" ref="G18:I18" si="14">AVERAGE(D18:F18)</f>
        <v>22665</v>
      </c>
      <c r="H18" s="9">
        <f t="shared" si="14"/>
        <v>24287.666666666668</v>
      </c>
      <c r="I18" s="9">
        <f t="shared" si="14"/>
        <v>26904.888888888891</v>
      </c>
    </row>
    <row r="19" spans="1:9" ht="14.25" customHeight="1" x14ac:dyDescent="0.35">
      <c r="A19" s="8" t="s">
        <v>56</v>
      </c>
      <c r="B19" s="9">
        <v>27427</v>
      </c>
      <c r="C19" s="9">
        <v>335421</v>
      </c>
      <c r="D19" s="9">
        <v>133891</v>
      </c>
      <c r="E19" s="9">
        <v>28509</v>
      </c>
      <c r="F19" s="18">
        <v>81100</v>
      </c>
      <c r="G19" s="9">
        <f t="shared" ref="G19:I19" si="15">AVERAGE(D19:F19)</f>
        <v>81166.666666666672</v>
      </c>
      <c r="H19" s="9">
        <f t="shared" si="15"/>
        <v>63591.888888888898</v>
      </c>
      <c r="I19" s="9">
        <f t="shared" si="15"/>
        <v>75286.185185185197</v>
      </c>
    </row>
    <row r="20" spans="1:9" ht="14.25" customHeight="1" x14ac:dyDescent="0.35">
      <c r="A20" s="8" t="s">
        <v>57</v>
      </c>
      <c r="B20" s="9">
        <v>24203</v>
      </c>
      <c r="C20" s="9">
        <v>333387</v>
      </c>
      <c r="D20" s="9">
        <v>131538</v>
      </c>
      <c r="E20" s="9">
        <v>26319</v>
      </c>
      <c r="F20" s="18">
        <v>81100</v>
      </c>
      <c r="G20" s="9">
        <f t="shared" ref="G20:I20" si="16">AVERAGE(D20:F20)</f>
        <v>79652.333333333328</v>
      </c>
      <c r="H20" s="9">
        <f t="shared" si="16"/>
        <v>62357.111111111102</v>
      </c>
      <c r="I20" s="9">
        <f t="shared" si="16"/>
        <v>74369.814814814803</v>
      </c>
    </row>
    <row r="21" spans="1:9" ht="14.25" customHeight="1" x14ac:dyDescent="0.35">
      <c r="A21" s="8" t="s">
        <v>58</v>
      </c>
      <c r="B21" s="21">
        <f t="shared" ref="B21:I21" si="17">B8+B9+B11+B14+B12+B15+B17+B18+B19-B10</f>
        <v>612643</v>
      </c>
      <c r="C21" s="21">
        <f t="shared" si="17"/>
        <v>635007</v>
      </c>
      <c r="D21" s="21">
        <f t="shared" si="17"/>
        <v>481928</v>
      </c>
      <c r="E21" s="21">
        <f t="shared" si="17"/>
        <v>360494</v>
      </c>
      <c r="F21" s="43">
        <f t="shared" si="17"/>
        <v>467664</v>
      </c>
      <c r="G21" s="21">
        <f t="shared" si="17"/>
        <v>443679.70628914383</v>
      </c>
      <c r="H21" s="21">
        <f t="shared" si="17"/>
        <v>427840.96559658658</v>
      </c>
      <c r="I21" s="21">
        <f t="shared" si="17"/>
        <v>445163.68276987138</v>
      </c>
    </row>
    <row r="22" spans="1:9" ht="14.25" customHeight="1" x14ac:dyDescent="0.35">
      <c r="B22" s="9"/>
      <c r="C22" s="9"/>
      <c r="D22" s="9"/>
      <c r="E22" s="9"/>
      <c r="F22" s="18"/>
    </row>
    <row r="23" spans="1:9" ht="14.25" customHeight="1" x14ac:dyDescent="0.35">
      <c r="A23" s="8" t="s">
        <v>59</v>
      </c>
      <c r="B23" s="9"/>
      <c r="C23" s="9"/>
      <c r="D23" s="9"/>
      <c r="E23" s="9"/>
      <c r="F23" s="18"/>
    </row>
    <row r="24" spans="1:9" ht="14.25" customHeight="1" x14ac:dyDescent="0.35">
      <c r="A24" s="8" t="s">
        <v>60</v>
      </c>
      <c r="B24" s="9">
        <v>86937</v>
      </c>
      <c r="C24" s="9">
        <v>70425</v>
      </c>
      <c r="D24" s="9">
        <v>49860</v>
      </c>
      <c r="E24" s="9">
        <v>30714</v>
      </c>
      <c r="F24" s="18">
        <v>30714</v>
      </c>
      <c r="G24" s="9">
        <f t="shared" ref="G24:I24" si="18">AVERAGE(D24:F24)</f>
        <v>37096</v>
      </c>
      <c r="H24" s="9">
        <f t="shared" si="18"/>
        <v>32841.333333333336</v>
      </c>
      <c r="I24" s="9">
        <f t="shared" si="18"/>
        <v>33550.444444444445</v>
      </c>
    </row>
    <row r="25" spans="1:9" ht="14.25" customHeight="1" x14ac:dyDescent="0.35">
      <c r="A25" s="8" t="s">
        <v>61</v>
      </c>
      <c r="B25" s="9">
        <v>16471</v>
      </c>
      <c r="C25" s="9">
        <v>12067</v>
      </c>
      <c r="D25" s="9">
        <v>13680</v>
      </c>
      <c r="E25" s="9">
        <v>14435</v>
      </c>
      <c r="F25" s="18">
        <v>14435</v>
      </c>
      <c r="G25" s="9">
        <f>$L$4*'Income Statement'!E2</f>
        <v>15443.557572848509</v>
      </c>
      <c r="H25" s="9">
        <f>$L$4*'Income Statement'!F2</f>
        <v>16576.085128190731</v>
      </c>
      <c r="I25" s="9">
        <f>$L$4*'Income Statement'!G2</f>
        <v>17791.664704258052</v>
      </c>
    </row>
    <row r="26" spans="1:9" ht="14.25" customHeight="1" x14ac:dyDescent="0.35">
      <c r="A26" s="8" t="s">
        <v>62</v>
      </c>
      <c r="B26" s="9">
        <v>28726</v>
      </c>
      <c r="C26" s="9">
        <v>29177</v>
      </c>
      <c r="D26" s="9">
        <v>41540</v>
      </c>
      <c r="E26" s="9">
        <v>36431</v>
      </c>
      <c r="F26" s="18">
        <v>36431</v>
      </c>
      <c r="G26" s="9">
        <f t="shared" ref="G26:I26" si="19">AVERAGE(D26:F26)</f>
        <v>38134</v>
      </c>
      <c r="H26" s="9">
        <f t="shared" si="19"/>
        <v>36998.666666666664</v>
      </c>
      <c r="I26" s="9">
        <f t="shared" si="19"/>
        <v>37187.888888888883</v>
      </c>
    </row>
    <row r="27" spans="1:9" ht="14.25" customHeight="1" x14ac:dyDescent="0.35">
      <c r="A27" s="8" t="s">
        <v>63</v>
      </c>
      <c r="B27" s="21">
        <f t="shared" ref="B27:I27" si="20">SUM(B24:B26)</f>
        <v>132134</v>
      </c>
      <c r="C27" s="21">
        <f t="shared" si="20"/>
        <v>111669</v>
      </c>
      <c r="D27" s="21">
        <f t="shared" si="20"/>
        <v>105080</v>
      </c>
      <c r="E27" s="21">
        <f t="shared" si="20"/>
        <v>81580</v>
      </c>
      <c r="F27" s="43">
        <f t="shared" si="20"/>
        <v>81580</v>
      </c>
      <c r="G27" s="21">
        <f t="shared" si="20"/>
        <v>90673.557572848513</v>
      </c>
      <c r="H27" s="21">
        <f t="shared" si="20"/>
        <v>86416.085128190723</v>
      </c>
      <c r="I27" s="21">
        <f t="shared" si="20"/>
        <v>88529.998037591373</v>
      </c>
    </row>
    <row r="28" spans="1:9" ht="14.25" customHeight="1" x14ac:dyDescent="0.35">
      <c r="A28" s="8" t="s">
        <v>64</v>
      </c>
      <c r="B28" s="9">
        <v>296103</v>
      </c>
      <c r="C28" s="9">
        <v>190999</v>
      </c>
      <c r="D28" s="9">
        <v>147742</v>
      </c>
      <c r="E28" s="9">
        <v>105497</v>
      </c>
      <c r="F28" s="18">
        <v>134600</v>
      </c>
      <c r="G28" s="9">
        <f t="shared" ref="G28:I28" si="21">F28</f>
        <v>134600</v>
      </c>
      <c r="H28" s="9">
        <f t="shared" si="21"/>
        <v>134600</v>
      </c>
      <c r="I28" s="9">
        <f t="shared" si="21"/>
        <v>134600</v>
      </c>
    </row>
    <row r="29" spans="1:9" ht="14.25" customHeight="1" x14ac:dyDescent="0.35">
      <c r="A29" s="8" t="s">
        <v>65</v>
      </c>
      <c r="B29" s="9">
        <v>54397</v>
      </c>
      <c r="C29" s="9">
        <v>69670</v>
      </c>
      <c r="D29" s="9">
        <v>66179</v>
      </c>
      <c r="E29" s="9">
        <v>69866</v>
      </c>
      <c r="F29" s="18">
        <v>79700</v>
      </c>
      <c r="G29" s="9">
        <f t="shared" ref="G29:I29" si="22">F29</f>
        <v>79700</v>
      </c>
      <c r="H29" s="9">
        <f t="shared" si="22"/>
        <v>79700</v>
      </c>
      <c r="I29" s="9">
        <f t="shared" si="22"/>
        <v>79700</v>
      </c>
    </row>
    <row r="30" spans="1:9" ht="14.25" customHeight="1" x14ac:dyDescent="0.35">
      <c r="A30" s="8" t="s">
        <v>66</v>
      </c>
      <c r="B30" s="9">
        <v>37143</v>
      </c>
      <c r="C30" s="9">
        <v>145685</v>
      </c>
      <c r="D30" s="9">
        <v>70960</v>
      </c>
      <c r="E30" s="9">
        <v>27724</v>
      </c>
      <c r="F30" s="18">
        <v>78200</v>
      </c>
      <c r="G30" s="9">
        <f t="shared" ref="G30:I30" si="23">AVERAGE(B30:F30)</f>
        <v>71942.399999999994</v>
      </c>
      <c r="H30" s="9">
        <f t="shared" si="23"/>
        <v>78902.28</v>
      </c>
      <c r="I30" s="9">
        <f t="shared" si="23"/>
        <v>65545.736000000004</v>
      </c>
    </row>
    <row r="31" spans="1:9" ht="14.25" customHeight="1" x14ac:dyDescent="0.35">
      <c r="A31" s="8" t="s">
        <v>67</v>
      </c>
      <c r="B31" s="21">
        <f t="shared" ref="B31:I31" si="24">B27+B28+B29+B30</f>
        <v>519777</v>
      </c>
      <c r="C31" s="21">
        <f t="shared" si="24"/>
        <v>518023</v>
      </c>
      <c r="D31" s="21">
        <f t="shared" si="24"/>
        <v>389961</v>
      </c>
      <c r="E31" s="21">
        <f t="shared" si="24"/>
        <v>284667</v>
      </c>
      <c r="F31" s="43">
        <f t="shared" si="24"/>
        <v>374080</v>
      </c>
      <c r="G31" s="21">
        <f t="shared" si="24"/>
        <v>376915.95757284854</v>
      </c>
      <c r="H31" s="21">
        <f t="shared" si="24"/>
        <v>379618.36512819072</v>
      </c>
      <c r="I31" s="21">
        <f t="shared" si="24"/>
        <v>368375.73403759138</v>
      </c>
    </row>
    <row r="32" spans="1:9" ht="14.25" customHeight="1" x14ac:dyDescent="0.35">
      <c r="B32" s="9"/>
      <c r="C32" s="9"/>
      <c r="D32" s="9"/>
      <c r="E32" s="9"/>
      <c r="F32" s="18"/>
      <c r="G32" s="9"/>
    </row>
    <row r="33" spans="1:9" ht="14.25" customHeight="1" x14ac:dyDescent="0.35">
      <c r="A33" s="8" t="s">
        <v>68</v>
      </c>
      <c r="B33" s="9">
        <v>130566</v>
      </c>
      <c r="C33" s="9">
        <v>128159</v>
      </c>
      <c r="D33" s="9">
        <v>98268</v>
      </c>
      <c r="E33" s="9">
        <v>75822</v>
      </c>
      <c r="F33" s="18">
        <v>64300</v>
      </c>
      <c r="G33" s="9">
        <f>F33+'Income Statement'!E15</f>
        <v>51081.376980195906</v>
      </c>
      <c r="H33" s="9">
        <f>G33+'Income Statement'!F15</f>
        <v>42863.897732172773</v>
      </c>
      <c r="I33" s="9">
        <f>H33+'Income Statement'!G15</f>
        <v>40863.876518897072</v>
      </c>
    </row>
    <row r="34" spans="1:9" ht="14.25" customHeight="1" x14ac:dyDescent="0.35">
      <c r="A34" s="8" t="s">
        <v>69</v>
      </c>
      <c r="B34" s="9">
        <v>702</v>
      </c>
      <c r="C34" s="9">
        <v>702</v>
      </c>
      <c r="D34" s="9">
        <v>702</v>
      </c>
      <c r="E34" s="9">
        <v>702</v>
      </c>
      <c r="F34" s="18">
        <v>702</v>
      </c>
      <c r="G34" s="9">
        <f t="shared" ref="G34:I34" si="25">F34</f>
        <v>702</v>
      </c>
      <c r="H34" s="9">
        <f t="shared" si="25"/>
        <v>702</v>
      </c>
      <c r="I34" s="9">
        <f t="shared" si="25"/>
        <v>702</v>
      </c>
    </row>
    <row r="35" spans="1:9" ht="14.25" customHeight="1" x14ac:dyDescent="0.35">
      <c r="A35" s="8" t="s">
        <v>70</v>
      </c>
      <c r="B35" s="9">
        <v>149051</v>
      </c>
      <c r="C35" s="9">
        <v>155333</v>
      </c>
      <c r="D35" s="9">
        <v>140020</v>
      </c>
      <c r="E35" s="9">
        <v>139532</v>
      </c>
      <c r="F35" s="18">
        <v>139532</v>
      </c>
      <c r="G35" s="9">
        <f>F35+'Income Statement'!E15</f>
        <v>126313.3769801959</v>
      </c>
      <c r="H35" s="9">
        <f>G35+'Income Statement'!F15</f>
        <v>118095.89773217277</v>
      </c>
      <c r="I35" s="9">
        <f>H35+'Income Statement'!G15</f>
        <v>116095.87651889707</v>
      </c>
    </row>
    <row r="36" spans="1:9" ht="14.25" customHeight="1" x14ac:dyDescent="0.35">
      <c r="A36" s="8" t="s">
        <v>71</v>
      </c>
      <c r="B36" s="9">
        <v>126</v>
      </c>
      <c r="C36" s="9">
        <v>-2428</v>
      </c>
      <c r="D36" s="9">
        <v>-5499</v>
      </c>
      <c r="E36" s="9">
        <v>-6816</v>
      </c>
      <c r="F36" s="18">
        <v>-6816</v>
      </c>
      <c r="G36" s="9">
        <f t="shared" ref="G36:I36" si="26">F36</f>
        <v>-6816</v>
      </c>
      <c r="H36" s="9">
        <f t="shared" si="26"/>
        <v>-6816</v>
      </c>
      <c r="I36" s="9">
        <f t="shared" si="26"/>
        <v>-6816</v>
      </c>
    </row>
    <row r="37" spans="1:9" ht="14.25" customHeight="1" x14ac:dyDescent="0.35">
      <c r="A37" s="8" t="s">
        <v>72</v>
      </c>
      <c r="B37" s="9">
        <v>130566</v>
      </c>
      <c r="C37" s="9">
        <v>128159</v>
      </c>
      <c r="D37" s="9">
        <v>98274</v>
      </c>
      <c r="E37" s="9">
        <v>75828</v>
      </c>
      <c r="F37" s="18">
        <v>64300</v>
      </c>
      <c r="G37" s="9">
        <f t="shared" ref="G37:I37" si="27">G33</f>
        <v>51081.376980195906</v>
      </c>
      <c r="H37" s="9">
        <f t="shared" si="27"/>
        <v>42863.897732172773</v>
      </c>
      <c r="I37" s="9">
        <f t="shared" si="27"/>
        <v>40863.876518897072</v>
      </c>
    </row>
    <row r="38" spans="1:9" ht="14.25" customHeight="1" x14ac:dyDescent="0.35">
      <c r="A38" s="8" t="s">
        <v>73</v>
      </c>
      <c r="B38" s="9">
        <v>6217</v>
      </c>
      <c r="C38" s="9">
        <v>8772</v>
      </c>
      <c r="D38" s="9">
        <v>4836</v>
      </c>
      <c r="E38" s="9">
        <v>4688</v>
      </c>
      <c r="F38" s="18">
        <v>21100</v>
      </c>
      <c r="G38" s="9">
        <f t="shared" ref="G38:I38" si="28">F38</f>
        <v>21100</v>
      </c>
      <c r="H38" s="9">
        <f t="shared" si="28"/>
        <v>21100</v>
      </c>
      <c r="I38" s="9">
        <f t="shared" si="28"/>
        <v>21100</v>
      </c>
    </row>
    <row r="39" spans="1:9" ht="14.25" customHeight="1" x14ac:dyDescent="0.35">
      <c r="A39" s="8" t="s">
        <v>74</v>
      </c>
      <c r="B39" s="9">
        <f t="shared" ref="B39:I39" si="29">B37+B38</f>
        <v>136783</v>
      </c>
      <c r="C39" s="9">
        <f t="shared" si="29"/>
        <v>136931</v>
      </c>
      <c r="D39" s="9">
        <f t="shared" si="29"/>
        <v>103110</v>
      </c>
      <c r="E39" s="9">
        <f t="shared" si="29"/>
        <v>80516</v>
      </c>
      <c r="F39" s="18">
        <f t="shared" si="29"/>
        <v>85400</v>
      </c>
      <c r="G39" s="9">
        <f t="shared" si="29"/>
        <v>72181.376980195899</v>
      </c>
      <c r="H39" s="9">
        <f t="shared" si="29"/>
        <v>63963.897732172773</v>
      </c>
      <c r="I39" s="9">
        <f t="shared" si="29"/>
        <v>61963.876518897072</v>
      </c>
    </row>
    <row r="40" spans="1:9" ht="14.25" customHeight="1" x14ac:dyDescent="0.35">
      <c r="A40" s="8" t="s">
        <v>75</v>
      </c>
      <c r="B40" s="21">
        <f t="shared" ref="B40:I40" si="30">B39+B31</f>
        <v>656560</v>
      </c>
      <c r="C40" s="21">
        <f t="shared" si="30"/>
        <v>654954</v>
      </c>
      <c r="D40" s="21">
        <f t="shared" si="30"/>
        <v>493071</v>
      </c>
      <c r="E40" s="21">
        <f t="shared" si="30"/>
        <v>365183</v>
      </c>
      <c r="F40" s="43">
        <f t="shared" si="30"/>
        <v>459480</v>
      </c>
      <c r="G40" s="21">
        <f t="shared" si="30"/>
        <v>449097.33455304441</v>
      </c>
      <c r="H40" s="21">
        <f t="shared" si="30"/>
        <v>443582.26286036347</v>
      </c>
      <c r="I40" s="21">
        <f t="shared" si="30"/>
        <v>430339.61055648845</v>
      </c>
    </row>
    <row r="41" spans="1:9" ht="14.25" customHeight="1" x14ac:dyDescent="0.3"/>
    <row r="42" spans="1:9" ht="14.25" customHeight="1" x14ac:dyDescent="0.3"/>
    <row r="43" spans="1:9" ht="14.25" customHeight="1" x14ac:dyDescent="0.3"/>
    <row r="44" spans="1:9" ht="14.25" customHeight="1" x14ac:dyDescent="0.3"/>
    <row r="45" spans="1:9" ht="14.25" customHeight="1" x14ac:dyDescent="0.3"/>
    <row r="46" spans="1:9" ht="14.25" customHeight="1" x14ac:dyDescent="0.3"/>
    <row r="47" spans="1:9" ht="14.25" customHeight="1" x14ac:dyDescent="0.3"/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Islam, Md Muntaha EX1</cp:lastModifiedBy>
  <dcterms:modified xsi:type="dcterms:W3CDTF">2022-03-16T06:41:23Z</dcterms:modified>
</cp:coreProperties>
</file>